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king\OneDrive\Documents\"/>
    </mc:Choice>
  </mc:AlternateContent>
  <xr:revisionPtr revIDLastSave="0" documentId="13_ncr:1_{893E1274-C54B-42DC-8BB7-CF5B9DF50ED3}" xr6:coauthVersionLast="47" xr6:coauthVersionMax="47" xr10:uidLastSave="{00000000-0000-0000-0000-000000000000}"/>
  <bookViews>
    <workbookView xWindow="-120" yWindow="-120" windowWidth="29040" windowHeight="15840" activeTab="1" xr2:uid="{DBD7FDFD-20E8-4C26-8734-6051BD43CD54}"/>
  </bookViews>
  <sheets>
    <sheet name="Chart1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3" i="1" l="1"/>
  <c r="E109" i="1"/>
  <c r="J106" i="1"/>
  <c r="F106" i="1"/>
  <c r="E106" i="1"/>
  <c r="D106" i="1"/>
  <c r="K115" i="1"/>
  <c r="J115" i="1"/>
  <c r="F115" i="1"/>
  <c r="E115" i="1"/>
  <c r="D115" i="1"/>
  <c r="K102" i="1"/>
  <c r="F102" i="1"/>
  <c r="E102" i="1"/>
  <c r="D102" i="1"/>
  <c r="K101" i="1"/>
  <c r="G101" i="1"/>
  <c r="F101" i="1"/>
  <c r="E101" i="1"/>
  <c r="D101" i="1"/>
  <c r="K104" i="1"/>
  <c r="F104" i="1"/>
  <c r="E104" i="1"/>
  <c r="D104" i="1"/>
  <c r="L99" i="1"/>
  <c r="K99" i="1"/>
  <c r="F99" i="1"/>
  <c r="E99" i="1"/>
  <c r="D99" i="1"/>
  <c r="K109" i="1"/>
  <c r="G109" i="1"/>
  <c r="F109" i="1"/>
  <c r="D109" i="1"/>
  <c r="K110" i="1"/>
  <c r="I110" i="1"/>
  <c r="G110" i="1"/>
  <c r="F110" i="1"/>
  <c r="E110" i="1"/>
  <c r="D110" i="1"/>
  <c r="K98" i="1"/>
  <c r="F98" i="1"/>
  <c r="E98" i="1"/>
  <c r="D98" i="1"/>
  <c r="K97" i="1"/>
  <c r="G97" i="1"/>
  <c r="F97" i="1"/>
  <c r="E97" i="1"/>
  <c r="D97" i="1"/>
  <c r="J109" i="1"/>
  <c r="I109" i="1"/>
  <c r="H110" i="1"/>
  <c r="I97" i="1"/>
  <c r="E165" i="1"/>
  <c r="J180" i="1"/>
  <c r="H180" i="1"/>
  <c r="F180" i="1"/>
  <c r="E180" i="1"/>
  <c r="D180" i="1"/>
  <c r="F171" i="1"/>
  <c r="E171" i="1"/>
  <c r="D171" i="1"/>
  <c r="D175" i="1"/>
  <c r="K164" i="1"/>
  <c r="F164" i="1"/>
  <c r="E164" i="1"/>
  <c r="D164" i="1"/>
  <c r="H167" i="1"/>
  <c r="F167" i="1"/>
  <c r="E167" i="1"/>
  <c r="D167" i="1"/>
  <c r="L161" i="1"/>
  <c r="K161" i="1"/>
  <c r="H161" i="1"/>
  <c r="F161" i="1"/>
  <c r="E161" i="1"/>
  <c r="D161" i="1"/>
  <c r="E162" i="1"/>
  <c r="D162" i="1"/>
  <c r="K166" i="1"/>
  <c r="F166" i="1"/>
  <c r="D166" i="1"/>
  <c r="J160" i="1"/>
  <c r="G160" i="1"/>
  <c r="F160" i="1"/>
  <c r="E160" i="1"/>
  <c r="D160" i="1"/>
  <c r="J176" i="1"/>
  <c r="F176" i="1"/>
  <c r="E176" i="1"/>
  <c r="D176" i="1"/>
  <c r="F156" i="1"/>
  <c r="E156" i="1"/>
  <c r="D156" i="1"/>
  <c r="K157" i="1"/>
  <c r="I157" i="1"/>
  <c r="F157" i="1"/>
  <c r="E157" i="1"/>
  <c r="D157" i="1"/>
  <c r="K169" i="1"/>
  <c r="H169" i="1"/>
  <c r="F169" i="1"/>
  <c r="C169" i="1" s="1"/>
  <c r="E169" i="1"/>
  <c r="D169" i="1"/>
  <c r="K165" i="1"/>
  <c r="G165" i="1"/>
  <c r="D165" i="1"/>
  <c r="F162" i="1"/>
  <c r="D178" i="1"/>
  <c r="F159" i="1"/>
  <c r="D159" i="1"/>
  <c r="K156" i="1"/>
  <c r="I156" i="1"/>
  <c r="G169" i="1"/>
  <c r="J169" i="1"/>
  <c r="L169" i="1"/>
  <c r="I169" i="1"/>
  <c r="E193" i="1" l="1"/>
  <c r="E188" i="1"/>
  <c r="K195" i="1"/>
  <c r="I195" i="1"/>
  <c r="G195" i="1"/>
  <c r="F195" i="1"/>
  <c r="E195" i="1"/>
  <c r="D195" i="1"/>
  <c r="K196" i="1"/>
  <c r="J196" i="1"/>
  <c r="F196" i="1"/>
  <c r="E196" i="1"/>
  <c r="D196" i="1"/>
  <c r="K202" i="1"/>
  <c r="J202" i="1"/>
  <c r="F202" i="1"/>
  <c r="E202" i="1"/>
  <c r="D202" i="1"/>
  <c r="L189" i="1"/>
  <c r="K189" i="1"/>
  <c r="J189" i="1"/>
  <c r="I189" i="1"/>
  <c r="F189" i="1"/>
  <c r="E189" i="1"/>
  <c r="D189" i="1"/>
  <c r="F193" i="1"/>
  <c r="D193" i="1"/>
  <c r="K194" i="1"/>
  <c r="J194" i="1"/>
  <c r="G194" i="1"/>
  <c r="F194" i="1"/>
  <c r="E194" i="1"/>
  <c r="D194" i="1"/>
  <c r="J191" i="1"/>
  <c r="H191" i="1"/>
  <c r="F191" i="1"/>
  <c r="E191" i="1"/>
  <c r="D191" i="1"/>
  <c r="K192" i="1"/>
  <c r="J192" i="1"/>
  <c r="F192" i="1"/>
  <c r="E192" i="1"/>
  <c r="D192" i="1"/>
  <c r="G188" i="1"/>
  <c r="F188" i="1"/>
  <c r="D188" i="1"/>
  <c r="K187" i="1"/>
  <c r="K188" i="1"/>
  <c r="I188" i="1"/>
  <c r="F187" i="1"/>
  <c r="E187" i="1"/>
  <c r="D187" i="1"/>
  <c r="J207" i="1"/>
  <c r="F207" i="1"/>
  <c r="E207" i="1"/>
  <c r="D207" i="1"/>
  <c r="L196" i="1"/>
  <c r="L202" i="1"/>
  <c r="L194" i="1"/>
  <c r="K191" i="1"/>
  <c r="I191" i="1"/>
  <c r="I187" i="1"/>
  <c r="K78" i="1"/>
  <c r="I78" i="1"/>
  <c r="H78" i="1"/>
  <c r="F78" i="1"/>
  <c r="E78" i="1"/>
  <c r="D78" i="1"/>
  <c r="E67" i="1"/>
  <c r="E77" i="1"/>
  <c r="K76" i="1"/>
  <c r="F76" i="1"/>
  <c r="E76" i="1"/>
  <c r="D76" i="1"/>
  <c r="L79" i="1"/>
  <c r="K79" i="1"/>
  <c r="F79" i="1"/>
  <c r="D79" i="1"/>
  <c r="K74" i="1"/>
  <c r="J74" i="1"/>
  <c r="F74" i="1"/>
  <c r="E74" i="1"/>
  <c r="D74" i="1"/>
  <c r="J77" i="1"/>
  <c r="F77" i="1"/>
  <c r="D77" i="1"/>
  <c r="F88" i="1"/>
  <c r="E88" i="1"/>
  <c r="D88" i="1"/>
  <c r="F70" i="1"/>
  <c r="E70" i="1"/>
  <c r="D70" i="1"/>
  <c r="F66" i="1"/>
  <c r="E66" i="1"/>
  <c r="D66" i="1"/>
  <c r="K72" i="1"/>
  <c r="F72" i="1"/>
  <c r="E72" i="1"/>
  <c r="D72" i="1"/>
  <c r="K69" i="1"/>
  <c r="I69" i="1"/>
  <c r="G69" i="1"/>
  <c r="F69" i="1"/>
  <c r="E69" i="1"/>
  <c r="D69" i="1"/>
  <c r="G73" i="1"/>
  <c r="F73" i="1"/>
  <c r="E73" i="1"/>
  <c r="D73" i="1"/>
  <c r="F87" i="1"/>
  <c r="E87" i="1"/>
  <c r="D87" i="1"/>
  <c r="K75" i="1"/>
  <c r="I75" i="1"/>
  <c r="F75" i="1"/>
  <c r="E75" i="1"/>
  <c r="D75" i="1"/>
  <c r="I81" i="1"/>
  <c r="G88" i="1"/>
  <c r="J88" i="1"/>
  <c r="K88" i="1"/>
  <c r="L88" i="1"/>
  <c r="H88" i="1"/>
  <c r="I88" i="1"/>
  <c r="F68" i="1"/>
  <c r="L73" i="1"/>
  <c r="J73" i="1"/>
  <c r="K83" i="1"/>
  <c r="F83" i="1"/>
  <c r="D83" i="1"/>
  <c r="G75" i="1"/>
  <c r="E129" i="1"/>
  <c r="F144" i="1"/>
  <c r="E144" i="1"/>
  <c r="D144" i="1"/>
  <c r="D146" i="1"/>
  <c r="C146" i="1" s="1"/>
  <c r="K134" i="1"/>
  <c r="F134" i="1"/>
  <c r="D134" i="1"/>
  <c r="H138" i="1"/>
  <c r="F138" i="1"/>
  <c r="E138" i="1"/>
  <c r="D138" i="1"/>
  <c r="K133" i="1"/>
  <c r="F133" i="1"/>
  <c r="E133" i="1"/>
  <c r="D133" i="1"/>
  <c r="F130" i="1"/>
  <c r="E130" i="1"/>
  <c r="D130" i="1"/>
  <c r="F129" i="1"/>
  <c r="D129" i="1"/>
  <c r="J127" i="1"/>
  <c r="F127" i="1"/>
  <c r="D127" i="1"/>
  <c r="D132" i="1"/>
  <c r="J135" i="1"/>
  <c r="F135" i="1"/>
  <c r="E135" i="1"/>
  <c r="D135" i="1"/>
  <c r="G128" i="1"/>
  <c r="F128" i="1"/>
  <c r="D128" i="1"/>
  <c r="K144" i="1"/>
  <c r="F146" i="1"/>
  <c r="K146" i="1"/>
  <c r="J146" i="1"/>
  <c r="L146" i="1"/>
  <c r="G146" i="1"/>
  <c r="H146" i="1"/>
  <c r="I146" i="1"/>
  <c r="K138" i="1"/>
  <c r="C88" i="1" l="1"/>
  <c r="L48" i="1"/>
  <c r="K48" i="1"/>
  <c r="H48" i="1"/>
  <c r="F48" i="1"/>
  <c r="E48" i="1"/>
  <c r="D48" i="1"/>
  <c r="K47" i="1"/>
  <c r="G47" i="1"/>
  <c r="F47" i="1"/>
  <c r="E47" i="1"/>
  <c r="D47" i="1"/>
  <c r="D51" i="1"/>
  <c r="K50" i="1"/>
  <c r="F50" i="1"/>
  <c r="E50" i="1"/>
  <c r="D50" i="1"/>
  <c r="K55" i="1"/>
  <c r="G55" i="1"/>
  <c r="F55" i="1"/>
  <c r="C55" i="1" s="1"/>
  <c r="E55" i="1"/>
  <c r="D55" i="1"/>
  <c r="L46" i="1"/>
  <c r="K46" i="1"/>
  <c r="F46" i="1"/>
  <c r="D46" i="1"/>
  <c r="K57" i="1"/>
  <c r="H57" i="1"/>
  <c r="F57" i="1"/>
  <c r="E57" i="1"/>
  <c r="D57" i="1"/>
  <c r="K49" i="1"/>
  <c r="G49" i="1"/>
  <c r="F49" i="1"/>
  <c r="E49" i="1"/>
  <c r="D49" i="1"/>
  <c r="K38" i="1"/>
  <c r="J38" i="1"/>
  <c r="G38" i="1"/>
  <c r="F38" i="1"/>
  <c r="E38" i="1"/>
  <c r="D38" i="1"/>
  <c r="F59" i="1"/>
  <c r="E59" i="1"/>
  <c r="D59" i="1"/>
  <c r="H42" i="1"/>
  <c r="G42" i="1"/>
  <c r="F42" i="1"/>
  <c r="E42" i="1"/>
  <c r="D42" i="1"/>
  <c r="K45" i="1"/>
  <c r="I45" i="1"/>
  <c r="F45" i="1"/>
  <c r="E45" i="1"/>
  <c r="D45" i="1"/>
  <c r="L41" i="1"/>
  <c r="K41" i="1"/>
  <c r="F41" i="1"/>
  <c r="E41" i="1"/>
  <c r="D41" i="1"/>
  <c r="K44" i="1"/>
  <c r="H44" i="1"/>
  <c r="F44" i="1"/>
  <c r="E44" i="1"/>
  <c r="D44" i="1"/>
  <c r="J50" i="1"/>
  <c r="H55" i="1"/>
  <c r="L55" i="1"/>
  <c r="I55" i="1"/>
  <c r="J55" i="1"/>
  <c r="G46" i="1"/>
  <c r="E46" i="1"/>
  <c r="J57" i="1"/>
  <c r="K59" i="1"/>
  <c r="H59" i="1"/>
  <c r="K42" i="1"/>
  <c r="J41" i="1"/>
  <c r="G41" i="1"/>
  <c r="J44" i="1"/>
  <c r="F113" i="1"/>
  <c r="E113" i="1"/>
  <c r="D113" i="1"/>
  <c r="F116" i="1"/>
  <c r="E116" i="1"/>
  <c r="D116" i="1"/>
  <c r="K103" i="1"/>
  <c r="H103" i="1"/>
  <c r="G103" i="1"/>
  <c r="F103" i="1"/>
  <c r="E103" i="1"/>
  <c r="D103" i="1"/>
  <c r="G102" i="1"/>
  <c r="K105" i="1"/>
  <c r="F105" i="1"/>
  <c r="G105" i="1"/>
  <c r="E105" i="1"/>
  <c r="D105" i="1"/>
  <c r="G104" i="1"/>
  <c r="L97" i="1"/>
  <c r="K113" i="1"/>
  <c r="I113" i="1"/>
  <c r="G113" i="1"/>
  <c r="K117" i="1"/>
  <c r="G116" i="1"/>
  <c r="H116" i="1"/>
  <c r="I116" i="1"/>
  <c r="J116" i="1"/>
  <c r="K116" i="1"/>
  <c r="L116" i="1"/>
  <c r="J101" i="1"/>
  <c r="I115" i="1"/>
  <c r="L115" i="1"/>
  <c r="G115" i="1"/>
  <c r="H115" i="1"/>
  <c r="J105" i="1"/>
  <c r="E79" i="1"/>
  <c r="F86" i="1"/>
  <c r="E86" i="1"/>
  <c r="D86" i="1"/>
  <c r="K70" i="1"/>
  <c r="J71" i="1"/>
  <c r="F71" i="1"/>
  <c r="D71" i="1"/>
  <c r="J72" i="1"/>
  <c r="G72" i="1"/>
  <c r="K73" i="1"/>
  <c r="K68" i="1"/>
  <c r="G68" i="1"/>
  <c r="E68" i="1"/>
  <c r="D68" i="1"/>
  <c r="C68" i="1" s="1"/>
  <c r="K67" i="1"/>
  <c r="F67" i="1"/>
  <c r="D67" i="1"/>
  <c r="L86" i="1"/>
  <c r="K86" i="1"/>
  <c r="G70" i="1"/>
  <c r="E71" i="1"/>
  <c r="L72" i="1"/>
  <c r="H69" i="1"/>
  <c r="H73" i="1"/>
  <c r="H67" i="1"/>
  <c r="G191" i="1"/>
  <c r="G189" i="1"/>
  <c r="L199" i="1"/>
  <c r="K199" i="1"/>
  <c r="G199" i="1"/>
  <c r="F199" i="1"/>
  <c r="E199" i="1"/>
  <c r="D199" i="1"/>
  <c r="G192" i="1"/>
  <c r="L190" i="1"/>
  <c r="K190" i="1"/>
  <c r="J190" i="1"/>
  <c r="H190" i="1"/>
  <c r="F190" i="1"/>
  <c r="E190" i="1"/>
  <c r="D190" i="1"/>
  <c r="H187" i="1"/>
  <c r="G187" i="1"/>
  <c r="K197" i="1"/>
  <c r="F197" i="1"/>
  <c r="E197" i="1"/>
  <c r="D197" i="1"/>
  <c r="G196" i="1"/>
  <c r="J188" i="1"/>
  <c r="J199" i="1"/>
  <c r="L192" i="1"/>
  <c r="I190" i="1"/>
  <c r="K16" i="1"/>
  <c r="F16" i="1"/>
  <c r="E16" i="1"/>
  <c r="D16" i="1"/>
  <c r="K14" i="1"/>
  <c r="G14" i="1"/>
  <c r="F14" i="1"/>
  <c r="E14" i="1"/>
  <c r="D14" i="1"/>
  <c r="J12" i="1"/>
  <c r="F12" i="1"/>
  <c r="E12" i="1"/>
  <c r="D12" i="1"/>
  <c r="F13" i="1"/>
  <c r="E13" i="1"/>
  <c r="D13" i="1"/>
  <c r="K9" i="1"/>
  <c r="J9" i="1"/>
  <c r="F9" i="1"/>
  <c r="E9" i="1"/>
  <c r="D9" i="1"/>
  <c r="K8" i="1"/>
  <c r="F8" i="1"/>
  <c r="E8" i="1"/>
  <c r="D8" i="1"/>
  <c r="K7" i="1"/>
  <c r="J7" i="1"/>
  <c r="F7" i="1"/>
  <c r="E7" i="1"/>
  <c r="D7" i="1"/>
  <c r="F10" i="1"/>
  <c r="E10" i="1"/>
  <c r="D10" i="1"/>
  <c r="K15" i="1"/>
  <c r="J15" i="1"/>
  <c r="F15" i="1"/>
  <c r="E15" i="1"/>
  <c r="D15" i="1"/>
  <c r="K11" i="1"/>
  <c r="F11" i="1"/>
  <c r="D11" i="1"/>
  <c r="J17" i="1"/>
  <c r="F17" i="1"/>
  <c r="E17" i="1"/>
  <c r="D17" i="1"/>
  <c r="K12" i="1"/>
  <c r="K13" i="1"/>
  <c r="G13" i="1"/>
  <c r="G9" i="1"/>
  <c r="K10" i="1"/>
  <c r="I10" i="1"/>
  <c r="G10" i="1"/>
  <c r="I7" i="1"/>
  <c r="I15" i="1"/>
  <c r="E11" i="1"/>
  <c r="K17" i="1"/>
  <c r="G17" i="1"/>
  <c r="F140" i="1"/>
  <c r="E140" i="1"/>
  <c r="D140" i="1"/>
  <c r="K137" i="1"/>
  <c r="F137" i="1"/>
  <c r="E137" i="1"/>
  <c r="D137" i="1"/>
  <c r="K130" i="1"/>
  <c r="G130" i="1"/>
  <c r="K129" i="1"/>
  <c r="I129" i="1"/>
  <c r="G129" i="1"/>
  <c r="D147" i="1"/>
  <c r="K132" i="1"/>
  <c r="I132" i="1"/>
  <c r="F132" i="1"/>
  <c r="E132" i="1"/>
  <c r="K128" i="1"/>
  <c r="E128" i="1"/>
  <c r="E143" i="1"/>
  <c r="E145" i="1"/>
  <c r="K148" i="1"/>
  <c r="J148" i="1"/>
  <c r="H148" i="1"/>
  <c r="F148" i="1"/>
  <c r="D148" i="1"/>
  <c r="K140" i="1"/>
  <c r="G140" i="1"/>
  <c r="H140" i="1"/>
  <c r="I140" i="1"/>
  <c r="J140" i="1"/>
  <c r="L140" i="1"/>
  <c r="E147" i="1"/>
  <c r="F147" i="1"/>
  <c r="J147" i="1"/>
  <c r="K147" i="1"/>
  <c r="L147" i="1"/>
  <c r="G147" i="1"/>
  <c r="H147" i="1"/>
  <c r="I147" i="1"/>
  <c r="K127" i="1"/>
  <c r="E127" i="1"/>
  <c r="L135" i="1"/>
  <c r="K135" i="1"/>
  <c r="K180" i="1"/>
  <c r="G180" i="1"/>
  <c r="K168" i="1"/>
  <c r="H168" i="1"/>
  <c r="F168" i="1"/>
  <c r="E168" i="1"/>
  <c r="D168" i="1"/>
  <c r="G168" i="1"/>
  <c r="J168" i="1"/>
  <c r="L168" i="1"/>
  <c r="I168" i="1"/>
  <c r="F174" i="1"/>
  <c r="D174" i="1"/>
  <c r="K172" i="1"/>
  <c r="F172" i="1"/>
  <c r="E172" i="1"/>
  <c r="D172" i="1"/>
  <c r="K163" i="1"/>
  <c r="F163" i="1"/>
  <c r="D163" i="1"/>
  <c r="K162" i="1"/>
  <c r="K159" i="1"/>
  <c r="H159" i="1"/>
  <c r="E159" i="1"/>
  <c r="G156" i="1"/>
  <c r="K158" i="1"/>
  <c r="G158" i="1"/>
  <c r="F158" i="1"/>
  <c r="E158" i="1"/>
  <c r="D158" i="1"/>
  <c r="G157" i="1"/>
  <c r="E166" i="1"/>
  <c r="F165" i="1"/>
  <c r="J174" i="1"/>
  <c r="E174" i="1"/>
  <c r="K174" i="1"/>
  <c r="L174" i="1"/>
  <c r="G177" i="1"/>
  <c r="H177" i="1"/>
  <c r="I177" i="1"/>
  <c r="J163" i="1"/>
  <c r="E163" i="1"/>
  <c r="L162" i="1"/>
  <c r="J162" i="1"/>
  <c r="G162" i="1"/>
  <c r="G159" i="1"/>
  <c r="L156" i="1"/>
  <c r="J157" i="1"/>
  <c r="J166" i="1"/>
  <c r="C168" i="1" l="1"/>
  <c r="C147" i="1"/>
  <c r="C116" i="1"/>
  <c r="C115" i="1"/>
  <c r="C140" i="1"/>
  <c r="C174" i="1"/>
  <c r="G193" i="1"/>
  <c r="I192" i="1"/>
  <c r="H192" i="1"/>
  <c r="J197" i="1"/>
  <c r="H196" i="1"/>
  <c r="C172" i="1"/>
  <c r="G172" i="1"/>
  <c r="H172" i="1"/>
  <c r="I172" i="1"/>
  <c r="J172" i="1"/>
  <c r="L172" i="1"/>
  <c r="H165" i="1"/>
  <c r="J159" i="1"/>
  <c r="J138" i="1"/>
  <c r="G138" i="1"/>
  <c r="K139" i="1"/>
  <c r="G139" i="1"/>
  <c r="F139" i="1"/>
  <c r="E139" i="1"/>
  <c r="D139" i="1"/>
  <c r="E134" i="1"/>
  <c r="G135" i="1"/>
  <c r="I127" i="1"/>
  <c r="K142" i="1"/>
  <c r="F142" i="1"/>
  <c r="E142" i="1"/>
  <c r="D142" i="1"/>
  <c r="J142" i="1"/>
  <c r="L142" i="1"/>
  <c r="G142" i="1"/>
  <c r="H142" i="1"/>
  <c r="I142" i="1"/>
  <c r="L113" i="1"/>
  <c r="D117" i="1"/>
  <c r="K114" i="1"/>
  <c r="F114" i="1"/>
  <c r="E114" i="1"/>
  <c r="D114" i="1"/>
  <c r="K108" i="1"/>
  <c r="I108" i="1"/>
  <c r="G108" i="1"/>
  <c r="F108" i="1"/>
  <c r="C108" i="1" s="1"/>
  <c r="E108" i="1"/>
  <c r="D108" i="1"/>
  <c r="L119" i="1"/>
  <c r="K119" i="1"/>
  <c r="J119" i="1"/>
  <c r="I119" i="1"/>
  <c r="F119" i="1"/>
  <c r="C119" i="1" s="1"/>
  <c r="E119" i="1"/>
  <c r="D119" i="1"/>
  <c r="J103" i="1"/>
  <c r="L101" i="1"/>
  <c r="G99" i="1"/>
  <c r="L105" i="1"/>
  <c r="H105" i="1"/>
  <c r="F117" i="1"/>
  <c r="E117" i="1"/>
  <c r="G117" i="1"/>
  <c r="H108" i="1"/>
  <c r="I117" i="1"/>
  <c r="J108" i="1"/>
  <c r="J117" i="1"/>
  <c r="L108" i="1"/>
  <c r="L117" i="1"/>
  <c r="H117" i="1"/>
  <c r="G119" i="1"/>
  <c r="H119" i="1"/>
  <c r="J98" i="1"/>
  <c r="K51" i="1"/>
  <c r="F51" i="1"/>
  <c r="L59" i="1"/>
  <c r="K43" i="1"/>
  <c r="G43" i="1"/>
  <c r="F43" i="1"/>
  <c r="E43" i="1"/>
  <c r="D43" i="1"/>
  <c r="K37" i="1"/>
  <c r="I37" i="1"/>
  <c r="F37" i="1"/>
  <c r="E37" i="1"/>
  <c r="D37" i="1"/>
  <c r="H45" i="1"/>
  <c r="E51" i="1"/>
  <c r="C57" i="1"/>
  <c r="G57" i="1"/>
  <c r="I57" i="1"/>
  <c r="L57" i="1"/>
  <c r="G59" i="1"/>
  <c r="J59" i="1"/>
  <c r="H54" i="1"/>
  <c r="I54" i="1"/>
  <c r="C59" i="1"/>
  <c r="L43" i="1"/>
  <c r="G45" i="1"/>
  <c r="G37" i="1"/>
  <c r="L15" i="1"/>
  <c r="G15" i="1"/>
  <c r="G16" i="1"/>
  <c r="G7" i="1"/>
  <c r="J11" i="1"/>
  <c r="G11" i="1"/>
  <c r="J13" i="1"/>
  <c r="L206" i="1"/>
  <c r="K206" i="1"/>
  <c r="F206" i="1"/>
  <c r="C206" i="1" s="1"/>
  <c r="E206" i="1"/>
  <c r="D206" i="1"/>
  <c r="L193" i="1"/>
  <c r="J193" i="1"/>
  <c r="G190" i="1"/>
  <c r="L187" i="1"/>
  <c r="K201" i="1"/>
  <c r="G201" i="1"/>
  <c r="F201" i="1"/>
  <c r="E201" i="1"/>
  <c r="D201" i="1"/>
  <c r="H189" i="1"/>
  <c r="I206" i="1"/>
  <c r="G206" i="1"/>
  <c r="H206" i="1"/>
  <c r="J206" i="1"/>
  <c r="H193" i="1"/>
  <c r="J201" i="1"/>
  <c r="L201" i="1"/>
  <c r="H201" i="1"/>
  <c r="I201" i="1"/>
  <c r="I196" i="1"/>
  <c r="G202" i="1"/>
  <c r="H202" i="1"/>
  <c r="I202" i="1"/>
  <c r="K208" i="1"/>
  <c r="J208" i="1"/>
  <c r="F208" i="1"/>
  <c r="E208" i="1"/>
  <c r="D208" i="1"/>
  <c r="I208" i="1"/>
  <c r="G208" i="1"/>
  <c r="J187" i="1"/>
  <c r="F204" i="1"/>
  <c r="E204" i="1"/>
  <c r="D204" i="1"/>
  <c r="L188" i="1"/>
  <c r="K200" i="1"/>
  <c r="J200" i="1"/>
  <c r="F200" i="1"/>
  <c r="E200" i="1"/>
  <c r="D200" i="1"/>
  <c r="K204" i="1"/>
  <c r="J204" i="1"/>
  <c r="H204" i="1"/>
  <c r="H199" i="1"/>
  <c r="I199" i="1"/>
  <c r="L200" i="1"/>
  <c r="G200" i="1"/>
  <c r="H200" i="1"/>
  <c r="I200" i="1"/>
  <c r="F203" i="1"/>
  <c r="E203" i="1"/>
  <c r="D203" i="1"/>
  <c r="I193" i="1"/>
  <c r="G203" i="1"/>
  <c r="I203" i="1"/>
  <c r="J203" i="1"/>
  <c r="K203" i="1"/>
  <c r="L203" i="1"/>
  <c r="H203" i="1"/>
  <c r="J195" i="1"/>
  <c r="K205" i="1"/>
  <c r="I205" i="1"/>
  <c r="F205" i="1"/>
  <c r="E205" i="1"/>
  <c r="D205" i="1"/>
  <c r="K198" i="1"/>
  <c r="J198" i="1"/>
  <c r="F198" i="1"/>
  <c r="E198" i="1"/>
  <c r="D198" i="1"/>
  <c r="L197" i="1"/>
  <c r="L195" i="1"/>
  <c r="L198" i="1"/>
  <c r="L207" i="1"/>
  <c r="K207" i="1"/>
  <c r="G204" i="1"/>
  <c r="I204" i="1"/>
  <c r="L204" i="1"/>
  <c r="H188" i="1"/>
  <c r="G207" i="1"/>
  <c r="H207" i="1"/>
  <c r="I207" i="1"/>
  <c r="G205" i="1"/>
  <c r="G198" i="1"/>
  <c r="H194" i="1"/>
  <c r="K167" i="1"/>
  <c r="K171" i="1"/>
  <c r="K160" i="1"/>
  <c r="F178" i="1"/>
  <c r="J177" i="1"/>
  <c r="F177" i="1"/>
  <c r="E177" i="1"/>
  <c r="D177" i="1"/>
  <c r="D179" i="1"/>
  <c r="K170" i="1"/>
  <c r="F170" i="1"/>
  <c r="E170" i="1"/>
  <c r="E181" i="1" s="1"/>
  <c r="D170" i="1"/>
  <c r="K176" i="1"/>
  <c r="H157" i="1"/>
  <c r="G174" i="1"/>
  <c r="H174" i="1"/>
  <c r="I174" i="1"/>
  <c r="K177" i="1"/>
  <c r="L177" i="1"/>
  <c r="G170" i="1"/>
  <c r="H170" i="1"/>
  <c r="J170" i="1"/>
  <c r="L170" i="1"/>
  <c r="I170" i="1"/>
  <c r="L180" i="1"/>
  <c r="I180" i="1"/>
  <c r="J165" i="1"/>
  <c r="K175" i="1"/>
  <c r="F175" i="1"/>
  <c r="G166" i="1"/>
  <c r="J158" i="1"/>
  <c r="H164" i="1"/>
  <c r="H166" i="1"/>
  <c r="K173" i="1"/>
  <c r="F173" i="1"/>
  <c r="D173" i="1"/>
  <c r="J164" i="1"/>
  <c r="I164" i="1"/>
  <c r="G167" i="1"/>
  <c r="G175" i="1"/>
  <c r="L165" i="1"/>
  <c r="H162" i="1"/>
  <c r="H160" i="1"/>
  <c r="L173" i="1"/>
  <c r="L164" i="1"/>
  <c r="E173" i="1"/>
  <c r="E178" i="1"/>
  <c r="J156" i="1"/>
  <c r="E179" i="1"/>
  <c r="J175" i="1"/>
  <c r="H158" i="1"/>
  <c r="G173" i="1"/>
  <c r="G161" i="1"/>
  <c r="H173" i="1"/>
  <c r="I173" i="1"/>
  <c r="J173" i="1"/>
  <c r="I161" i="1"/>
  <c r="J161" i="1"/>
  <c r="G163" i="1"/>
  <c r="G164" i="1"/>
  <c r="J178" i="1"/>
  <c r="K179" i="1"/>
  <c r="F179" i="1"/>
  <c r="E175" i="1"/>
  <c r="L127" i="1"/>
  <c r="G127" i="1"/>
  <c r="K143" i="1"/>
  <c r="J143" i="1"/>
  <c r="G143" i="1"/>
  <c r="F143" i="1"/>
  <c r="D143" i="1"/>
  <c r="J144" i="1"/>
  <c r="G144" i="1"/>
  <c r="G133" i="1"/>
  <c r="K141" i="1"/>
  <c r="J141" i="1"/>
  <c r="F141" i="1"/>
  <c r="E141" i="1"/>
  <c r="D141" i="1"/>
  <c r="J130" i="1"/>
  <c r="L138" i="1"/>
  <c r="L143" i="1"/>
  <c r="L144" i="1"/>
  <c r="L141" i="1"/>
  <c r="L148" i="1"/>
  <c r="H143" i="1"/>
  <c r="I143" i="1"/>
  <c r="H144" i="1"/>
  <c r="I144" i="1"/>
  <c r="H127" i="1"/>
  <c r="G141" i="1"/>
  <c r="H141" i="1"/>
  <c r="I141" i="1"/>
  <c r="G148" i="1"/>
  <c r="I148" i="1"/>
  <c r="J134" i="1"/>
  <c r="K145" i="1"/>
  <c r="F145" i="1"/>
  <c r="D145" i="1"/>
  <c r="J139" i="1"/>
  <c r="J137" i="1"/>
  <c r="H137" i="1"/>
  <c r="H135" i="1"/>
  <c r="L139" i="1"/>
  <c r="I139" i="1"/>
  <c r="G134" i="1"/>
  <c r="H134" i="1"/>
  <c r="L129" i="1"/>
  <c r="K136" i="1"/>
  <c r="I136" i="1"/>
  <c r="F136" i="1"/>
  <c r="E136" i="1"/>
  <c r="D136" i="1"/>
  <c r="I128" i="1"/>
  <c r="L137" i="1"/>
  <c r="J145" i="1"/>
  <c r="G136" i="1"/>
  <c r="L133" i="1"/>
  <c r="K131" i="1"/>
  <c r="I131" i="1"/>
  <c r="F131" i="1"/>
  <c r="E131" i="1"/>
  <c r="D131" i="1"/>
  <c r="I133" i="1"/>
  <c r="H131" i="1"/>
  <c r="H139" i="1"/>
  <c r="G132" i="1"/>
  <c r="H128" i="1"/>
  <c r="J133" i="1"/>
  <c r="H129" i="1"/>
  <c r="J136" i="1"/>
  <c r="H136" i="1"/>
  <c r="J131" i="1"/>
  <c r="J128" i="1"/>
  <c r="L130" i="1"/>
  <c r="K106" i="1"/>
  <c r="L100" i="1"/>
  <c r="K100" i="1"/>
  <c r="F100" i="1"/>
  <c r="E100" i="1"/>
  <c r="D100" i="1"/>
  <c r="K96" i="1"/>
  <c r="I96" i="1"/>
  <c r="F96" i="1"/>
  <c r="E96" i="1"/>
  <c r="D96" i="1"/>
  <c r="I98" i="1"/>
  <c r="J96" i="1"/>
  <c r="J102" i="1"/>
  <c r="I100" i="1"/>
  <c r="G100" i="1"/>
  <c r="I105" i="1"/>
  <c r="G96" i="1"/>
  <c r="H97" i="1"/>
  <c r="I102" i="1"/>
  <c r="J104" i="1"/>
  <c r="J100" i="1"/>
  <c r="L109" i="1"/>
  <c r="H109" i="1"/>
  <c r="K112" i="1"/>
  <c r="G112" i="1"/>
  <c r="F112" i="1"/>
  <c r="E112" i="1"/>
  <c r="D112" i="1"/>
  <c r="I114" i="1"/>
  <c r="G114" i="1"/>
  <c r="H104" i="1"/>
  <c r="J112" i="1"/>
  <c r="H114" i="1"/>
  <c r="J114" i="1"/>
  <c r="L114" i="1"/>
  <c r="J99" i="1"/>
  <c r="F111" i="1"/>
  <c r="K111" i="1"/>
  <c r="J111" i="1"/>
  <c r="E111" i="1"/>
  <c r="D111" i="1"/>
  <c r="K107" i="1"/>
  <c r="F107" i="1"/>
  <c r="G107" i="1"/>
  <c r="H107" i="1"/>
  <c r="E107" i="1"/>
  <c r="D107" i="1"/>
  <c r="G111" i="1"/>
  <c r="H111" i="1"/>
  <c r="I111" i="1"/>
  <c r="L111" i="1"/>
  <c r="G98" i="1"/>
  <c r="J110" i="1"/>
  <c r="K118" i="1"/>
  <c r="F118" i="1"/>
  <c r="E118" i="1"/>
  <c r="D118" i="1"/>
  <c r="L96" i="1"/>
  <c r="L112" i="1"/>
  <c r="H118" i="1"/>
  <c r="H96" i="1"/>
  <c r="H74" i="1"/>
  <c r="J79" i="1"/>
  <c r="G83" i="1"/>
  <c r="E83" i="1"/>
  <c r="J86" i="1"/>
  <c r="K66" i="1"/>
  <c r="K84" i="1"/>
  <c r="J84" i="1"/>
  <c r="G84" i="1"/>
  <c r="F84" i="1"/>
  <c r="E84" i="1"/>
  <c r="D84" i="1"/>
  <c r="L81" i="1"/>
  <c r="K81" i="1"/>
  <c r="G81" i="1"/>
  <c r="F81" i="1"/>
  <c r="E81" i="1"/>
  <c r="D81" i="1"/>
  <c r="J68" i="1"/>
  <c r="J76" i="1"/>
  <c r="J83" i="1"/>
  <c r="L83" i="1"/>
  <c r="H83" i="1"/>
  <c r="I83" i="1"/>
  <c r="G86" i="1"/>
  <c r="H81" i="1"/>
  <c r="L84" i="1"/>
  <c r="J81" i="1"/>
  <c r="H84" i="1"/>
  <c r="I84" i="1"/>
  <c r="J78" i="1"/>
  <c r="K77" i="1"/>
  <c r="I72" i="1"/>
  <c r="K89" i="1"/>
  <c r="F89" i="1"/>
  <c r="E89" i="1"/>
  <c r="D89" i="1"/>
  <c r="L68" i="1"/>
  <c r="H68" i="1"/>
  <c r="H86" i="1"/>
  <c r="G66" i="1"/>
  <c r="G89" i="1"/>
  <c r="J89" i="1"/>
  <c r="L89" i="1"/>
  <c r="H89" i="1"/>
  <c r="I89" i="1"/>
  <c r="L69" i="1"/>
  <c r="L70" i="1"/>
  <c r="H70" i="1"/>
  <c r="I66" i="1"/>
  <c r="J69" i="1"/>
  <c r="J70" i="1"/>
  <c r="I70" i="1"/>
  <c r="L66" i="1"/>
  <c r="J67" i="1"/>
  <c r="I74" i="1"/>
  <c r="L74" i="1"/>
  <c r="G74" i="1"/>
  <c r="L75" i="1"/>
  <c r="J75" i="1"/>
  <c r="H75" i="1"/>
  <c r="J66" i="1"/>
  <c r="G67" i="1"/>
  <c r="K87" i="1"/>
  <c r="F82" i="1"/>
  <c r="D82" i="1"/>
  <c r="H77" i="1"/>
  <c r="K71" i="1"/>
  <c r="G71" i="1"/>
  <c r="I73" i="1"/>
  <c r="K82" i="1"/>
  <c r="G82" i="1"/>
  <c r="E82" i="1"/>
  <c r="G79" i="1"/>
  <c r="G76" i="1"/>
  <c r="J80" i="1"/>
  <c r="G80" i="1"/>
  <c r="F80" i="1"/>
  <c r="E80" i="1"/>
  <c r="D80" i="1"/>
  <c r="I77" i="1"/>
  <c r="J87" i="1"/>
  <c r="K85" i="1"/>
  <c r="H85" i="1"/>
  <c r="F85" i="1"/>
  <c r="E85" i="1"/>
  <c r="D85" i="1"/>
  <c r="K80" i="1"/>
  <c r="J85" i="1"/>
  <c r="H10" i="1"/>
  <c r="H14" i="1"/>
  <c r="J18" i="1"/>
  <c r="F18" i="1"/>
  <c r="E18" i="1"/>
  <c r="D18" i="1"/>
  <c r="G8" i="1"/>
  <c r="I12" i="1"/>
  <c r="G12" i="1"/>
  <c r="J14" i="1"/>
  <c r="K18" i="1"/>
  <c r="G18" i="1"/>
  <c r="H18" i="1"/>
  <c r="L18" i="1"/>
  <c r="I18" i="1"/>
  <c r="H13" i="1"/>
  <c r="H11" i="1"/>
  <c r="J51" i="1"/>
  <c r="K54" i="1"/>
  <c r="G54" i="1"/>
  <c r="F54" i="1"/>
  <c r="E54" i="1"/>
  <c r="D54" i="1"/>
  <c r="L60" i="1"/>
  <c r="K60" i="1"/>
  <c r="F60" i="1"/>
  <c r="D60" i="1"/>
  <c r="K53" i="1"/>
  <c r="F53" i="1"/>
  <c r="E53" i="1"/>
  <c r="D53" i="1"/>
  <c r="K52" i="1"/>
  <c r="F52" i="1"/>
  <c r="E52" i="1"/>
  <c r="D52" i="1"/>
  <c r="J48" i="1"/>
  <c r="L39" i="1"/>
  <c r="K39" i="1"/>
  <c r="G39" i="1"/>
  <c r="F39" i="1"/>
  <c r="E39" i="1"/>
  <c r="D39" i="1"/>
  <c r="K58" i="1"/>
  <c r="H58" i="1"/>
  <c r="F58" i="1"/>
  <c r="E58" i="1"/>
  <c r="D58" i="1"/>
  <c r="K40" i="1"/>
  <c r="F40" i="1"/>
  <c r="E40" i="1"/>
  <c r="D40" i="1"/>
  <c r="J54" i="1"/>
  <c r="L54" i="1"/>
  <c r="I59" i="1"/>
  <c r="G60" i="1"/>
  <c r="E60" i="1"/>
  <c r="G53" i="1"/>
  <c r="J53" i="1"/>
  <c r="L53" i="1"/>
  <c r="H53" i="1"/>
  <c r="I53" i="1"/>
  <c r="L50" i="1"/>
  <c r="G52" i="1"/>
  <c r="H51" i="1"/>
  <c r="I51" i="1"/>
  <c r="H52" i="1"/>
  <c r="I52" i="1"/>
  <c r="J52" i="1"/>
  <c r="L52" i="1"/>
  <c r="J39" i="1"/>
  <c r="H40" i="1"/>
  <c r="I39" i="1"/>
  <c r="I38" i="1"/>
  <c r="G48" i="1"/>
  <c r="J40" i="1"/>
  <c r="G40" i="1"/>
  <c r="J47" i="1"/>
  <c r="J42" i="1"/>
  <c r="I41" i="1"/>
  <c r="L45" i="1"/>
  <c r="J45" i="1"/>
  <c r="L44" i="1"/>
  <c r="G50" i="1"/>
  <c r="L40" i="1"/>
  <c r="H60" i="1"/>
  <c r="I60" i="1"/>
  <c r="G58" i="1"/>
  <c r="J60" i="1"/>
  <c r="J58" i="1"/>
  <c r="L58" i="1"/>
  <c r="I58" i="1"/>
  <c r="H39" i="1"/>
  <c r="J37" i="1"/>
  <c r="H41" i="1"/>
  <c r="J46" i="1"/>
  <c r="H38" i="1"/>
  <c r="J43" i="1"/>
  <c r="I48" i="1"/>
  <c r="K56" i="1"/>
  <c r="F56" i="1"/>
  <c r="E56" i="1"/>
  <c r="D56" i="1"/>
  <c r="G44" i="1"/>
  <c r="G56" i="1"/>
  <c r="H46" i="1"/>
  <c r="L42" i="1"/>
  <c r="L205" i="1"/>
  <c r="J205" i="1"/>
  <c r="H205" i="1"/>
  <c r="I198" i="1"/>
  <c r="H198" i="1"/>
  <c r="L191" i="1"/>
  <c r="I197" i="1"/>
  <c r="H197" i="1"/>
  <c r="G197" i="1"/>
  <c r="L208" i="1"/>
  <c r="H208" i="1"/>
  <c r="H195" i="1"/>
  <c r="I194" i="1"/>
  <c r="L167" i="1"/>
  <c r="J167" i="1"/>
  <c r="I167" i="1"/>
  <c r="L178" i="1"/>
  <c r="K178" i="1"/>
  <c r="I178" i="1"/>
  <c r="H178" i="1"/>
  <c r="G178" i="1"/>
  <c r="L166" i="1"/>
  <c r="I166" i="1"/>
  <c r="I165" i="1"/>
  <c r="L163" i="1"/>
  <c r="I163" i="1"/>
  <c r="H163" i="1"/>
  <c r="L176" i="1"/>
  <c r="I176" i="1"/>
  <c r="H176" i="1"/>
  <c r="G176" i="1"/>
  <c r="L157" i="1"/>
  <c r="I162" i="1"/>
  <c r="L158" i="1"/>
  <c r="I158" i="1"/>
  <c r="H156" i="1"/>
  <c r="L160" i="1"/>
  <c r="I160" i="1"/>
  <c r="L179" i="1"/>
  <c r="J179" i="1"/>
  <c r="I179" i="1"/>
  <c r="H179" i="1"/>
  <c r="G179" i="1"/>
  <c r="L175" i="1"/>
  <c r="I175" i="1"/>
  <c r="H175" i="1"/>
  <c r="L171" i="1"/>
  <c r="J171" i="1"/>
  <c r="I171" i="1"/>
  <c r="H171" i="1"/>
  <c r="G171" i="1"/>
  <c r="L159" i="1"/>
  <c r="I159" i="1"/>
  <c r="I137" i="1"/>
  <c r="G137" i="1"/>
  <c r="I138" i="1"/>
  <c r="J129" i="1"/>
  <c r="I130" i="1"/>
  <c r="H130" i="1"/>
  <c r="L131" i="1"/>
  <c r="G131" i="1"/>
  <c r="I135" i="1"/>
  <c r="L136" i="1"/>
  <c r="L132" i="1"/>
  <c r="J132" i="1"/>
  <c r="H132" i="1"/>
  <c r="L145" i="1"/>
  <c r="I145" i="1"/>
  <c r="H145" i="1"/>
  <c r="G145" i="1"/>
  <c r="L134" i="1"/>
  <c r="I134" i="1"/>
  <c r="L128" i="1"/>
  <c r="H133" i="1"/>
  <c r="J113" i="1"/>
  <c r="H113" i="1"/>
  <c r="L107" i="1"/>
  <c r="J107" i="1"/>
  <c r="I107" i="1"/>
  <c r="I101" i="1"/>
  <c r="H101" i="1"/>
  <c r="L110" i="1"/>
  <c r="H100" i="1"/>
  <c r="L98" i="1"/>
  <c r="H98" i="1"/>
  <c r="I112" i="1"/>
  <c r="H112" i="1"/>
  <c r="L104" i="1"/>
  <c r="I104" i="1"/>
  <c r="L106" i="1"/>
  <c r="I106" i="1"/>
  <c r="H106" i="1"/>
  <c r="G106" i="1"/>
  <c r="J97" i="1"/>
  <c r="L118" i="1"/>
  <c r="J118" i="1"/>
  <c r="I118" i="1"/>
  <c r="G118" i="1"/>
  <c r="L102" i="1"/>
  <c r="H102" i="1"/>
  <c r="L103" i="1"/>
  <c r="I103" i="1"/>
  <c r="I99" i="1"/>
  <c r="H99" i="1"/>
  <c r="G77" i="1"/>
  <c r="L77" i="1"/>
  <c r="H66" i="1"/>
  <c r="H80" i="1"/>
  <c r="I80" i="1"/>
  <c r="L80" i="1"/>
  <c r="H76" i="1"/>
  <c r="I76" i="1"/>
  <c r="L76" i="1"/>
  <c r="I68" i="1"/>
  <c r="H79" i="1"/>
  <c r="I79" i="1"/>
  <c r="H82" i="1"/>
  <c r="I82" i="1"/>
  <c r="J82" i="1"/>
  <c r="L82" i="1"/>
  <c r="G78" i="1"/>
  <c r="L78" i="1"/>
  <c r="G85" i="1"/>
  <c r="I85" i="1"/>
  <c r="I67" i="1"/>
  <c r="G87" i="1"/>
  <c r="H87" i="1"/>
  <c r="I87" i="1"/>
  <c r="H72" i="1"/>
  <c r="H71" i="1"/>
  <c r="I71" i="1"/>
  <c r="L67" i="1"/>
  <c r="L87" i="1"/>
  <c r="L71" i="1"/>
  <c r="L85" i="1"/>
  <c r="G51" i="1"/>
  <c r="H56" i="1"/>
  <c r="I56" i="1"/>
  <c r="J56" i="1"/>
  <c r="I40" i="1"/>
  <c r="I44" i="1"/>
  <c r="H50" i="1"/>
  <c r="I50" i="1"/>
  <c r="H37" i="1"/>
  <c r="H49" i="1"/>
  <c r="I49" i="1"/>
  <c r="J49" i="1"/>
  <c r="H43" i="1"/>
  <c r="I43" i="1"/>
  <c r="I42" i="1"/>
  <c r="I46" i="1"/>
  <c r="L37" i="1"/>
  <c r="L49" i="1"/>
  <c r="L47" i="1"/>
  <c r="I47" i="1"/>
  <c r="H47" i="1"/>
  <c r="L56" i="1"/>
  <c r="L51" i="1"/>
  <c r="L38" i="1"/>
  <c r="E21" i="1"/>
  <c r="E23" i="1"/>
  <c r="D21" i="1"/>
  <c r="L10" i="1"/>
  <c r="H8" i="1"/>
  <c r="H9" i="1"/>
  <c r="D22" i="1"/>
  <c r="E22" i="1"/>
  <c r="F22" i="1"/>
  <c r="J22" i="1"/>
  <c r="K22" i="1"/>
  <c r="L22" i="1"/>
  <c r="H22" i="1"/>
  <c r="I22" i="1"/>
  <c r="G22" i="1"/>
  <c r="K20" i="1"/>
  <c r="J20" i="1"/>
  <c r="F20" i="1"/>
  <c r="E20" i="1"/>
  <c r="D20" i="1"/>
  <c r="G20" i="1"/>
  <c r="H20" i="1"/>
  <c r="L20" i="1"/>
  <c r="I20" i="1"/>
  <c r="L14" i="1"/>
  <c r="I8" i="1"/>
  <c r="H17" i="1"/>
  <c r="E19" i="1"/>
  <c r="L16" i="1"/>
  <c r="L12" i="1"/>
  <c r="L11" i="1"/>
  <c r="H19" i="1"/>
  <c r="F19" i="1"/>
  <c r="D19" i="1"/>
  <c r="G23" i="1"/>
  <c r="F23" i="1"/>
  <c r="D23" i="1"/>
  <c r="K21" i="1"/>
  <c r="H21" i="1"/>
  <c r="F21" i="1"/>
  <c r="J8" i="1"/>
  <c r="K19" i="1"/>
  <c r="G19" i="1"/>
  <c r="L19" i="1"/>
  <c r="J19" i="1"/>
  <c r="H16" i="1"/>
  <c r="I16" i="1"/>
  <c r="I19" i="1"/>
  <c r="K23" i="1"/>
  <c r="G21" i="1"/>
  <c r="L21" i="1"/>
  <c r="I17" i="1"/>
  <c r="J16" i="1"/>
  <c r="H23" i="1"/>
  <c r="I23" i="1"/>
  <c r="J23" i="1"/>
  <c r="L23" i="1"/>
  <c r="I11" i="1"/>
  <c r="I13" i="1"/>
  <c r="L13" i="1"/>
  <c r="H7" i="1"/>
  <c r="L7" i="1"/>
  <c r="L8" i="1"/>
  <c r="J10" i="1"/>
  <c r="H15" i="1"/>
  <c r="I9" i="1"/>
  <c r="L9" i="1"/>
  <c r="I21" i="1"/>
  <c r="J21" i="1"/>
  <c r="L17" i="1"/>
  <c r="C117" i="1" l="1"/>
  <c r="J209" i="1"/>
  <c r="C84" i="1"/>
  <c r="C111" i="1"/>
  <c r="E149" i="1"/>
  <c r="C203" i="1"/>
  <c r="C202" i="1"/>
  <c r="I209" i="1"/>
  <c r="C189" i="1"/>
  <c r="H209" i="1"/>
  <c r="C142" i="1"/>
  <c r="C114" i="1"/>
  <c r="L209" i="1"/>
  <c r="C199" i="1"/>
  <c r="C201" i="1"/>
  <c r="G209" i="1"/>
  <c r="D209" i="1"/>
  <c r="F209" i="1"/>
  <c r="K209" i="1"/>
  <c r="E209" i="1"/>
  <c r="C207" i="1"/>
  <c r="C204" i="1"/>
  <c r="C200" i="1"/>
  <c r="C166" i="1"/>
  <c r="C170" i="1"/>
  <c r="C180" i="1"/>
  <c r="C192" i="1"/>
  <c r="C188" i="1"/>
  <c r="L90" i="1"/>
  <c r="H90" i="1"/>
  <c r="I90" i="1"/>
  <c r="C177" i="1"/>
  <c r="C161" i="1"/>
  <c r="C173" i="1"/>
  <c r="C143" i="1"/>
  <c r="C148" i="1"/>
  <c r="C127" i="1"/>
  <c r="C141" i="1"/>
  <c r="C144" i="1"/>
  <c r="C109" i="1"/>
  <c r="E90" i="1"/>
  <c r="G90" i="1"/>
  <c r="D90" i="1"/>
  <c r="K90" i="1"/>
  <c r="J90" i="1"/>
  <c r="F90" i="1"/>
  <c r="C83" i="1"/>
  <c r="C49" i="1"/>
  <c r="C103" i="1"/>
  <c r="C56" i="1"/>
  <c r="C81" i="1"/>
  <c r="C70" i="1"/>
  <c r="E120" i="1"/>
  <c r="I120" i="1"/>
  <c r="C102" i="1"/>
  <c r="C106" i="1"/>
  <c r="C100" i="1"/>
  <c r="C110" i="1"/>
  <c r="C128" i="1"/>
  <c r="C136" i="1"/>
  <c r="C130" i="1"/>
  <c r="C138" i="1"/>
  <c r="C175" i="1"/>
  <c r="C156" i="1"/>
  <c r="C176" i="1"/>
  <c r="C178" i="1"/>
  <c r="C195" i="1"/>
  <c r="C197" i="1"/>
  <c r="C198" i="1"/>
  <c r="D61" i="1"/>
  <c r="C75" i="1"/>
  <c r="C89" i="1"/>
  <c r="C86" i="1"/>
  <c r="C76" i="1"/>
  <c r="G61" i="1"/>
  <c r="C133" i="1"/>
  <c r="C132" i="1"/>
  <c r="C131" i="1"/>
  <c r="C171" i="1"/>
  <c r="C179" i="1"/>
  <c r="C158" i="1"/>
  <c r="C163" i="1"/>
  <c r="C167" i="1"/>
  <c r="C208" i="1"/>
  <c r="C205" i="1"/>
  <c r="H61" i="1"/>
  <c r="E61" i="1"/>
  <c r="I61" i="1"/>
  <c r="K61" i="1"/>
  <c r="L61" i="1"/>
  <c r="J61" i="1"/>
  <c r="F61" i="1"/>
  <c r="C18" i="1"/>
  <c r="C78" i="1"/>
  <c r="C74" i="1"/>
  <c r="C80" i="1"/>
  <c r="C66" i="1"/>
  <c r="C107" i="1"/>
  <c r="C145" i="1"/>
  <c r="C160" i="1"/>
  <c r="C162" i="1"/>
  <c r="C165" i="1"/>
  <c r="C196" i="1"/>
  <c r="C191" i="1"/>
  <c r="C22" i="1"/>
  <c r="C71" i="1"/>
  <c r="C87" i="1"/>
  <c r="C67" i="1"/>
  <c r="C77" i="1"/>
  <c r="C105" i="1"/>
  <c r="C98" i="1"/>
  <c r="C101" i="1"/>
  <c r="C134" i="1"/>
  <c r="C135" i="1"/>
  <c r="C129" i="1"/>
  <c r="C137" i="1"/>
  <c r="C164" i="1"/>
  <c r="C157" i="1"/>
  <c r="C187" i="1"/>
  <c r="C193" i="1"/>
  <c r="C190" i="1"/>
  <c r="C99" i="1"/>
  <c r="J120" i="1"/>
  <c r="C118" i="1"/>
  <c r="C104" i="1"/>
  <c r="C96" i="1"/>
  <c r="C139" i="1"/>
  <c r="C159" i="1"/>
  <c r="C194" i="1"/>
  <c r="C53" i="1"/>
  <c r="G120" i="1"/>
  <c r="K120" i="1"/>
  <c r="C97" i="1"/>
  <c r="C112" i="1"/>
  <c r="C113" i="1"/>
  <c r="D120" i="1"/>
  <c r="H120" i="1"/>
  <c r="L120" i="1"/>
  <c r="C54" i="1"/>
  <c r="C52" i="1"/>
  <c r="C58" i="1"/>
  <c r="C38" i="1"/>
  <c r="C45" i="1"/>
  <c r="C60" i="1"/>
  <c r="C48" i="1"/>
  <c r="C40" i="1"/>
  <c r="C43" i="1"/>
  <c r="C41" i="1"/>
  <c r="C50" i="1"/>
  <c r="C37" i="1"/>
  <c r="C42" i="1"/>
  <c r="F120" i="1"/>
  <c r="C44" i="1"/>
  <c r="C73" i="1"/>
  <c r="C85" i="1"/>
  <c r="C82" i="1"/>
  <c r="C39" i="1"/>
  <c r="C46" i="1"/>
  <c r="C47" i="1"/>
  <c r="C72" i="1"/>
  <c r="C69" i="1"/>
  <c r="J24" i="1"/>
  <c r="L24" i="1"/>
  <c r="C51" i="1"/>
  <c r="C79" i="1"/>
  <c r="G24" i="1"/>
  <c r="K24" i="1"/>
  <c r="F24" i="1"/>
  <c r="E24" i="1"/>
  <c r="D24" i="1"/>
  <c r="C20" i="1"/>
  <c r="C11" i="1"/>
  <c r="C19" i="1"/>
  <c r="C8" i="1"/>
  <c r="C16" i="1"/>
  <c r="C13" i="1"/>
  <c r="C23" i="1"/>
  <c r="C10" i="1"/>
  <c r="C21" i="1"/>
  <c r="C9" i="1"/>
  <c r="C15" i="1"/>
  <c r="C7" i="1"/>
  <c r="C17" i="1"/>
  <c r="H12" i="1"/>
  <c r="I14" i="1"/>
  <c r="I24" i="1" s="1"/>
  <c r="C90" i="1" l="1"/>
  <c r="C120" i="1"/>
  <c r="H24" i="1"/>
  <c r="C24" i="1"/>
  <c r="C14" i="1"/>
  <c r="C12" i="1"/>
  <c r="C61" i="1"/>
  <c r="C209" i="1"/>
  <c r="H181" i="1"/>
  <c r="H149" i="1"/>
  <c r="J149" i="1"/>
  <c r="I149" i="1"/>
  <c r="F181" i="1"/>
  <c r="C181" i="1"/>
  <c r="G149" i="1"/>
  <c r="G181" i="1"/>
  <c r="I181" i="1"/>
  <c r="K149" i="1"/>
  <c r="C149" i="1"/>
  <c r="F149" i="1"/>
  <c r="J181" i="1"/>
  <c r="L149" i="1"/>
  <c r="L181" i="1"/>
  <c r="D181" i="1"/>
  <c r="D149" i="1"/>
  <c r="K181" i="1"/>
</calcChain>
</file>

<file path=xl/sharedStrings.xml><?xml version="1.0" encoding="utf-8"?>
<sst xmlns="http://schemas.openxmlformats.org/spreadsheetml/2006/main" count="242" uniqueCount="169">
  <si>
    <t>OHIO ROOFING</t>
  </si>
  <si>
    <t>BRIAN FLEMING</t>
  </si>
  <si>
    <t>AVG.</t>
  </si>
  <si>
    <t>AB</t>
  </si>
  <si>
    <t>R</t>
  </si>
  <si>
    <t>H</t>
  </si>
  <si>
    <t>2B</t>
  </si>
  <si>
    <t>HR</t>
  </si>
  <si>
    <t>BB</t>
  </si>
  <si>
    <t>RBI</t>
  </si>
  <si>
    <t>3B</t>
  </si>
  <si>
    <t>SAC</t>
  </si>
  <si>
    <t>ANTHONY WILFORD</t>
  </si>
  <si>
    <t>LUCIUS JOHNSON</t>
  </si>
  <si>
    <t>JAMES STEELE</t>
  </si>
  <si>
    <t>ERIC BOSAK</t>
  </si>
  <si>
    <t>MATT TAYLOR</t>
  </si>
  <si>
    <t>JOSH BOLL</t>
  </si>
  <si>
    <t>MATT KASZA</t>
  </si>
  <si>
    <t>JORDAN CAVANAUGH</t>
  </si>
  <si>
    <t xml:space="preserve">BEN CRUZ </t>
  </si>
  <si>
    <t>NATE TADJ</t>
  </si>
  <si>
    <t>DAVE SCOTT</t>
  </si>
  <si>
    <t>DAVE REPKO</t>
  </si>
  <si>
    <t>TIM PERKINS</t>
  </si>
  <si>
    <t>JASON SALIBA</t>
  </si>
  <si>
    <t>MUD DAWGS</t>
  </si>
  <si>
    <t>WASTED TALENT</t>
  </si>
  <si>
    <t>SMASH BROTHERS</t>
  </si>
  <si>
    <t>RAT BASTARDS</t>
  </si>
  <si>
    <t>ARTURO'S</t>
  </si>
  <si>
    <t>L D PREMIUM</t>
  </si>
  <si>
    <t>LOU NEMETH</t>
  </si>
  <si>
    <t>BRIAN McCULLOCH</t>
  </si>
  <si>
    <t>JOSH GROSSMAN</t>
  </si>
  <si>
    <t>BRIAN JOHNSON</t>
  </si>
  <si>
    <t>ADDISON SEDLAY</t>
  </si>
  <si>
    <t>CHRIS ASSANAKIS</t>
  </si>
  <si>
    <t>JOE HUDAK</t>
  </si>
  <si>
    <t>KYLE SALYAN</t>
  </si>
  <si>
    <t>FRANK ZELLEY</t>
  </si>
  <si>
    <t>BRENNAN MARTIN</t>
  </si>
  <si>
    <t>DANNY DRUMM</t>
  </si>
  <si>
    <t>BRIAN HILL</t>
  </si>
  <si>
    <t>SEAN SMITH</t>
  </si>
  <si>
    <t>JEREMY SANCHEZ</t>
  </si>
  <si>
    <t>CHRIS COOK</t>
  </si>
  <si>
    <t>MOE QURESHI</t>
  </si>
  <si>
    <t>DUANE MENGES</t>
  </si>
  <si>
    <t>HAYDEN MENGES</t>
  </si>
  <si>
    <t>RYAN ADAMS</t>
  </si>
  <si>
    <t>SETH EPPS</t>
  </si>
  <si>
    <t>JUAN JULIO</t>
  </si>
  <si>
    <t>ZACH UPTON</t>
  </si>
  <si>
    <t>HAYDEN BUCKLEY</t>
  </si>
  <si>
    <t>NATHAN RORICK</t>
  </si>
  <si>
    <t>LEE BRASS</t>
  </si>
  <si>
    <t>JIMMY V</t>
  </si>
  <si>
    <t>JOHNNY S</t>
  </si>
  <si>
    <t>ADAM COX</t>
  </si>
  <si>
    <t>DARREN LAUGHLIN</t>
  </si>
  <si>
    <t>TOMMY L</t>
  </si>
  <si>
    <t>DYLAN PECK</t>
  </si>
  <si>
    <t>JIMMY H</t>
  </si>
  <si>
    <t>TYLER COX</t>
  </si>
  <si>
    <t>NEFF</t>
  </si>
  <si>
    <t>RYAN KRAUS</t>
  </si>
  <si>
    <t>JOSH MALAMES</t>
  </si>
  <si>
    <t>ZACH BROSCHTE</t>
  </si>
  <si>
    <t>SEAN McNAMARA</t>
  </si>
  <si>
    <t>PRESTON WARNER</t>
  </si>
  <si>
    <t>CAL WOLORSKY</t>
  </si>
  <si>
    <t>TOMMY McNAMARA</t>
  </si>
  <si>
    <t>JOEY NERONE</t>
  </si>
  <si>
    <t>BRENT FICKEL</t>
  </si>
  <si>
    <t>ROB ASSANAKIS</t>
  </si>
  <si>
    <t>NOLAN STAAB</t>
  </si>
  <si>
    <t>KYLE BELLOMY</t>
  </si>
  <si>
    <t>CLAY RAINEY</t>
  </si>
  <si>
    <t>JASON POLITKOWSKI</t>
  </si>
  <si>
    <t>TREVOR HUBER</t>
  </si>
  <si>
    <t>MARK WHITEHAIR</t>
  </si>
  <si>
    <t>DON JONES</t>
  </si>
  <si>
    <t>BRAD NOVAK</t>
  </si>
  <si>
    <t>BRANDON SANSAVERA</t>
  </si>
  <si>
    <t>ERIC VIERGUTZ</t>
  </si>
  <si>
    <t>BRYCE MOSTELLER</t>
  </si>
  <si>
    <t>RORY KUMMER</t>
  </si>
  <si>
    <t>ERIC MURPHY</t>
  </si>
  <si>
    <t>KEVIN MORAN</t>
  </si>
  <si>
    <t>GABE DZURO</t>
  </si>
  <si>
    <t>TONY BANKS</t>
  </si>
  <si>
    <t>DONNY MYERS</t>
  </si>
  <si>
    <t>MATT KONYESHI</t>
  </si>
  <si>
    <t>COLIN KILBANE</t>
  </si>
  <si>
    <t>CHAD BLAKE</t>
  </si>
  <si>
    <t>MARK BREWER</t>
  </si>
  <si>
    <t>RYAN MINNICK</t>
  </si>
  <si>
    <t>KEITH CHROSNIAK</t>
  </si>
  <si>
    <t>ROBBIE HIGGINS</t>
  </si>
  <si>
    <t>DUSTIN BOYCE</t>
  </si>
  <si>
    <t>RALPH MORRISON</t>
  </si>
  <si>
    <t>DAVID KERR</t>
  </si>
  <si>
    <t>JEREMY SOMMERS</t>
  </si>
  <si>
    <t>BRAD WOLFE</t>
  </si>
  <si>
    <t>JIM ELLIOTT</t>
  </si>
  <si>
    <t>MOE BELCHER</t>
  </si>
  <si>
    <t>MIKE KENNISON</t>
  </si>
  <si>
    <t>GREG KLYCZEK</t>
  </si>
  <si>
    <t>DAVE MATRAS</t>
  </si>
  <si>
    <t>WILL SMITH</t>
  </si>
  <si>
    <t>DEVIN RADFORD</t>
  </si>
  <si>
    <t>WILL MULLENS</t>
  </si>
  <si>
    <t>JIM INVIAC</t>
  </si>
  <si>
    <t>CHAS RODMAN</t>
  </si>
  <si>
    <t>GEO. ASSANAKIS</t>
  </si>
  <si>
    <t xml:space="preserve">          KEVIN YAMA             </t>
  </si>
  <si>
    <t>DEREK EVANS</t>
  </si>
  <si>
    <t>TRAVIS SMITH</t>
  </si>
  <si>
    <t>ALEX JARVIS</t>
  </si>
  <si>
    <t>BRANDY X</t>
  </si>
  <si>
    <t>ADAM SCHENK</t>
  </si>
  <si>
    <t>TIM DONELON</t>
  </si>
  <si>
    <t>BEN SCHENK</t>
  </si>
  <si>
    <t>BRIAN WLODARCZYK</t>
  </si>
  <si>
    <t>TREV SILVERBLATT</t>
  </si>
  <si>
    <t>CAM EGNOR</t>
  </si>
  <si>
    <t>CHRIS ENDS</t>
  </si>
  <si>
    <t>ANTHONY KIZZIAH</t>
  </si>
  <si>
    <t>ZAC KISSELLE</t>
  </si>
  <si>
    <t>TIM KISER</t>
  </si>
  <si>
    <t>OTHER</t>
  </si>
  <si>
    <t>BOBBY HAMSLER</t>
  </si>
  <si>
    <t>LAMAR HORVATH</t>
  </si>
  <si>
    <t>CONOR ROWE</t>
  </si>
  <si>
    <t>JOHN TURY</t>
  </si>
  <si>
    <t>CHAD SWISHER</t>
  </si>
  <si>
    <t>SHAWN EVERISS</t>
  </si>
  <si>
    <t>KEVIN HAMMACK</t>
  </si>
  <si>
    <t>JASON STREJACK</t>
  </si>
  <si>
    <t>JOE WALSH</t>
  </si>
  <si>
    <t>JAKE SIMPSON</t>
  </si>
  <si>
    <t>KYLE KRASIUS</t>
  </si>
  <si>
    <t>BRANDON MICHAEL</t>
  </si>
  <si>
    <t>BRAD DeANGELIS</t>
  </si>
  <si>
    <t>TEDDY MANGON</t>
  </si>
  <si>
    <t>RALPH FASISI</t>
  </si>
  <si>
    <t>LUKE BAUMIDI</t>
  </si>
  <si>
    <t>NATE ARROD</t>
  </si>
  <si>
    <t>JAY MARTINE</t>
  </si>
  <si>
    <t>AJ JAFFAR</t>
  </si>
  <si>
    <t>JOE MAJ</t>
  </si>
  <si>
    <t>ERIC PASHERT</t>
  </si>
  <si>
    <t>MATT CRUZ</t>
  </si>
  <si>
    <t>DAVE ATKINS</t>
  </si>
  <si>
    <t>GARRETT DZURO</t>
  </si>
  <si>
    <t>BRIAN KELLY</t>
  </si>
  <si>
    <t>MARCUS RIVERA</t>
  </si>
  <si>
    <t>MITCH LORIG</t>
  </si>
  <si>
    <t>INCL 7/18/2024</t>
  </si>
  <si>
    <t>KYLE WAPSHOTT</t>
  </si>
  <si>
    <t>KYLE WILSON</t>
  </si>
  <si>
    <t>ALAN TIN</t>
  </si>
  <si>
    <t>RYAN WILLIAMS</t>
  </si>
  <si>
    <t>NICK JABLONSKI</t>
  </si>
  <si>
    <t>MATT CARADANG</t>
  </si>
  <si>
    <t>JIMMY VEALY</t>
  </si>
  <si>
    <t>NAT DRESCAL</t>
  </si>
  <si>
    <t>SEAN ROGERS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</si>
</sst>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0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Sheet1!$B$154</c:f>
              <c:strCache>
                <c:ptCount val="1"/>
                <c:pt idx="0">
                  <c:v>ARTURO'S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Sheet1!$B$155:$B$182</c:f>
              <c:numCache>
                <c:formatCode>General</c:formatCode>
                <c:ptCount val="28"/>
                <c:pt idx="0" formatCode="m/d/yyyy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E-44FA-B21D-4BE5A23D9568}"/>
            </c:ext>
          </c:extLst>
        </c:ser>
        <c:ser>
          <c:idx val="1"/>
          <c:order val="1"/>
          <c:tx>
            <c:strRef>
              <c:f>Sheet1!$C$154</c:f>
              <c:strCache>
                <c:ptCount val="1"/>
                <c:pt idx="0">
                  <c:v>AVG.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Sheet1!$C$155:$C$181</c:f>
              <c:numCache>
                <c:formatCode>.000</c:formatCode>
                <c:ptCount val="27"/>
                <c:pt idx="1">
                  <c:v>0.65217391304347827</c:v>
                </c:pt>
                <c:pt idx="2">
                  <c:v>0.63793103448275867</c:v>
                </c:pt>
                <c:pt idx="3">
                  <c:v>0.55000000000000004</c:v>
                </c:pt>
                <c:pt idx="4">
                  <c:v>0.54347826086956519</c:v>
                </c:pt>
                <c:pt idx="5">
                  <c:v>0.52777777777777779</c:v>
                </c:pt>
                <c:pt idx="6">
                  <c:v>0.51515151515151514</c:v>
                </c:pt>
                <c:pt idx="7">
                  <c:v>0.5</c:v>
                </c:pt>
                <c:pt idx="8">
                  <c:v>0.48571428571428571</c:v>
                </c:pt>
                <c:pt idx="9">
                  <c:v>0.45714285714285713</c:v>
                </c:pt>
                <c:pt idx="10">
                  <c:v>0.42857142857142855</c:v>
                </c:pt>
                <c:pt idx="11">
                  <c:v>0.41025641025641024</c:v>
                </c:pt>
                <c:pt idx="12">
                  <c:v>0.37142857142857144</c:v>
                </c:pt>
                <c:pt idx="13">
                  <c:v>1</c:v>
                </c:pt>
                <c:pt idx="14">
                  <c:v>0.83333333333333337</c:v>
                </c:pt>
                <c:pt idx="15">
                  <c:v>0.8</c:v>
                </c:pt>
                <c:pt idx="16">
                  <c:v>0.5625</c:v>
                </c:pt>
                <c:pt idx="17">
                  <c:v>0.5</c:v>
                </c:pt>
                <c:pt idx="18">
                  <c:v>0.5</c:v>
                </c:pt>
                <c:pt idx="19">
                  <c:v>0.4</c:v>
                </c:pt>
                <c:pt idx="20">
                  <c:v>0.36363636363636365</c:v>
                </c:pt>
                <c:pt idx="21">
                  <c:v>0.3</c:v>
                </c:pt>
                <c:pt idx="22">
                  <c:v>0.25</c:v>
                </c:pt>
                <c:pt idx="23">
                  <c:v>0.2857142857142857</c:v>
                </c:pt>
                <c:pt idx="24">
                  <c:v>7.6923076923076927E-2</c:v>
                </c:pt>
                <c:pt idx="25">
                  <c:v>0.4</c:v>
                </c:pt>
                <c:pt idx="26">
                  <c:v>0.48940269749518306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8E-44FA-B21D-4BE5A23D9568}"/>
            </c:ext>
          </c:extLst>
        </c:ser>
        <c:ser>
          <c:idx val="2"/>
          <c:order val="2"/>
          <c:tx>
            <c:strRef>
              <c:f>Sheet1!$D$154</c:f>
              <c:strCache>
                <c:ptCount val="1"/>
                <c:pt idx="0">
                  <c:v>AB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Sheet1!$D$155:$D$181</c:f>
              <c:numCache>
                <c:formatCode>General</c:formatCode>
                <c:ptCount val="27"/>
                <c:pt idx="1">
                  <c:v>46</c:v>
                </c:pt>
                <c:pt idx="2">
                  <c:v>58</c:v>
                </c:pt>
                <c:pt idx="3">
                  <c:v>40</c:v>
                </c:pt>
                <c:pt idx="4">
                  <c:v>46</c:v>
                </c:pt>
                <c:pt idx="5">
                  <c:v>36</c:v>
                </c:pt>
                <c:pt idx="6">
                  <c:v>33</c:v>
                </c:pt>
                <c:pt idx="7">
                  <c:v>38</c:v>
                </c:pt>
                <c:pt idx="8">
                  <c:v>35</c:v>
                </c:pt>
                <c:pt idx="9">
                  <c:v>35</c:v>
                </c:pt>
                <c:pt idx="10">
                  <c:v>28</c:v>
                </c:pt>
                <c:pt idx="11">
                  <c:v>39</c:v>
                </c:pt>
                <c:pt idx="12">
                  <c:v>35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16</c:v>
                </c:pt>
                <c:pt idx="17">
                  <c:v>4</c:v>
                </c:pt>
                <c:pt idx="18">
                  <c:v>8</c:v>
                </c:pt>
                <c:pt idx="19">
                  <c:v>5</c:v>
                </c:pt>
                <c:pt idx="20">
                  <c:v>11</c:v>
                </c:pt>
                <c:pt idx="21">
                  <c:v>20</c:v>
                </c:pt>
                <c:pt idx="22">
                  <c:v>4</c:v>
                </c:pt>
                <c:pt idx="23">
                  <c:v>14</c:v>
                </c:pt>
                <c:pt idx="24">
                  <c:v>13</c:v>
                </c:pt>
                <c:pt idx="25">
                  <c:v>15</c:v>
                </c:pt>
                <c:pt idx="26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E-44FA-B21D-4BE5A23D9568}"/>
            </c:ext>
          </c:extLst>
        </c:ser>
        <c:ser>
          <c:idx val="3"/>
          <c:order val="3"/>
          <c:tx>
            <c:strRef>
              <c:f>Sheet1!$E$154</c:f>
              <c:strCache>
                <c:ptCount val="1"/>
                <c:pt idx="0">
                  <c:v>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Sheet1!$E$155:$E$181</c:f>
              <c:numCache>
                <c:formatCode>General</c:formatCode>
                <c:ptCount val="27"/>
                <c:pt idx="1">
                  <c:v>15</c:v>
                </c:pt>
                <c:pt idx="2">
                  <c:v>31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8E-44FA-B21D-4BE5A23D9568}"/>
            </c:ext>
          </c:extLst>
        </c:ser>
        <c:ser>
          <c:idx val="4"/>
          <c:order val="4"/>
          <c:tx>
            <c:strRef>
              <c:f>Sheet1!$F$154</c:f>
              <c:strCache>
                <c:ptCount val="1"/>
                <c:pt idx="0">
                  <c:v>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Sheet1!$F$155:$F$181</c:f>
              <c:numCache>
                <c:formatCode>General</c:formatCode>
                <c:ptCount val="27"/>
                <c:pt idx="1">
                  <c:v>30</c:v>
                </c:pt>
                <c:pt idx="2">
                  <c:v>37</c:v>
                </c:pt>
                <c:pt idx="3">
                  <c:v>22</c:v>
                </c:pt>
                <c:pt idx="4">
                  <c:v>25</c:v>
                </c:pt>
                <c:pt idx="5">
                  <c:v>19</c:v>
                </c:pt>
                <c:pt idx="6">
                  <c:v>17</c:v>
                </c:pt>
                <c:pt idx="7">
                  <c:v>19</c:v>
                </c:pt>
                <c:pt idx="8">
                  <c:v>17</c:v>
                </c:pt>
                <c:pt idx="9">
                  <c:v>16</c:v>
                </c:pt>
                <c:pt idx="10">
                  <c:v>12</c:v>
                </c:pt>
                <c:pt idx="11">
                  <c:v>16</c:v>
                </c:pt>
                <c:pt idx="12">
                  <c:v>13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6</c:v>
                </c:pt>
                <c:pt idx="26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8E-44FA-B21D-4BE5A23D9568}"/>
            </c:ext>
          </c:extLst>
        </c:ser>
        <c:ser>
          <c:idx val="5"/>
          <c:order val="5"/>
          <c:tx>
            <c:strRef>
              <c:f>Sheet1!$G$154</c:f>
              <c:strCache>
                <c:ptCount val="1"/>
                <c:pt idx="0">
                  <c:v>2B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Sheet1!$G$155:$G$181</c:f>
              <c:numCache>
                <c:formatCode>General</c:formatCode>
                <c:ptCount val="27"/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8E-44FA-B21D-4BE5A23D9568}"/>
            </c:ext>
          </c:extLst>
        </c:ser>
        <c:ser>
          <c:idx val="6"/>
          <c:order val="6"/>
          <c:tx>
            <c:strRef>
              <c:f>Sheet1!$H$154</c:f>
              <c:strCache>
                <c:ptCount val="1"/>
                <c:pt idx="0">
                  <c:v>3B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Sheet1!$H$155:$H$181</c:f>
              <c:numCache>
                <c:formatCode>General</c:formatCode>
                <c:ptCount val="27"/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8E-44FA-B21D-4BE5A23D9568}"/>
            </c:ext>
          </c:extLst>
        </c:ser>
        <c:ser>
          <c:idx val="7"/>
          <c:order val="7"/>
          <c:tx>
            <c:strRef>
              <c:f>Sheet1!$I$154</c:f>
              <c:strCache>
                <c:ptCount val="1"/>
                <c:pt idx="0">
                  <c:v>HR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Sheet1!$I$155:$I$181</c:f>
              <c:numCache>
                <c:formatCode>General</c:formatCode>
                <c:ptCount val="27"/>
                <c:pt idx="1">
                  <c:v>3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8E-44FA-B21D-4BE5A23D9568}"/>
            </c:ext>
          </c:extLst>
        </c:ser>
        <c:ser>
          <c:idx val="8"/>
          <c:order val="8"/>
          <c:tx>
            <c:strRef>
              <c:f>Sheet1!$J$154</c:f>
              <c:strCache>
                <c:ptCount val="1"/>
                <c:pt idx="0">
                  <c:v>BB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Sheet1!$J$155:$J$181</c:f>
              <c:numCache>
                <c:formatCode>General</c:formatCode>
                <c:ptCount val="27"/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  <c:pt idx="2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28E-44FA-B21D-4BE5A23D9568}"/>
            </c:ext>
          </c:extLst>
        </c:ser>
        <c:ser>
          <c:idx val="9"/>
          <c:order val="9"/>
          <c:tx>
            <c:strRef>
              <c:f>Sheet1!$K$154</c:f>
              <c:strCache>
                <c:ptCount val="1"/>
                <c:pt idx="0">
                  <c:v>RBI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Sheet1!$K$155:$K$181</c:f>
              <c:numCache>
                <c:formatCode>General</c:formatCode>
                <c:ptCount val="27"/>
                <c:pt idx="1">
                  <c:v>16</c:v>
                </c:pt>
                <c:pt idx="2">
                  <c:v>25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16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8E-44FA-B21D-4BE5A23D9568}"/>
            </c:ext>
          </c:extLst>
        </c:ser>
        <c:ser>
          <c:idx val="10"/>
          <c:order val="10"/>
          <c:tx>
            <c:strRef>
              <c:f>Sheet1!$L$154</c:f>
              <c:strCache>
                <c:ptCount val="1"/>
                <c:pt idx="0">
                  <c:v>SAC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Sheet1!$L$155:$L$181</c:f>
              <c:numCache>
                <c:formatCode>General</c:formatCode>
                <c:ptCount val="27"/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8E-44FA-B21D-4BE5A23D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901472"/>
        <c:axId val="404897872"/>
      </c:barChart>
      <c:catAx>
        <c:axId val="404901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897872"/>
        <c:crosses val="autoZero"/>
        <c:auto val="1"/>
        <c:lblAlgn val="ctr"/>
        <c:lblOffset val="100"/>
        <c:noMultiLvlLbl val="0"/>
      </c:catAx>
      <c:valAx>
        <c:axId val="40489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90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1153303-A811-488C-91C0-EC6B0C5C399B}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6E870A-1690-5F85-2774-CF038AB295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E41FB-5378-486E-ACC4-037E7AB540D4}">
  <dimension ref="B3:M209"/>
  <sheetViews>
    <sheetView tabSelected="1" topLeftCell="A182" workbookViewId="0">
      <selection activeCell="E17" sqref="E17"/>
    </sheetView>
  </sheetViews>
  <sheetFormatPr defaultRowHeight="15" x14ac:dyDescent="0.25"/>
  <cols>
    <col min="1" max="1" width="2.5703125" customWidth="1"/>
    <col min="2" max="2" width="35.85546875" customWidth="1"/>
    <col min="3" max="3" width="9.7109375" customWidth="1"/>
    <col min="4" max="4" width="10" style="1" customWidth="1"/>
    <col min="5" max="5" width="10.140625" customWidth="1"/>
    <col min="6" max="6" width="9.5703125" style="1" customWidth="1"/>
    <col min="7" max="7" width="9.140625" customWidth="1"/>
    <col min="12" max="12" width="8.28515625" customWidth="1"/>
  </cols>
  <sheetData>
    <row r="3" spans="2:13" ht="15.75" thickBot="1" x14ac:dyDescent="0.3"/>
    <row r="4" spans="2:13" ht="20.25" thickBot="1" x14ac:dyDescent="0.3">
      <c r="B4" s="3" t="s">
        <v>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10</v>
      </c>
      <c r="I4" s="3" t="s">
        <v>7</v>
      </c>
      <c r="J4" s="3" t="s">
        <v>8</v>
      </c>
      <c r="K4" s="3" t="s">
        <v>9</v>
      </c>
      <c r="L4" s="3" t="s">
        <v>11</v>
      </c>
    </row>
    <row r="5" spans="2:13" x14ac:dyDescent="0.25">
      <c r="B5" s="12" t="s">
        <v>159</v>
      </c>
      <c r="C5" s="4"/>
      <c r="D5" s="5"/>
      <c r="E5" s="4"/>
      <c r="F5" s="5"/>
      <c r="G5" s="5"/>
      <c r="H5" s="5"/>
      <c r="I5" s="5"/>
      <c r="J5" s="5"/>
      <c r="K5" s="5"/>
      <c r="L5" s="4"/>
    </row>
    <row r="7" spans="2:13" ht="19.5" x14ac:dyDescent="0.25">
      <c r="B7" s="2" t="s">
        <v>15</v>
      </c>
      <c r="C7" s="6">
        <f>F7/D7</f>
        <v>0.66666666666666663</v>
      </c>
      <c r="D7" s="2">
        <f>3+6+2+5+4+3+3+4+4+3+3+3+2</f>
        <v>45</v>
      </c>
      <c r="E7" s="2">
        <f>3+1+5+3+4+2+1+2+2+1+2+2+1</f>
        <v>29</v>
      </c>
      <c r="F7" s="2">
        <f>3+5+2+4+3+2+2+2+1+2+2+2</f>
        <v>30</v>
      </c>
      <c r="G7" s="2">
        <f>1+1+1</f>
        <v>3</v>
      </c>
      <c r="H7" s="2">
        <f>0</f>
        <v>0</v>
      </c>
      <c r="I7" s="2">
        <f>2+3+1+1+1</f>
        <v>8</v>
      </c>
      <c r="J7" s="2">
        <f>2+1+1+2</f>
        <v>6</v>
      </c>
      <c r="K7" s="2">
        <f>5+9+3+1+3+1+2+2+1+2+2</f>
        <v>31</v>
      </c>
      <c r="L7" s="2">
        <f>0</f>
        <v>0</v>
      </c>
    </row>
    <row r="8" spans="2:13" ht="19.5" x14ac:dyDescent="0.25">
      <c r="B8" s="2" t="s">
        <v>16</v>
      </c>
      <c r="C8" s="6">
        <f>F8/D8</f>
        <v>0.65</v>
      </c>
      <c r="D8" s="2">
        <f>3+2+3+5+4+4+3+4+4+4+4</f>
        <v>40</v>
      </c>
      <c r="E8" s="2">
        <f>1+1+2+5+2+2+1+2+1+2+2+1</f>
        <v>22</v>
      </c>
      <c r="F8" s="2">
        <f>1+1+2+5+3+2+2+2+3+3+2</f>
        <v>26</v>
      </c>
      <c r="G8" s="2">
        <f>1+1+1+1</f>
        <v>4</v>
      </c>
      <c r="H8" s="2">
        <f>1+1+1</f>
        <v>3</v>
      </c>
      <c r="I8" s="2">
        <f>1+1</f>
        <v>2</v>
      </c>
      <c r="J8" s="2">
        <f>1</f>
        <v>1</v>
      </c>
      <c r="K8" s="2">
        <f>1+5+5+3+2+1+1+3+1</f>
        <v>22</v>
      </c>
      <c r="L8" s="2">
        <f>0</f>
        <v>0</v>
      </c>
    </row>
    <row r="9" spans="2:13" ht="19.5" x14ac:dyDescent="0.25">
      <c r="B9" s="2" t="s">
        <v>18</v>
      </c>
      <c r="C9" s="6">
        <f>F9/D9</f>
        <v>0.58974358974358976</v>
      </c>
      <c r="D9" s="2">
        <f>3+2+1+3+3+3+3+2+4+2+4+2+4+3</f>
        <v>39</v>
      </c>
      <c r="E9" s="2">
        <f>2+1+1+1+2+1+1+2+1+2+1+1</f>
        <v>16</v>
      </c>
      <c r="F9" s="2">
        <f>3+2+1+1+2+1+4+1+3+3+2</f>
        <v>23</v>
      </c>
      <c r="G9" s="2">
        <f>1+1</f>
        <v>2</v>
      </c>
      <c r="H9" s="2">
        <f>1</f>
        <v>1</v>
      </c>
      <c r="I9" s="2">
        <f>0</f>
        <v>0</v>
      </c>
      <c r="J9" s="2">
        <f>1+1+1+1+2+1</f>
        <v>7</v>
      </c>
      <c r="K9" s="2">
        <f>2+1+2+1+1+1+1+1+1+2</f>
        <v>13</v>
      </c>
      <c r="L9" s="2">
        <f>0</f>
        <v>0</v>
      </c>
    </row>
    <row r="10" spans="2:13" ht="19.5" x14ac:dyDescent="0.25">
      <c r="B10" s="2" t="s">
        <v>134</v>
      </c>
      <c r="C10" s="6">
        <f>F10/D10</f>
        <v>0.58620689655172409</v>
      </c>
      <c r="D10" s="2">
        <f>3+3+2+4+6+3+5+4+4+2+4+4+4+2+4+4</f>
        <v>58</v>
      </c>
      <c r="E10" s="2">
        <f>3+1+2+4+1+3+2+2+1+2+3+1+4+2</f>
        <v>31</v>
      </c>
      <c r="F10" s="2">
        <f>3+1+2+6+1+3+2+1+2+2+3+2+3+3</f>
        <v>34</v>
      </c>
      <c r="G10" s="2">
        <f>3+2</f>
        <v>5</v>
      </c>
      <c r="H10" s="2">
        <f>1+1+2</f>
        <v>4</v>
      </c>
      <c r="I10" s="2">
        <f>1+2+1+1+1+1</f>
        <v>7</v>
      </c>
      <c r="J10" s="2">
        <f>0</f>
        <v>0</v>
      </c>
      <c r="K10" s="2">
        <f>3+1+2+5+2+4+1+2+5+2+2+4</f>
        <v>33</v>
      </c>
      <c r="L10" s="2">
        <f>1+1</f>
        <v>2</v>
      </c>
    </row>
    <row r="11" spans="2:13" ht="19.5" x14ac:dyDescent="0.25">
      <c r="B11" s="2" t="s">
        <v>21</v>
      </c>
      <c r="C11" s="6">
        <f t="shared" ref="C11" si="0">F11/D11</f>
        <v>0.54166666666666663</v>
      </c>
      <c r="D11" s="2">
        <f>3+3+2+2+5+4+4+3+4+4+3+3+4+4</f>
        <v>48</v>
      </c>
      <c r="E11" s="2">
        <f>2+2+2+2+3+1+2+1+1+1+1++++1</f>
        <v>19</v>
      </c>
      <c r="F11" s="2">
        <f>2+1+1+3+3+3+2+2+2+2+2+2+1</f>
        <v>26</v>
      </c>
      <c r="G11" s="2">
        <f>1+1</f>
        <v>2</v>
      </c>
      <c r="H11" s="2">
        <f>1+1</f>
        <v>2</v>
      </c>
      <c r="I11" s="2">
        <f>0</f>
        <v>0</v>
      </c>
      <c r="J11" s="2">
        <f>1</f>
        <v>1</v>
      </c>
      <c r="K11" s="2">
        <f>5+1+2+2+2+3+1</f>
        <v>16</v>
      </c>
      <c r="L11" s="2">
        <f>1</f>
        <v>1</v>
      </c>
    </row>
    <row r="12" spans="2:13" ht="19.5" x14ac:dyDescent="0.25">
      <c r="B12" s="2" t="s">
        <v>1</v>
      </c>
      <c r="C12" s="6">
        <f>F12/D12</f>
        <v>0.51162790697674421</v>
      </c>
      <c r="D12" s="2">
        <f>3+3+4+3+2+3+3+3+4+4+3+2+4+2</f>
        <v>43</v>
      </c>
      <c r="E12" s="2">
        <f>2+1+4+2+1+1+2+3+1+1+3</f>
        <v>21</v>
      </c>
      <c r="F12" s="2">
        <f>2+2+3+3+2+1+1+2+3+1+2</f>
        <v>22</v>
      </c>
      <c r="G12" s="2">
        <f>1+2+3+1</f>
        <v>7</v>
      </c>
      <c r="H12" s="2">
        <f>0</f>
        <v>0</v>
      </c>
      <c r="I12" s="2">
        <f>2+2</f>
        <v>4</v>
      </c>
      <c r="J12" s="2">
        <f>1+2+1+1</f>
        <v>5</v>
      </c>
      <c r="K12" s="2">
        <f>3+4+3+1+1+3+4+1</f>
        <v>20</v>
      </c>
      <c r="L12" s="2">
        <f>1</f>
        <v>1</v>
      </c>
    </row>
    <row r="13" spans="2:13" ht="19.5" x14ac:dyDescent="0.25">
      <c r="B13" s="2" t="s">
        <v>14</v>
      </c>
      <c r="C13" s="6">
        <f>F13/D13</f>
        <v>0.50909090909090904</v>
      </c>
      <c r="D13" s="2">
        <f>3+3+1+4+5+4+5+3+4+2+3+4+3+3+4+4</f>
        <v>55</v>
      </c>
      <c r="E13" s="2">
        <f>2+1+5+2+1+3+3+2+2+2+2</f>
        <v>25</v>
      </c>
      <c r="F13" s="2">
        <f>2+1+1+4+2+1+2+2+2+3+2+1+1+3+1</f>
        <v>28</v>
      </c>
      <c r="G13" s="2">
        <f>1+1+1+2+1+1</f>
        <v>7</v>
      </c>
      <c r="H13" s="2">
        <f>1</f>
        <v>1</v>
      </c>
      <c r="I13" s="2">
        <f>0</f>
        <v>0</v>
      </c>
      <c r="J13" s="2">
        <f>1+1+1+1+1+1+1</f>
        <v>7</v>
      </c>
      <c r="K13" s="2">
        <f>2+1+1+1+3+2</f>
        <v>10</v>
      </c>
      <c r="L13" s="2">
        <f>0</f>
        <v>0</v>
      </c>
      <c r="M13" s="7"/>
    </row>
    <row r="14" spans="2:13" ht="19.5" x14ac:dyDescent="0.25">
      <c r="B14" s="2" t="s">
        <v>12</v>
      </c>
      <c r="C14" s="6">
        <f t="shared" ref="C14" si="1">F14/D14</f>
        <v>0.5</v>
      </c>
      <c r="D14" s="2">
        <f>2+3+1+3+4+3+2+2+2+2+2+3+4+2+4+3</f>
        <v>42</v>
      </c>
      <c r="E14" s="2">
        <f>1+1+3+1+1+1+1+1+2+2+1+1+2+1</f>
        <v>19</v>
      </c>
      <c r="F14" s="2">
        <f>1+1+1+4+2+1+1+2+1+3+1+3</f>
        <v>21</v>
      </c>
      <c r="G14" s="2">
        <f>1+1+2+2+1+1+1</f>
        <v>9</v>
      </c>
      <c r="H14" s="2">
        <f>1</f>
        <v>1</v>
      </c>
      <c r="I14" s="2">
        <f>0</f>
        <v>0</v>
      </c>
      <c r="J14" s="2">
        <f>1+2+1+1+1+1</f>
        <v>7</v>
      </c>
      <c r="K14" s="2">
        <f>1+1+2+3+3+2+1+4+2+1+3</f>
        <v>23</v>
      </c>
      <c r="L14" s="2">
        <f>1+1</f>
        <v>2</v>
      </c>
    </row>
    <row r="15" spans="2:13" ht="19.5" x14ac:dyDescent="0.25">
      <c r="B15" s="2" t="s">
        <v>17</v>
      </c>
      <c r="C15" s="6">
        <f>F15/D15</f>
        <v>0.48837209302325579</v>
      </c>
      <c r="D15" s="2">
        <f>3+3+2+4+5+3+3+4+2+3+3+2+3+3</f>
        <v>43</v>
      </c>
      <c r="E15" s="2">
        <f>2+1+1+2+2+2+2+1+3+2</f>
        <v>18</v>
      </c>
      <c r="F15" s="2">
        <f>3+2+1+2+2+2+2+1+1+1+1+2+1</f>
        <v>21</v>
      </c>
      <c r="G15" s="2">
        <f>1+1+1</f>
        <v>3</v>
      </c>
      <c r="H15" s="2">
        <f>0</f>
        <v>0</v>
      </c>
      <c r="I15" s="2">
        <f>1+1</f>
        <v>2</v>
      </c>
      <c r="J15" s="2">
        <f>1+1+2+1+1+1</f>
        <v>7</v>
      </c>
      <c r="K15" s="2">
        <f>2+1+3+2+1+1+1+1+2+4+1</f>
        <v>19</v>
      </c>
      <c r="L15" s="2">
        <f>1</f>
        <v>1</v>
      </c>
      <c r="M15" s="7"/>
    </row>
    <row r="16" spans="2:13" ht="19.5" x14ac:dyDescent="0.25">
      <c r="B16" s="13" t="s">
        <v>20</v>
      </c>
      <c r="C16" s="14">
        <f>F16/D16</f>
        <v>0.43243243243243246</v>
      </c>
      <c r="D16" s="13">
        <f>3+3+4+3+4+3+3+2+4+2+3+3</f>
        <v>37</v>
      </c>
      <c r="E16" s="13">
        <f>0+1+3+1+1+1+1</f>
        <v>8</v>
      </c>
      <c r="F16" s="13">
        <f>2+2+2+2+1+1+2+2+2</f>
        <v>16</v>
      </c>
      <c r="G16" s="13">
        <f>1+1+1</f>
        <v>3</v>
      </c>
      <c r="H16" s="13">
        <f>0</f>
        <v>0</v>
      </c>
      <c r="I16" s="13">
        <f>0</f>
        <v>0</v>
      </c>
      <c r="J16" s="13">
        <f>0</f>
        <v>0</v>
      </c>
      <c r="K16" s="13">
        <f>3+3+1+1+2+1+3</f>
        <v>14</v>
      </c>
      <c r="L16" s="13">
        <f>2</f>
        <v>2</v>
      </c>
    </row>
    <row r="17" spans="2:13" ht="20.25" thickBot="1" x14ac:dyDescent="0.3">
      <c r="B17" s="10" t="s">
        <v>13</v>
      </c>
      <c r="C17" s="11">
        <f>F17/D17</f>
        <v>0.38297872340425532</v>
      </c>
      <c r="D17" s="10">
        <f>3+4+1+4+4+3+3+3+3+3+2+3+2+3+3+3</f>
        <v>47</v>
      </c>
      <c r="E17" s="10">
        <f>1+2+4+3+1+1+3+3+2+2+2+1</f>
        <v>25</v>
      </c>
      <c r="F17" s="10">
        <f>1+3+2+2+2+1+1+2+1+2+1</f>
        <v>18</v>
      </c>
      <c r="G17" s="10">
        <f>1+1+1+1</f>
        <v>4</v>
      </c>
      <c r="H17" s="10">
        <f>1</f>
        <v>1</v>
      </c>
      <c r="I17" s="10">
        <f>0</f>
        <v>0</v>
      </c>
      <c r="J17" s="10">
        <f>1+3+1+1+1+1+1</f>
        <v>9</v>
      </c>
      <c r="K17" s="10">
        <f>3+1+1+2+2</f>
        <v>9</v>
      </c>
      <c r="L17" s="10">
        <f>0</f>
        <v>0</v>
      </c>
      <c r="M17" s="15"/>
    </row>
    <row r="18" spans="2:13" ht="19.5" x14ac:dyDescent="0.25">
      <c r="B18" s="2" t="s">
        <v>56</v>
      </c>
      <c r="C18" s="6">
        <f t="shared" ref="C18" si="2">F18/D18</f>
        <v>0.4</v>
      </c>
      <c r="D18" s="2">
        <f>3+2</f>
        <v>5</v>
      </c>
      <c r="E18" s="2">
        <f>1+2</f>
        <v>3</v>
      </c>
      <c r="F18" s="2">
        <f>1+1</f>
        <v>2</v>
      </c>
      <c r="G18" s="2">
        <f>1</f>
        <v>1</v>
      </c>
      <c r="H18" s="2">
        <f>0</f>
        <v>0</v>
      </c>
      <c r="I18" s="2">
        <f>0</f>
        <v>0</v>
      </c>
      <c r="J18" s="2">
        <f>1</f>
        <v>1</v>
      </c>
      <c r="K18" s="2">
        <f>1</f>
        <v>1</v>
      </c>
      <c r="L18" s="2">
        <f>0</f>
        <v>0</v>
      </c>
    </row>
    <row r="19" spans="2:13" ht="19.5" x14ac:dyDescent="0.25">
      <c r="B19" s="2" t="s">
        <v>23</v>
      </c>
      <c r="C19" s="6">
        <f>F19/D19</f>
        <v>0.4</v>
      </c>
      <c r="D19" s="2">
        <f>2+3</f>
        <v>5</v>
      </c>
      <c r="E19" s="2">
        <f>1+1</f>
        <v>2</v>
      </c>
      <c r="F19" s="2">
        <f>1+1</f>
        <v>2</v>
      </c>
      <c r="G19" s="2">
        <f>1</f>
        <v>1</v>
      </c>
      <c r="H19" s="2">
        <f>1</f>
        <v>1</v>
      </c>
      <c r="I19" s="2">
        <f>0</f>
        <v>0</v>
      </c>
      <c r="J19" s="2">
        <f>0</f>
        <v>0</v>
      </c>
      <c r="K19" s="2">
        <f>1</f>
        <v>1</v>
      </c>
      <c r="L19" s="2">
        <f>0</f>
        <v>0</v>
      </c>
    </row>
    <row r="20" spans="2:13" ht="19.5" x14ac:dyDescent="0.25">
      <c r="B20" s="2" t="s">
        <v>24</v>
      </c>
      <c r="C20" s="6">
        <f>F20/D20</f>
        <v>0.33333333333333331</v>
      </c>
      <c r="D20" s="2">
        <f>4+2</f>
        <v>6</v>
      </c>
      <c r="E20" s="2">
        <f>1</f>
        <v>1</v>
      </c>
      <c r="F20" s="2">
        <f>1+1</f>
        <v>2</v>
      </c>
      <c r="G20" s="2">
        <f>0</f>
        <v>0</v>
      </c>
      <c r="H20" s="2">
        <f>0</f>
        <v>0</v>
      </c>
      <c r="I20" s="2">
        <f>0</f>
        <v>0</v>
      </c>
      <c r="J20" s="2">
        <f>1</f>
        <v>1</v>
      </c>
      <c r="K20" s="2">
        <f>1+1</f>
        <v>2</v>
      </c>
      <c r="L20" s="2">
        <f>0</f>
        <v>0</v>
      </c>
    </row>
    <row r="21" spans="2:13" ht="19.5" x14ac:dyDescent="0.25">
      <c r="B21" s="2" t="s">
        <v>19</v>
      </c>
      <c r="C21" s="6">
        <f>F21/D21</f>
        <v>0.3125</v>
      </c>
      <c r="D21" s="2">
        <f>3+3+2+2+3+3</f>
        <v>16</v>
      </c>
      <c r="E21" s="2">
        <f>2+1+1</f>
        <v>4</v>
      </c>
      <c r="F21" s="2">
        <f>2+1+1+1</f>
        <v>5</v>
      </c>
      <c r="G21" s="2">
        <f>1</f>
        <v>1</v>
      </c>
      <c r="H21" s="2">
        <f>1</f>
        <v>1</v>
      </c>
      <c r="I21" s="2">
        <f>0</f>
        <v>0</v>
      </c>
      <c r="J21" s="2">
        <f>0</f>
        <v>0</v>
      </c>
      <c r="K21" s="2">
        <f>1+1</f>
        <v>2</v>
      </c>
      <c r="L21" s="2">
        <f>0</f>
        <v>0</v>
      </c>
    </row>
    <row r="22" spans="2:13" ht="19.5" x14ac:dyDescent="0.25">
      <c r="B22" s="2" t="s">
        <v>25</v>
      </c>
      <c r="C22" s="6">
        <f>F22/D22</f>
        <v>0</v>
      </c>
      <c r="D22" s="2">
        <f>3</f>
        <v>3</v>
      </c>
      <c r="E22" s="2">
        <f>0</f>
        <v>0</v>
      </c>
      <c r="F22" s="2">
        <f>0</f>
        <v>0</v>
      </c>
      <c r="G22" s="2">
        <f>0</f>
        <v>0</v>
      </c>
      <c r="H22" s="2">
        <f>0</f>
        <v>0</v>
      </c>
      <c r="I22" s="2">
        <f>0</f>
        <v>0</v>
      </c>
      <c r="J22" s="2">
        <f>0</f>
        <v>0</v>
      </c>
      <c r="K22" s="2">
        <f>0</f>
        <v>0</v>
      </c>
      <c r="L22" s="2">
        <f>0</f>
        <v>0</v>
      </c>
    </row>
    <row r="23" spans="2:13" ht="19.5" x14ac:dyDescent="0.25">
      <c r="B23" s="8" t="s">
        <v>22</v>
      </c>
      <c r="C23" s="9">
        <f>F23/D23</f>
        <v>0.4</v>
      </c>
      <c r="D23" s="8">
        <f>2+3</f>
        <v>5</v>
      </c>
      <c r="E23" s="8">
        <f>1</f>
        <v>1</v>
      </c>
      <c r="F23" s="8">
        <f>1+1</f>
        <v>2</v>
      </c>
      <c r="G23" s="8">
        <f>1</f>
        <v>1</v>
      </c>
      <c r="H23" s="8">
        <f>0</f>
        <v>0</v>
      </c>
      <c r="I23" s="8">
        <f>0</f>
        <v>0</v>
      </c>
      <c r="J23" s="8">
        <f>0</f>
        <v>0</v>
      </c>
      <c r="K23" s="8">
        <f>1</f>
        <v>1</v>
      </c>
      <c r="L23" s="8">
        <f>0</f>
        <v>0</v>
      </c>
    </row>
    <row r="24" spans="2:13" ht="19.5" x14ac:dyDescent="0.25">
      <c r="C24" s="6">
        <f>F24/D24</f>
        <v>0.51769087523277468</v>
      </c>
      <c r="D24" s="2">
        <f>SUM(D6:D23)</f>
        <v>537</v>
      </c>
      <c r="E24" s="2">
        <f>SUM(E6:E23)</f>
        <v>244</v>
      </c>
      <c r="F24" s="2">
        <f>SUM(F6:F23)</f>
        <v>278</v>
      </c>
      <c r="G24" s="2">
        <f>SUM(G6:G23)</f>
        <v>53</v>
      </c>
      <c r="H24" s="2">
        <f>SUM(H6:H23)</f>
        <v>15</v>
      </c>
      <c r="I24" s="2">
        <f>SUM(I6:I23)</f>
        <v>23</v>
      </c>
      <c r="J24" s="2">
        <f>SUM(J6:J23)</f>
        <v>52</v>
      </c>
      <c r="K24" s="2">
        <f>SUM(K6:K23)</f>
        <v>217</v>
      </c>
      <c r="L24" s="2">
        <f>SUM(L6:L23)</f>
        <v>9</v>
      </c>
    </row>
    <row r="33" spans="2:12" ht="15.75" thickBot="1" x14ac:dyDescent="0.3"/>
    <row r="34" spans="2:12" ht="20.25" thickBot="1" x14ac:dyDescent="0.3">
      <c r="B34" s="3" t="s">
        <v>26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3" t="s">
        <v>10</v>
      </c>
      <c r="I34" s="3" t="s">
        <v>7</v>
      </c>
      <c r="J34" s="3" t="s">
        <v>8</v>
      </c>
      <c r="K34" s="3" t="s">
        <v>9</v>
      </c>
      <c r="L34" s="3" t="s">
        <v>11</v>
      </c>
    </row>
    <row r="35" spans="2:12" x14ac:dyDescent="0.25">
      <c r="B35" s="12" t="s">
        <v>159</v>
      </c>
      <c r="C35" s="4"/>
      <c r="D35" s="5"/>
      <c r="E35" s="4"/>
      <c r="F35" s="5"/>
      <c r="G35" s="5"/>
      <c r="H35" s="5"/>
      <c r="I35" s="5"/>
      <c r="J35" s="5"/>
      <c r="K35" s="5"/>
      <c r="L35" s="4"/>
    </row>
    <row r="37" spans="2:12" ht="19.5" x14ac:dyDescent="0.25">
      <c r="B37" s="2" t="s">
        <v>50</v>
      </c>
      <c r="C37" s="6">
        <f>F37/D37</f>
        <v>0.73333333333333328</v>
      </c>
      <c r="D37" s="2">
        <f>4+4+3+3+4+5+3+4</f>
        <v>30</v>
      </c>
      <c r="E37" s="2">
        <f>1+1+1+2+2+3+3</f>
        <v>13</v>
      </c>
      <c r="F37" s="2">
        <f>1+3+1+2+3+4+2+2+4</f>
        <v>22</v>
      </c>
      <c r="G37" s="2">
        <f>1+1+1+2+1</f>
        <v>6</v>
      </c>
      <c r="H37" s="2">
        <f>0</f>
        <v>0</v>
      </c>
      <c r="I37" s="2">
        <f>1+2+2+1</f>
        <v>6</v>
      </c>
      <c r="J37" s="2">
        <f>1</f>
        <v>1</v>
      </c>
      <c r="K37" s="2">
        <f>3+1+2+2+7+1+1+5</f>
        <v>22</v>
      </c>
      <c r="L37" s="2">
        <f>0</f>
        <v>0</v>
      </c>
    </row>
    <row r="38" spans="2:12" ht="19.5" x14ac:dyDescent="0.25">
      <c r="B38" s="2" t="s">
        <v>45</v>
      </c>
      <c r="C38" s="6">
        <f t="shared" ref="C38:C45" si="3">F38/D38</f>
        <v>0.7</v>
      </c>
      <c r="D38" s="2">
        <f>3+3+3+3+4+1+2+3+4+3+3+4+2+2</f>
        <v>40</v>
      </c>
      <c r="E38" s="2">
        <f>2+4+2+2+3+2+2+1+1+1+3</f>
        <v>23</v>
      </c>
      <c r="F38" s="2">
        <f>2+3+3+2+4+1+2+3+2+2+1+1+1+1</f>
        <v>28</v>
      </c>
      <c r="G38" s="2">
        <f>3+1+2+1</f>
        <v>7</v>
      </c>
      <c r="H38" s="2">
        <f>1+2</f>
        <v>3</v>
      </c>
      <c r="I38" s="2">
        <f>1+1+1</f>
        <v>3</v>
      </c>
      <c r="J38" s="2">
        <f>1+1+2+1+1+2</f>
        <v>8</v>
      </c>
      <c r="K38" s="2">
        <f>2+2+3+3+3+1+1+1+1+2+1</f>
        <v>20</v>
      </c>
      <c r="L38" s="2">
        <f>0</f>
        <v>0</v>
      </c>
    </row>
    <row r="39" spans="2:12" ht="19.5" x14ac:dyDescent="0.25">
      <c r="B39" s="2" t="s">
        <v>47</v>
      </c>
      <c r="C39" s="6">
        <f>F39/D39</f>
        <v>0.69230769230769229</v>
      </c>
      <c r="D39" s="2">
        <f>3+4+3+3+3+1+4+5+4+3+2+4</f>
        <v>39</v>
      </c>
      <c r="E39" s="2">
        <f>2+4+3+1+2+2+1+3+1+3+1+3</f>
        <v>26</v>
      </c>
      <c r="F39" s="2">
        <f>3+4+2+1+2+3+4+2+2+1+3</f>
        <v>27</v>
      </c>
      <c r="G39" s="2">
        <f>2+1+1+2+1+2</f>
        <v>9</v>
      </c>
      <c r="H39" s="2">
        <f>1+1</f>
        <v>2</v>
      </c>
      <c r="I39" s="2">
        <f>1</f>
        <v>1</v>
      </c>
      <c r="J39" s="2">
        <f>1+2+1</f>
        <v>4</v>
      </c>
      <c r="K39" s="2">
        <f>3+4+1+1+2+1+1+1+2</f>
        <v>16</v>
      </c>
      <c r="L39" s="2">
        <f>1</f>
        <v>1</v>
      </c>
    </row>
    <row r="40" spans="2:12" ht="19.5" x14ac:dyDescent="0.25">
      <c r="B40" s="2" t="s">
        <v>38</v>
      </c>
      <c r="C40" s="6">
        <f>F40/D40</f>
        <v>0.68888888888888888</v>
      </c>
      <c r="D40" s="2">
        <f>4+4+4+4+3+3+4+2+5+3+4+5</f>
        <v>45</v>
      </c>
      <c r="E40" s="2">
        <f>2+3+3+1+1+4+3+4+2+2+2+2</f>
        <v>29</v>
      </c>
      <c r="F40" s="2">
        <f>3+3+3+2+1+3+3+1+4+2+2+4</f>
        <v>31</v>
      </c>
      <c r="G40" s="2">
        <f>1+1+1+1+2</f>
        <v>6</v>
      </c>
      <c r="H40" s="2">
        <f>1+1</f>
        <v>2</v>
      </c>
      <c r="I40" s="2">
        <f>0</f>
        <v>0</v>
      </c>
      <c r="J40" s="2">
        <f>1+1+1+2+1</f>
        <v>6</v>
      </c>
      <c r="K40" s="2">
        <f>2+1+1+3+1+2+3+1+3</f>
        <v>17</v>
      </c>
      <c r="L40" s="2">
        <f>1</f>
        <v>1</v>
      </c>
    </row>
    <row r="41" spans="2:12" ht="19.5" x14ac:dyDescent="0.25">
      <c r="B41" s="2" t="s">
        <v>39</v>
      </c>
      <c r="C41" s="6">
        <f>F41/D41</f>
        <v>0.66666666666666663</v>
      </c>
      <c r="D41" s="2">
        <f>4+4+4+5+4+4+3+4+5+4+4+4+3+4+2+5</f>
        <v>63</v>
      </c>
      <c r="E41" s="2">
        <f>1+2+1+3+1+1+2+3+3+4+1+3+1+2+1+2+1</f>
        <v>32</v>
      </c>
      <c r="F41" s="2">
        <f>3+3+3+2+1+2+3+4+5+4+3+3+2+1+2+1</f>
        <v>42</v>
      </c>
      <c r="G41" s="2">
        <f>1+12+1+1</f>
        <v>15</v>
      </c>
      <c r="H41" s="2">
        <f>1</f>
        <v>1</v>
      </c>
      <c r="I41" s="2">
        <f>1+1+1+2</f>
        <v>5</v>
      </c>
      <c r="J41" s="2">
        <f>1</f>
        <v>1</v>
      </c>
      <c r="K41" s="2">
        <f>1+3+1+1+1+6+4+8+3+1+1+1+2</f>
        <v>33</v>
      </c>
      <c r="L41" s="2">
        <f>1+1+2</f>
        <v>4</v>
      </c>
    </row>
    <row r="42" spans="2:12" ht="19.5" x14ac:dyDescent="0.25">
      <c r="B42" s="2" t="s">
        <v>43</v>
      </c>
      <c r="C42" s="6">
        <f>F42/D42</f>
        <v>0.66666666666666663</v>
      </c>
      <c r="D42" s="2">
        <f>3+4+3+4+3+4</f>
        <v>21</v>
      </c>
      <c r="E42" s="2">
        <f>2+1+1+1+3+3</f>
        <v>11</v>
      </c>
      <c r="F42" s="2">
        <f>2+2+3+2+2+3</f>
        <v>14</v>
      </c>
      <c r="G42" s="2">
        <f>1+1+2</f>
        <v>4</v>
      </c>
      <c r="H42" s="2">
        <f>1</f>
        <v>1</v>
      </c>
      <c r="I42" s="2">
        <f>0</f>
        <v>0</v>
      </c>
      <c r="J42" s="2">
        <f>1</f>
        <v>1</v>
      </c>
      <c r="K42" s="2">
        <f>1+1+2+1</f>
        <v>5</v>
      </c>
      <c r="L42" s="2">
        <f>1</f>
        <v>1</v>
      </c>
    </row>
    <row r="43" spans="2:12" ht="19.5" x14ac:dyDescent="0.25">
      <c r="B43" s="2" t="s">
        <v>138</v>
      </c>
      <c r="C43" s="6">
        <f>F43/D43</f>
        <v>0.6428571428571429</v>
      </c>
      <c r="D43" s="2">
        <f>3+4+4+5+2+3+3+4</f>
        <v>28</v>
      </c>
      <c r="E43" s="2">
        <f>2+1+1+2+2+1</f>
        <v>9</v>
      </c>
      <c r="F43" s="2">
        <f>3+2+2+3+1+1+2+4</f>
        <v>18</v>
      </c>
      <c r="G43" s="2">
        <f>1+1</f>
        <v>2</v>
      </c>
      <c r="H43" s="2">
        <f>0</f>
        <v>0</v>
      </c>
      <c r="I43" s="2">
        <f>0</f>
        <v>0</v>
      </c>
      <c r="J43" s="2">
        <f>1</f>
        <v>1</v>
      </c>
      <c r="K43" s="2">
        <f>2+1+1+3+2</f>
        <v>9</v>
      </c>
      <c r="L43" s="2">
        <f>1</f>
        <v>1</v>
      </c>
    </row>
    <row r="44" spans="2:12" ht="19.5" x14ac:dyDescent="0.25">
      <c r="B44" s="2" t="s">
        <v>41</v>
      </c>
      <c r="C44" s="6">
        <f t="shared" ref="C44" si="4">F44/D44</f>
        <v>0.63888888888888884</v>
      </c>
      <c r="D44" s="2">
        <f>2+4+3+4+2+3+1+3+3+1+3+2+5</f>
        <v>36</v>
      </c>
      <c r="E44" s="2">
        <f>2+4+3+1+2+3+2+1+1+2+2+3+2</f>
        <v>28</v>
      </c>
      <c r="F44" s="2">
        <f>2+3+2+2+1+2+2+1+1+2+5</f>
        <v>23</v>
      </c>
      <c r="G44" s="2">
        <f>1</f>
        <v>1</v>
      </c>
      <c r="H44" s="2">
        <f>1</f>
        <v>1</v>
      </c>
      <c r="I44" s="2">
        <f>0</f>
        <v>0</v>
      </c>
      <c r="J44" s="2">
        <f>1+1+3+1+2+1+3+1</f>
        <v>13</v>
      </c>
      <c r="K44" s="2">
        <f>3+1+1+1+1+1</f>
        <v>8</v>
      </c>
      <c r="L44" s="2">
        <f>1+1</f>
        <v>2</v>
      </c>
    </row>
    <row r="45" spans="2:12" ht="19.5" x14ac:dyDescent="0.25">
      <c r="B45" s="2" t="s">
        <v>40</v>
      </c>
      <c r="C45" s="6">
        <f>F45/D45</f>
        <v>0.63636363636363635</v>
      </c>
      <c r="D45" s="2">
        <f>4+4+4+5+5+3+2+3+5+2+4+3+4+3+4</f>
        <v>55</v>
      </c>
      <c r="E45" s="2">
        <f>2+2+1+4+3+1+2+3+1+4+3+4+2+1</f>
        <v>33</v>
      </c>
      <c r="F45" s="2">
        <f>2+3+2+4+4+1+1+3+1+3+3+4+3+1</f>
        <v>35</v>
      </c>
      <c r="G45" s="2">
        <f>2+2+2</f>
        <v>6</v>
      </c>
      <c r="H45" s="2">
        <f>1+1+1</f>
        <v>3</v>
      </c>
      <c r="I45" s="2">
        <f>1+1+2+1+2+2+1</f>
        <v>10</v>
      </c>
      <c r="J45" s="2">
        <f>1+1+1</f>
        <v>3</v>
      </c>
      <c r="K45" s="2">
        <f>5+2+1+4+4+2+3+1+3+3+7+1+2+3</f>
        <v>41</v>
      </c>
      <c r="L45" s="2">
        <f>1+1+1</f>
        <v>3</v>
      </c>
    </row>
    <row r="46" spans="2:12" ht="19.5" x14ac:dyDescent="0.25">
      <c r="B46" s="2" t="s">
        <v>44</v>
      </c>
      <c r="C46" s="6">
        <f t="shared" ref="C46" si="5">F46/D46</f>
        <v>0.59090909090909094</v>
      </c>
      <c r="D46" s="2">
        <f>3+4+3+3+3+2+3+4+4+4+3+2+2+4</f>
        <v>44</v>
      </c>
      <c r="E46" s="2">
        <f>2+3+2+2+1+1+1+1+1+2+3+1+1+1</f>
        <v>22</v>
      </c>
      <c r="F46" s="2">
        <f>2+2+2+2+2+1+1+2+3+2+1+1+1+1+3</f>
        <v>26</v>
      </c>
      <c r="G46" s="2">
        <f>1+1+1+1+1</f>
        <v>5</v>
      </c>
      <c r="H46" s="2">
        <f>1</f>
        <v>1</v>
      </c>
      <c r="I46" s="2">
        <f>0</f>
        <v>0</v>
      </c>
      <c r="J46" s="2">
        <f>1+1+3+1</f>
        <v>6</v>
      </c>
      <c r="K46" s="2">
        <f>2+2+1+2+1+2+2+3+1</f>
        <v>16</v>
      </c>
      <c r="L46" s="2">
        <f>1</f>
        <v>1</v>
      </c>
    </row>
    <row r="47" spans="2:12" ht="19.5" x14ac:dyDescent="0.25">
      <c r="B47" s="2" t="s">
        <v>137</v>
      </c>
      <c r="C47" s="6">
        <f>F47/D47</f>
        <v>0.58536585365853655</v>
      </c>
      <c r="D47" s="2">
        <f>3+3+4+3+3+3+4+4+3+2+3+2+4</f>
        <v>41</v>
      </c>
      <c r="E47" s="2">
        <f>1+1+2+1+2+2+3+1+1+2</f>
        <v>16</v>
      </c>
      <c r="F47" s="2">
        <f>2+2+1+3+3+3+2+1+2+3+1+1</f>
        <v>24</v>
      </c>
      <c r="G47" s="2">
        <f>1+1+1</f>
        <v>3</v>
      </c>
      <c r="H47" s="2">
        <f>0</f>
        <v>0</v>
      </c>
      <c r="I47" s="2">
        <f>0</f>
        <v>0</v>
      </c>
      <c r="J47" s="2">
        <f>1+1</f>
        <v>2</v>
      </c>
      <c r="K47" s="2">
        <f>1+4+1+2+2+2+1+1+1</f>
        <v>15</v>
      </c>
      <c r="L47" s="2">
        <f>0</f>
        <v>0</v>
      </c>
    </row>
    <row r="48" spans="2:12" ht="19.5" x14ac:dyDescent="0.25">
      <c r="B48" s="2" t="s">
        <v>158</v>
      </c>
      <c r="C48" s="6">
        <f>F48/D48</f>
        <v>0.55319148936170215</v>
      </c>
      <c r="D48" s="2">
        <f>4+4+4+3+3+3+3+4+4+3+3+3+2+4</f>
        <v>47</v>
      </c>
      <c r="E48" s="2">
        <f>2+2+2+1+1+2+1+2+3+1+2</f>
        <v>19</v>
      </c>
      <c r="F48" s="2">
        <f>1+4+3+2+1+2+1+2+3+3+1+1+2</f>
        <v>26</v>
      </c>
      <c r="G48" s="2">
        <f>1+1+2+1</f>
        <v>5</v>
      </c>
      <c r="H48" s="2">
        <f>1+1</f>
        <v>2</v>
      </c>
      <c r="I48" s="2">
        <f>1</f>
        <v>1</v>
      </c>
      <c r="J48" s="2">
        <f>1+1</f>
        <v>2</v>
      </c>
      <c r="K48" s="2">
        <f>2+1+1+1+2+1+1+3+1+1+2</f>
        <v>16</v>
      </c>
      <c r="L48" s="2">
        <f>1+1+1</f>
        <v>3</v>
      </c>
    </row>
    <row r="49" spans="2:12" ht="19.5" x14ac:dyDescent="0.25">
      <c r="B49" s="2" t="s">
        <v>42</v>
      </c>
      <c r="C49" s="6">
        <f>F49/D49</f>
        <v>0.52380952380952384</v>
      </c>
      <c r="D49" s="2">
        <f>3+4+4+3+3+4</f>
        <v>21</v>
      </c>
      <c r="E49" s="2">
        <f>1+1+2+3</f>
        <v>7</v>
      </c>
      <c r="F49" s="2">
        <f>2+3+1+1+2+2</f>
        <v>11</v>
      </c>
      <c r="G49" s="2">
        <f>1</f>
        <v>1</v>
      </c>
      <c r="H49" s="2">
        <f>0</f>
        <v>0</v>
      </c>
      <c r="I49" s="2">
        <f>0</f>
        <v>0</v>
      </c>
      <c r="J49" s="2">
        <f>0</f>
        <v>0</v>
      </c>
      <c r="K49" s="2">
        <f>3+4</f>
        <v>7</v>
      </c>
      <c r="L49" s="2">
        <f>0</f>
        <v>0</v>
      </c>
    </row>
    <row r="50" spans="2:12" ht="19.5" x14ac:dyDescent="0.25">
      <c r="B50" s="2" t="s">
        <v>48</v>
      </c>
      <c r="C50" s="6">
        <f>F50/D50</f>
        <v>0.47169811320754718</v>
      </c>
      <c r="D50" s="2">
        <f>2+1+2+2+4+3+3+3+3+4+4+3+2+4+2+4+3+1+3</f>
        <v>53</v>
      </c>
      <c r="E50" s="2">
        <f>3+1+1+2+2+1+2+1+1+1+1+1+1</f>
        <v>18</v>
      </c>
      <c r="F50" s="2">
        <f>1+2+2+3+1+2+2+2+4+1+1+1+1+1+1</f>
        <v>25</v>
      </c>
      <c r="G50" s="2">
        <f>1+1+1</f>
        <v>3</v>
      </c>
      <c r="H50" s="2">
        <f>0</f>
        <v>0</v>
      </c>
      <c r="I50" s="2">
        <f>0</f>
        <v>0</v>
      </c>
      <c r="J50" s="2">
        <f>1+2+1+1+1</f>
        <v>6</v>
      </c>
      <c r="K50" s="2">
        <f>1+3+1+1+2+2+1+1+1+1+1</f>
        <v>15</v>
      </c>
      <c r="L50" s="2">
        <f>1</f>
        <v>1</v>
      </c>
    </row>
    <row r="51" spans="2:12" ht="20.25" thickBot="1" x14ac:dyDescent="0.3">
      <c r="B51" s="10" t="s">
        <v>49</v>
      </c>
      <c r="C51" s="11">
        <f>F51/D51</f>
        <v>0.35714285714285715</v>
      </c>
      <c r="D51" s="10">
        <f>3+2+4+3+2+3+2+3+2+3+1</f>
        <v>28</v>
      </c>
      <c r="E51" s="10">
        <f>1+2+2+2+2+1+1</f>
        <v>11</v>
      </c>
      <c r="F51" s="10">
        <f>1+2+1+1+1+2+1+1</f>
        <v>10</v>
      </c>
      <c r="G51" s="10">
        <f>0</f>
        <v>0</v>
      </c>
      <c r="H51" s="10">
        <f>0</f>
        <v>0</v>
      </c>
      <c r="I51" s="10">
        <f>0</f>
        <v>0</v>
      </c>
      <c r="J51" s="10">
        <f>1+2+1+1+1</f>
        <v>6</v>
      </c>
      <c r="K51" s="10">
        <f>1+1+1+1+1+1</f>
        <v>6</v>
      </c>
      <c r="L51" s="10">
        <f>0</f>
        <v>0</v>
      </c>
    </row>
    <row r="52" spans="2:12" ht="19.5" x14ac:dyDescent="0.25">
      <c r="B52" s="2" t="s">
        <v>53</v>
      </c>
      <c r="C52" s="6">
        <f>F52/D52</f>
        <v>0.875</v>
      </c>
      <c r="D52" s="2">
        <f>3+5</f>
        <v>8</v>
      </c>
      <c r="E52" s="2">
        <f>1+3</f>
        <v>4</v>
      </c>
      <c r="F52" s="2">
        <f>2+3+2</f>
        <v>7</v>
      </c>
      <c r="G52" s="2">
        <f>1</f>
        <v>1</v>
      </c>
      <c r="H52" s="2">
        <f>0</f>
        <v>0</v>
      </c>
      <c r="I52" s="2">
        <f>0</f>
        <v>0</v>
      </c>
      <c r="J52" s="2">
        <f>0</f>
        <v>0</v>
      </c>
      <c r="K52" s="2">
        <f>3+3</f>
        <v>6</v>
      </c>
      <c r="L52" s="2">
        <f>0</f>
        <v>0</v>
      </c>
    </row>
    <row r="53" spans="2:12" ht="19.5" x14ac:dyDescent="0.25">
      <c r="B53" s="2" t="s">
        <v>54</v>
      </c>
      <c r="C53" s="6">
        <f>F53/D53</f>
        <v>0.8571428571428571</v>
      </c>
      <c r="D53" s="2">
        <f>3+4</f>
        <v>7</v>
      </c>
      <c r="E53" s="2">
        <f>2+2</f>
        <v>4</v>
      </c>
      <c r="F53" s="2">
        <f>2+4</f>
        <v>6</v>
      </c>
      <c r="G53" s="2">
        <f>1</f>
        <v>1</v>
      </c>
      <c r="H53" s="2">
        <f>0</f>
        <v>0</v>
      </c>
      <c r="I53" s="2">
        <f>0</f>
        <v>0</v>
      </c>
      <c r="J53" s="2">
        <f>0</f>
        <v>0</v>
      </c>
      <c r="K53" s="2">
        <f>1+1</f>
        <v>2</v>
      </c>
      <c r="L53" s="2">
        <f>0</f>
        <v>0</v>
      </c>
    </row>
    <row r="54" spans="2:12" ht="19.5" x14ac:dyDescent="0.25">
      <c r="B54" s="2" t="s">
        <v>55</v>
      </c>
      <c r="C54" s="6">
        <f>F54/D54</f>
        <v>0.7142857142857143</v>
      </c>
      <c r="D54" s="2">
        <f>3+4</f>
        <v>7</v>
      </c>
      <c r="E54" s="2">
        <f>2+2</f>
        <v>4</v>
      </c>
      <c r="F54" s="2">
        <f>3+2</f>
        <v>5</v>
      </c>
      <c r="G54" s="2">
        <f>1</f>
        <v>1</v>
      </c>
      <c r="H54" s="2">
        <f>0</f>
        <v>0</v>
      </c>
      <c r="I54" s="2">
        <f>0</f>
        <v>0</v>
      </c>
      <c r="J54" s="2">
        <f>2</f>
        <v>2</v>
      </c>
      <c r="K54" s="2">
        <f>1</f>
        <v>1</v>
      </c>
      <c r="L54" s="2">
        <f>0</f>
        <v>0</v>
      </c>
    </row>
    <row r="55" spans="2:12" ht="19.5" x14ac:dyDescent="0.25">
      <c r="B55" s="2" t="s">
        <v>157</v>
      </c>
      <c r="C55" s="6">
        <f>F55/D55</f>
        <v>0.66666666666666663</v>
      </c>
      <c r="D55" s="2">
        <f>2+4</f>
        <v>6</v>
      </c>
      <c r="E55" s="2">
        <f>1+1</f>
        <v>2</v>
      </c>
      <c r="F55" s="2">
        <f>1+3</f>
        <v>4</v>
      </c>
      <c r="G55" s="2">
        <f>1</f>
        <v>1</v>
      </c>
      <c r="H55" s="2">
        <f>0</f>
        <v>0</v>
      </c>
      <c r="I55" s="2">
        <f>0</f>
        <v>0</v>
      </c>
      <c r="J55" s="2">
        <f>0</f>
        <v>0</v>
      </c>
      <c r="K55" s="2">
        <f>3</f>
        <v>3</v>
      </c>
      <c r="L55" s="2">
        <f>0</f>
        <v>0</v>
      </c>
    </row>
    <row r="56" spans="2:12" ht="19.5" x14ac:dyDescent="0.25">
      <c r="B56" s="2" t="s">
        <v>46</v>
      </c>
      <c r="C56" s="6">
        <f>F56/D56</f>
        <v>0.625</v>
      </c>
      <c r="D56" s="2">
        <f>3+5</f>
        <v>8</v>
      </c>
      <c r="E56" s="2">
        <f>3+2</f>
        <v>5</v>
      </c>
      <c r="F56" s="2">
        <f>2+3</f>
        <v>5</v>
      </c>
      <c r="G56" s="2">
        <f>1</f>
        <v>1</v>
      </c>
      <c r="H56" s="2">
        <f>0</f>
        <v>0</v>
      </c>
      <c r="I56" s="2">
        <f>0</f>
        <v>0</v>
      </c>
      <c r="J56" s="2">
        <f>0</f>
        <v>0</v>
      </c>
      <c r="K56" s="2">
        <f>4+3</f>
        <v>7</v>
      </c>
      <c r="L56" s="2">
        <f>0</f>
        <v>0</v>
      </c>
    </row>
    <row r="57" spans="2:12" ht="19.5" x14ac:dyDescent="0.25">
      <c r="B57" s="2" t="s">
        <v>136</v>
      </c>
      <c r="C57" s="6">
        <f>F57/D57</f>
        <v>0.6</v>
      </c>
      <c r="D57" s="2">
        <f>2+3+1+4</f>
        <v>10</v>
      </c>
      <c r="E57" s="2">
        <f>1+2+1+2</f>
        <v>6</v>
      </c>
      <c r="F57" s="2">
        <f>1+2+3</f>
        <v>6</v>
      </c>
      <c r="G57" s="2">
        <f>0</f>
        <v>0</v>
      </c>
      <c r="H57" s="2">
        <f>1</f>
        <v>1</v>
      </c>
      <c r="I57" s="2">
        <f>0</f>
        <v>0</v>
      </c>
      <c r="J57" s="2">
        <f>2</f>
        <v>2</v>
      </c>
      <c r="K57" s="2">
        <f>1+1</f>
        <v>2</v>
      </c>
      <c r="L57" s="2">
        <f>0</f>
        <v>0</v>
      </c>
    </row>
    <row r="58" spans="2:12" ht="19.5" x14ac:dyDescent="0.25">
      <c r="B58" s="2" t="s">
        <v>52</v>
      </c>
      <c r="C58" s="6">
        <f>F58/D58</f>
        <v>0.55555555555555558</v>
      </c>
      <c r="D58" s="2">
        <f>4+5</f>
        <v>9</v>
      </c>
      <c r="E58" s="2">
        <f>1+4</f>
        <v>5</v>
      </c>
      <c r="F58" s="2">
        <f>3+2</f>
        <v>5</v>
      </c>
      <c r="G58" s="2">
        <f>0</f>
        <v>0</v>
      </c>
      <c r="H58" s="2">
        <f>1</f>
        <v>1</v>
      </c>
      <c r="I58" s="2">
        <f>0</f>
        <v>0</v>
      </c>
      <c r="J58" s="2">
        <f>0</f>
        <v>0</v>
      </c>
      <c r="K58" s="2">
        <f>4+1</f>
        <v>5</v>
      </c>
      <c r="L58" s="2">
        <f>0</f>
        <v>0</v>
      </c>
    </row>
    <row r="59" spans="2:12" ht="19.5" x14ac:dyDescent="0.25">
      <c r="B59" s="2" t="s">
        <v>135</v>
      </c>
      <c r="C59" s="6">
        <f>F59/D59</f>
        <v>0.46153846153846156</v>
      </c>
      <c r="D59" s="2">
        <f>3+3+3+4</f>
        <v>13</v>
      </c>
      <c r="E59" s="2">
        <f>1+3+1</f>
        <v>5</v>
      </c>
      <c r="F59" s="2">
        <f>2+3+1</f>
        <v>6</v>
      </c>
      <c r="G59" s="2">
        <f>0</f>
        <v>0</v>
      </c>
      <c r="H59" s="2">
        <f>1</f>
        <v>1</v>
      </c>
      <c r="I59" s="2">
        <f>0</f>
        <v>0</v>
      </c>
      <c r="J59" s="2">
        <f>0</f>
        <v>0</v>
      </c>
      <c r="K59" s="2">
        <f>2+4</f>
        <v>6</v>
      </c>
      <c r="L59" s="2">
        <f>1</f>
        <v>1</v>
      </c>
    </row>
    <row r="60" spans="2:12" ht="20.25" thickBot="1" x14ac:dyDescent="0.3">
      <c r="B60" s="10" t="s">
        <v>51</v>
      </c>
      <c r="C60" s="11">
        <f>F60/D60</f>
        <v>0.42857142857142855</v>
      </c>
      <c r="D60" s="10">
        <f>4+4+3+3</f>
        <v>14</v>
      </c>
      <c r="E60" s="10">
        <f>3+2</f>
        <v>5</v>
      </c>
      <c r="F60" s="10">
        <f>3+2+1</f>
        <v>6</v>
      </c>
      <c r="G60" s="10">
        <f>1</f>
        <v>1</v>
      </c>
      <c r="H60" s="10">
        <f>0</f>
        <v>0</v>
      </c>
      <c r="I60" s="10">
        <f>0</f>
        <v>0</v>
      </c>
      <c r="J60" s="10">
        <f>0</f>
        <v>0</v>
      </c>
      <c r="K60" s="10">
        <f>1+2+3</f>
        <v>6</v>
      </c>
      <c r="L60" s="10">
        <f>1</f>
        <v>1</v>
      </c>
    </row>
    <row r="61" spans="2:12" ht="19.5" x14ac:dyDescent="0.25">
      <c r="C61" s="6">
        <f>F61/D61</f>
        <v>0.60653188180404349</v>
      </c>
      <c r="D61" s="2">
        <f>SUM(D38:D60)</f>
        <v>643</v>
      </c>
      <c r="E61" s="2">
        <f>SUM(E38:E60)</f>
        <v>324</v>
      </c>
      <c r="F61" s="2">
        <f>SUM(F38:F60)</f>
        <v>390</v>
      </c>
      <c r="G61" s="2">
        <f>SUM(G38:G60)</f>
        <v>73</v>
      </c>
      <c r="H61" s="2">
        <f>SUM(H38:H60)</f>
        <v>19</v>
      </c>
      <c r="I61" s="2">
        <f>SUM(I38:I60)</f>
        <v>20</v>
      </c>
      <c r="J61" s="2">
        <f>SUM(J38:J60)</f>
        <v>63</v>
      </c>
      <c r="K61" s="2">
        <f>SUM(K38:K60)</f>
        <v>262</v>
      </c>
      <c r="L61" s="2">
        <f>SUM(L38:L60)</f>
        <v>20</v>
      </c>
    </row>
    <row r="63" spans="2:12" ht="15.75" thickBot="1" x14ac:dyDescent="0.3"/>
    <row r="64" spans="2:12" ht="20.25" thickBot="1" x14ac:dyDescent="0.3">
      <c r="B64" s="3" t="s">
        <v>27</v>
      </c>
      <c r="C64" s="3" t="s">
        <v>2</v>
      </c>
      <c r="D64" s="3" t="s">
        <v>3</v>
      </c>
      <c r="E64" s="3" t="s">
        <v>4</v>
      </c>
      <c r="F64" s="3" t="s">
        <v>5</v>
      </c>
      <c r="G64" s="3" t="s">
        <v>6</v>
      </c>
      <c r="H64" s="3" t="s">
        <v>10</v>
      </c>
      <c r="I64" s="3" t="s">
        <v>7</v>
      </c>
      <c r="J64" s="3" t="s">
        <v>8</v>
      </c>
      <c r="K64" s="3" t="s">
        <v>9</v>
      </c>
      <c r="L64" s="3" t="s">
        <v>11</v>
      </c>
    </row>
    <row r="65" spans="2:12" x14ac:dyDescent="0.25">
      <c r="B65" s="12" t="s">
        <v>159</v>
      </c>
      <c r="C65" s="4"/>
      <c r="D65" s="5"/>
      <c r="E65" s="4"/>
      <c r="F65" s="5"/>
      <c r="G65" s="5"/>
      <c r="H65" s="5"/>
      <c r="I65" s="5"/>
      <c r="J65" s="5"/>
      <c r="K65" s="5"/>
      <c r="L65" s="4"/>
    </row>
    <row r="66" spans="2:12" ht="19.5" x14ac:dyDescent="0.25">
      <c r="B66" s="2" t="s">
        <v>60</v>
      </c>
      <c r="C66" s="6">
        <f>F66/D66</f>
        <v>0.65306122448979587</v>
      </c>
      <c r="D66" s="2">
        <f>2+2+4+4+4+1+3+1+4+3+2+4+4+4+1+2+4</f>
        <v>49</v>
      </c>
      <c r="E66" s="2">
        <f>1+2+2+4+2+2+1+1+1+3+1+1</f>
        <v>21</v>
      </c>
      <c r="F66" s="2">
        <f>2+2+3+4+3+1+2+1+2+1+1+4+2+1+1+2</f>
        <v>32</v>
      </c>
      <c r="G66" s="2">
        <f>1+1+1+1+1</f>
        <v>5</v>
      </c>
      <c r="H66" s="2">
        <f>0</f>
        <v>0</v>
      </c>
      <c r="I66" s="2">
        <f>1+1</f>
        <v>2</v>
      </c>
      <c r="J66" s="2">
        <f>1+1</f>
        <v>2</v>
      </c>
      <c r="K66" s="2">
        <f>2+1+4+2+4+3+1+1+3+2</f>
        <v>23</v>
      </c>
      <c r="L66" s="2">
        <f>1+1</f>
        <v>2</v>
      </c>
    </row>
    <row r="67" spans="2:12" ht="19.5" x14ac:dyDescent="0.25">
      <c r="B67" s="2" t="s">
        <v>58</v>
      </c>
      <c r="C67" s="6">
        <f>F67/D67</f>
        <v>0.6428571428571429</v>
      </c>
      <c r="D67" s="2">
        <f>3+4+5+5+6+2+5+3+4+4+2+5+4+4</f>
        <v>56</v>
      </c>
      <c r="E67" s="2">
        <f>2+2+3+1+3+3+2+2+1+2</f>
        <v>21</v>
      </c>
      <c r="F67" s="2">
        <f>1+2+3+3+4+2+3+2+4+3+1+3+2+3</f>
        <v>36</v>
      </c>
      <c r="G67" s="2">
        <f>1+2+1+1</f>
        <v>5</v>
      </c>
      <c r="H67" s="2">
        <f>1</f>
        <v>1</v>
      </c>
      <c r="I67" s="2">
        <f>0</f>
        <v>0</v>
      </c>
      <c r="J67" s="2">
        <f>1</f>
        <v>1</v>
      </c>
      <c r="K67" s="2">
        <f>2+2+2+4+2+2+1+1+1</f>
        <v>17</v>
      </c>
      <c r="L67" s="2">
        <f>0</f>
        <v>0</v>
      </c>
    </row>
    <row r="68" spans="2:12" ht="19.5" x14ac:dyDescent="0.25">
      <c r="B68" s="2" t="s">
        <v>76</v>
      </c>
      <c r="C68" s="6">
        <f>F68/D68</f>
        <v>0.625</v>
      </c>
      <c r="D68" s="2">
        <f>2+3+4+4+4+1+3+2+3+3+2+4+2+3+4+4</f>
        <v>48</v>
      </c>
      <c r="E68" s="2">
        <f>1+2+1+1+2+2+1+3+2+2+2+3+2+2</f>
        <v>26</v>
      </c>
      <c r="F68" s="2">
        <f>1+2+2+3+2+3+2+2+2+3+1+3+3+1</f>
        <v>30</v>
      </c>
      <c r="G68" s="2">
        <f>1+1+1+1+1</f>
        <v>5</v>
      </c>
      <c r="H68" s="2">
        <f>1</f>
        <v>1</v>
      </c>
      <c r="I68" s="2">
        <f>0</f>
        <v>0</v>
      </c>
      <c r="J68" s="2">
        <f>1+1+1+1+3+1</f>
        <v>8</v>
      </c>
      <c r="K68" s="2">
        <f>2+2+3+3+2+2+3+2+1+3+1</f>
        <v>24</v>
      </c>
      <c r="L68" s="2">
        <f>1</f>
        <v>1</v>
      </c>
    </row>
    <row r="69" spans="2:12" ht="19.5" x14ac:dyDescent="0.25">
      <c r="B69" s="2" t="s">
        <v>164</v>
      </c>
      <c r="C69" s="6">
        <f t="shared" ref="C69" si="6">F69/D69</f>
        <v>0.5625</v>
      </c>
      <c r="D69" s="2">
        <f>3+3+4+5+5+1+4+3+4+2+4+4+2+4</f>
        <v>48</v>
      </c>
      <c r="E69" s="2">
        <f>1+1+1+1+4+2+2+3+2+1+2</f>
        <v>20</v>
      </c>
      <c r="F69" s="2">
        <f>1+2+2+4+1+3+2+3+2+2+2+3</f>
        <v>27</v>
      </c>
      <c r="G69" s="2">
        <f>1+1+2+1+1</f>
        <v>6</v>
      </c>
      <c r="H69" s="2">
        <f>1+1+1</f>
        <v>3</v>
      </c>
      <c r="I69" s="2">
        <f>1+1+1</f>
        <v>3</v>
      </c>
      <c r="J69" s="2">
        <f>1</f>
        <v>1</v>
      </c>
      <c r="K69" s="2">
        <f>1+3+3+2+4+2+4</f>
        <v>19</v>
      </c>
      <c r="L69" s="2">
        <f>1</f>
        <v>1</v>
      </c>
    </row>
    <row r="70" spans="2:12" ht="19.5" x14ac:dyDescent="0.25">
      <c r="B70" s="2" t="s">
        <v>165</v>
      </c>
      <c r="C70" s="6">
        <f t="shared" ref="C70:C76" si="7">F70/D70</f>
        <v>0.55555555555555558</v>
      </c>
      <c r="D70" s="2">
        <f>3+2+5+3+2+2+2+4+3+4+2+4</f>
        <v>36</v>
      </c>
      <c r="E70" s="2">
        <f>2+4+3+1+3+2+1+1+1</f>
        <v>18</v>
      </c>
      <c r="F70" s="2">
        <f>2+2+3+2+1+2+1+3+1+2+1</f>
        <v>20</v>
      </c>
      <c r="G70" s="2">
        <f>1+1+1+1</f>
        <v>4</v>
      </c>
      <c r="H70" s="2">
        <f>1</f>
        <v>1</v>
      </c>
      <c r="I70" s="2">
        <f>1+1</f>
        <v>2</v>
      </c>
      <c r="J70" s="2">
        <f>1+2+2</f>
        <v>5</v>
      </c>
      <c r="K70" s="2">
        <f>1+4+1+1+3+4+2+1</f>
        <v>17</v>
      </c>
      <c r="L70" s="2">
        <f>1</f>
        <v>1</v>
      </c>
    </row>
    <row r="71" spans="2:12" ht="19.5" x14ac:dyDescent="0.25">
      <c r="B71" s="2" t="s">
        <v>154</v>
      </c>
      <c r="C71" s="6">
        <f t="shared" si="7"/>
        <v>0.55555555555555558</v>
      </c>
      <c r="D71" s="2">
        <f>3+3+5+5+5+1+2+3</f>
        <v>27</v>
      </c>
      <c r="E71" s="2">
        <f>1+1+3+4+2</f>
        <v>11</v>
      </c>
      <c r="F71" s="2">
        <f>2+2+1+3+4+2+1</f>
        <v>15</v>
      </c>
      <c r="G71" s="2">
        <f>1+1</f>
        <v>2</v>
      </c>
      <c r="H71" s="2">
        <f>0</f>
        <v>0</v>
      </c>
      <c r="I71" s="2">
        <f>0</f>
        <v>0</v>
      </c>
      <c r="J71" s="2">
        <f>1</f>
        <v>1</v>
      </c>
      <c r="K71" s="2">
        <f>1+3</f>
        <v>4</v>
      </c>
      <c r="L71" s="2">
        <f>0</f>
        <v>0</v>
      </c>
    </row>
    <row r="72" spans="2:12" ht="19.5" x14ac:dyDescent="0.25">
      <c r="B72" s="2" t="s">
        <v>66</v>
      </c>
      <c r="C72" s="6">
        <f>F72/D72</f>
        <v>0.53333333333333333</v>
      </c>
      <c r="D72" s="2">
        <f>3+3+4+5+4+3+4+3+2+4+3+3+4</f>
        <v>45</v>
      </c>
      <c r="E72" s="2">
        <f>2+2+2+1+3+2+1+2+2+1</f>
        <v>18</v>
      </c>
      <c r="F72" s="2">
        <f>2+2+2+3+2+3+1+3+2+1+3</f>
        <v>24</v>
      </c>
      <c r="G72" s="2">
        <f>1+1+1</f>
        <v>3</v>
      </c>
      <c r="H72" s="2">
        <f>0</f>
        <v>0</v>
      </c>
      <c r="I72" s="2">
        <f>0+2+1+1</f>
        <v>4</v>
      </c>
      <c r="J72" s="2">
        <f>1</f>
        <v>1</v>
      </c>
      <c r="K72" s="2">
        <f>5+3+2+2+3+4+3+1</f>
        <v>23</v>
      </c>
      <c r="L72" s="2">
        <f>1+1</f>
        <v>2</v>
      </c>
    </row>
    <row r="73" spans="2:12" ht="19.5" x14ac:dyDescent="0.25">
      <c r="B73" s="2" t="s">
        <v>62</v>
      </c>
      <c r="C73" s="6">
        <f>F73/D73</f>
        <v>0.52777777777777779</v>
      </c>
      <c r="D73" s="2">
        <f>4+5+4+2+3+3+2+2+2+4+1+4</f>
        <v>36</v>
      </c>
      <c r="E73" s="2">
        <f>1+2+3+2+1+2+2+2+2</f>
        <v>17</v>
      </c>
      <c r="F73" s="2">
        <f>2+3+4+2+1+1+1+3+2</f>
        <v>19</v>
      </c>
      <c r="G73" s="2">
        <f>1+1</f>
        <v>2</v>
      </c>
      <c r="H73" s="2">
        <f>1</f>
        <v>1</v>
      </c>
      <c r="I73" s="2">
        <f>1+2+1</f>
        <v>4</v>
      </c>
      <c r="J73" s="2">
        <f>1+2+2+1</f>
        <v>6</v>
      </c>
      <c r="K73" s="2">
        <f>1+5+3+1+1+1+2</f>
        <v>14</v>
      </c>
      <c r="L73" s="2">
        <f>1+1</f>
        <v>2</v>
      </c>
    </row>
    <row r="74" spans="2:12" ht="19.5" x14ac:dyDescent="0.25">
      <c r="B74" s="2" t="s">
        <v>73</v>
      </c>
      <c r="C74" s="6">
        <f>F74/D74</f>
        <v>0.48</v>
      </c>
      <c r="D74" s="2">
        <f>3+2+4+3+4+4+2+3</f>
        <v>25</v>
      </c>
      <c r="E74" s="2">
        <f>2+1+1+1+2+2+2</f>
        <v>11</v>
      </c>
      <c r="F74" s="2">
        <f>1+1+2+3+2+1+2</f>
        <v>12</v>
      </c>
      <c r="G74" s="2">
        <f>0</f>
        <v>0</v>
      </c>
      <c r="H74" s="2">
        <f>1</f>
        <v>1</v>
      </c>
      <c r="I74" s="2">
        <f>0</f>
        <v>0</v>
      </c>
      <c r="J74" s="2">
        <f>1+1</f>
        <v>2</v>
      </c>
      <c r="K74" s="2">
        <f>1+2+1+3</f>
        <v>7</v>
      </c>
      <c r="L74" s="2">
        <f>0</f>
        <v>0</v>
      </c>
    </row>
    <row r="75" spans="2:12" ht="19.5" x14ac:dyDescent="0.25">
      <c r="B75" s="2" t="s">
        <v>69</v>
      </c>
      <c r="C75" s="6">
        <f>F75/D75</f>
        <v>0.48</v>
      </c>
      <c r="D75" s="2">
        <f>3+2+4+4+3+3+2+4</f>
        <v>25</v>
      </c>
      <c r="E75" s="2">
        <f>2+2+1+2+2</f>
        <v>9</v>
      </c>
      <c r="F75" s="2">
        <f>3+2+2+1+2+2</f>
        <v>12</v>
      </c>
      <c r="G75" s="2">
        <f>1+1</f>
        <v>2</v>
      </c>
      <c r="H75" s="2">
        <f>0</f>
        <v>0</v>
      </c>
      <c r="I75" s="2">
        <f>1+2</f>
        <v>3</v>
      </c>
      <c r="J75" s="2">
        <f>0</f>
        <v>0</v>
      </c>
      <c r="K75" s="2">
        <f>6+1+1+1+4</f>
        <v>13</v>
      </c>
      <c r="L75" s="2">
        <f>1</f>
        <v>1</v>
      </c>
    </row>
    <row r="76" spans="2:12" ht="19.5" x14ac:dyDescent="0.25">
      <c r="B76" s="2" t="s">
        <v>74</v>
      </c>
      <c r="C76" s="6">
        <f t="shared" ref="C76" si="8">F76/D76</f>
        <v>0.41379310344827586</v>
      </c>
      <c r="D76" s="2">
        <f>3+3+3+3+1+4+3+4+2+3</f>
        <v>29</v>
      </c>
      <c r="E76" s="2">
        <f>1+1+2+1+1+2+2+1</f>
        <v>11</v>
      </c>
      <c r="F76" s="2">
        <f>1+1+2+1+2+2+1+2</f>
        <v>12</v>
      </c>
      <c r="G76" s="2">
        <f>1</f>
        <v>1</v>
      </c>
      <c r="H76" s="2">
        <f>0</f>
        <v>0</v>
      </c>
      <c r="I76" s="2">
        <f>0</f>
        <v>0</v>
      </c>
      <c r="J76" s="2">
        <f>1+1</f>
        <v>2</v>
      </c>
      <c r="K76" s="2">
        <f>2+1+2</f>
        <v>5</v>
      </c>
      <c r="L76" s="2">
        <f>0</f>
        <v>0</v>
      </c>
    </row>
    <row r="77" spans="2:12" ht="19.5" x14ac:dyDescent="0.25">
      <c r="B77" s="2" t="s">
        <v>163</v>
      </c>
      <c r="C77" s="6">
        <f>F77/D77</f>
        <v>0.40540540540540543</v>
      </c>
      <c r="D77" s="2">
        <f>3+3+4+4+5+1+4+2+2+4+2+3</f>
        <v>37</v>
      </c>
      <c r="E77" s="2">
        <f>1+1+1+3+4+3+1+1</f>
        <v>15</v>
      </c>
      <c r="F77" s="2">
        <f>1+1+1+5+2+1+1+3</f>
        <v>15</v>
      </c>
      <c r="G77" s="2">
        <f>0</f>
        <v>0</v>
      </c>
      <c r="H77" s="2">
        <f>1+1</f>
        <v>2</v>
      </c>
      <c r="I77" s="2">
        <f>1</f>
        <v>1</v>
      </c>
      <c r="J77" s="2">
        <f>1+1</f>
        <v>2</v>
      </c>
      <c r="K77" s="2">
        <f>2+3+2+1</f>
        <v>8</v>
      </c>
      <c r="L77" s="2">
        <f>0</f>
        <v>0</v>
      </c>
    </row>
    <row r="78" spans="2:12" ht="19.5" x14ac:dyDescent="0.25">
      <c r="B78" s="13" t="s">
        <v>64</v>
      </c>
      <c r="C78" s="14">
        <f>F78/D78</f>
        <v>0.38235294117647056</v>
      </c>
      <c r="D78" s="13">
        <f>5+1+3+1+4+2+1+1+3+3+1+3+6</f>
        <v>34</v>
      </c>
      <c r="E78" s="13">
        <f>1+3+2+3+3+1+1+1+1+4</f>
        <v>20</v>
      </c>
      <c r="F78" s="13">
        <f>1+2+2+1+3+1+3</f>
        <v>13</v>
      </c>
      <c r="G78" s="13">
        <f>0</f>
        <v>0</v>
      </c>
      <c r="H78" s="13">
        <f>1</f>
        <v>1</v>
      </c>
      <c r="I78" s="13">
        <f>0+2</f>
        <v>2</v>
      </c>
      <c r="J78" s="13">
        <f>1+1+1+3</f>
        <v>6</v>
      </c>
      <c r="K78" s="13">
        <f>2+2+1+4</f>
        <v>9</v>
      </c>
      <c r="L78" s="13">
        <f>0</f>
        <v>0</v>
      </c>
    </row>
    <row r="79" spans="2:12" ht="20.25" thickBot="1" x14ac:dyDescent="0.3">
      <c r="B79" s="10" t="s">
        <v>72</v>
      </c>
      <c r="C79" s="11">
        <f>F79/D79</f>
        <v>0.3611111111111111</v>
      </c>
      <c r="D79" s="10">
        <f>4+4+5+1+4+2+2+3+3+3+2+3</f>
        <v>36</v>
      </c>
      <c r="E79" s="10">
        <f>2+1+2+3+3+1+1</f>
        <v>13</v>
      </c>
      <c r="F79" s="10">
        <f>1+3+2+2+1+2+1+1</f>
        <v>13</v>
      </c>
      <c r="G79" s="10">
        <f>1+1</f>
        <v>2</v>
      </c>
      <c r="H79" s="10">
        <f>0</f>
        <v>0</v>
      </c>
      <c r="I79" s="10">
        <f>0</f>
        <v>0</v>
      </c>
      <c r="J79" s="10">
        <f>2+1</f>
        <v>3</v>
      </c>
      <c r="K79" s="10">
        <f>1+4+3+1</f>
        <v>9</v>
      </c>
      <c r="L79" s="10">
        <f>1</f>
        <v>1</v>
      </c>
    </row>
    <row r="80" spans="2:12" ht="19.5" x14ac:dyDescent="0.25">
      <c r="B80" s="2" t="s">
        <v>61</v>
      </c>
      <c r="C80" s="6">
        <f>F80/D80</f>
        <v>0.8</v>
      </c>
      <c r="D80" s="2">
        <f>3+2</f>
        <v>5</v>
      </c>
      <c r="E80" s="2">
        <f>1+1</f>
        <v>2</v>
      </c>
      <c r="F80" s="2">
        <f>3+1</f>
        <v>4</v>
      </c>
      <c r="G80" s="2">
        <f>1</f>
        <v>1</v>
      </c>
      <c r="H80" s="2">
        <f>0</f>
        <v>0</v>
      </c>
      <c r="I80" s="2">
        <f>0</f>
        <v>0</v>
      </c>
      <c r="J80" s="2">
        <f>1</f>
        <v>1</v>
      </c>
      <c r="K80" s="2">
        <f>2</f>
        <v>2</v>
      </c>
      <c r="L80" s="2">
        <f>0</f>
        <v>0</v>
      </c>
    </row>
    <row r="81" spans="2:12" ht="19.5" x14ac:dyDescent="0.25">
      <c r="B81" s="2" t="s">
        <v>67</v>
      </c>
      <c r="C81" s="6">
        <f t="shared" ref="C81:C82" si="9">F81/D81</f>
        <v>0.7142857142857143</v>
      </c>
      <c r="D81" s="2">
        <f>4+3</f>
        <v>7</v>
      </c>
      <c r="E81" s="2">
        <f>3+2</f>
        <v>5</v>
      </c>
      <c r="F81" s="2">
        <f>3+2</f>
        <v>5</v>
      </c>
      <c r="G81" s="2">
        <f>2</f>
        <v>2</v>
      </c>
      <c r="H81" s="2">
        <f>1</f>
        <v>1</v>
      </c>
      <c r="I81" s="2">
        <f>0</f>
        <v>0</v>
      </c>
      <c r="J81" s="2">
        <f>0</f>
        <v>0</v>
      </c>
      <c r="K81" s="2">
        <f>3+3</f>
        <v>6</v>
      </c>
      <c r="L81" s="2">
        <f>1</f>
        <v>1</v>
      </c>
    </row>
    <row r="82" spans="2:12" ht="19.5" x14ac:dyDescent="0.25">
      <c r="B82" s="2" t="s">
        <v>63</v>
      </c>
      <c r="C82" s="6">
        <f>F82/D82</f>
        <v>0.625</v>
      </c>
      <c r="D82" s="2">
        <f>6+2</f>
        <v>8</v>
      </c>
      <c r="E82" s="2">
        <f>2</f>
        <v>2</v>
      </c>
      <c r="F82" s="2">
        <f>4+1</f>
        <v>5</v>
      </c>
      <c r="G82" s="2">
        <f>1</f>
        <v>1</v>
      </c>
      <c r="H82" s="2">
        <f>0</f>
        <v>0</v>
      </c>
      <c r="I82" s="2">
        <f>0</f>
        <v>0</v>
      </c>
      <c r="J82" s="2">
        <f>0</f>
        <v>0</v>
      </c>
      <c r="K82" s="2">
        <f>5</f>
        <v>5</v>
      </c>
      <c r="L82" s="2">
        <f>0</f>
        <v>0</v>
      </c>
    </row>
    <row r="83" spans="2:12" ht="19.5" x14ac:dyDescent="0.25">
      <c r="B83" s="2" t="s">
        <v>71</v>
      </c>
      <c r="C83" s="6">
        <f>F83/D83</f>
        <v>0.6</v>
      </c>
      <c r="D83" s="2">
        <f>4+4+2</f>
        <v>10</v>
      </c>
      <c r="E83" s="2">
        <f>1+2</f>
        <v>3</v>
      </c>
      <c r="F83" s="2">
        <f>2+2+2</f>
        <v>6</v>
      </c>
      <c r="G83" s="2">
        <f>1+1</f>
        <v>2</v>
      </c>
      <c r="H83" s="2">
        <f>0</f>
        <v>0</v>
      </c>
      <c r="I83" s="2">
        <f>0</f>
        <v>0</v>
      </c>
      <c r="J83" s="2">
        <f>0</f>
        <v>0</v>
      </c>
      <c r="K83" s="2">
        <f>1+5+1</f>
        <v>7</v>
      </c>
      <c r="L83" s="2">
        <f>0</f>
        <v>0</v>
      </c>
    </row>
    <row r="84" spans="2:12" ht="19.5" x14ac:dyDescent="0.25">
      <c r="B84" s="2" t="s">
        <v>68</v>
      </c>
      <c r="C84" s="6">
        <f>F84/D84</f>
        <v>0.5714285714285714</v>
      </c>
      <c r="D84" s="2">
        <f>4+3</f>
        <v>7</v>
      </c>
      <c r="E84" s="2">
        <f>4+2</f>
        <v>6</v>
      </c>
      <c r="F84" s="2">
        <f>2+2</f>
        <v>4</v>
      </c>
      <c r="G84" s="2">
        <f>0+1</f>
        <v>1</v>
      </c>
      <c r="H84" s="2">
        <f>0</f>
        <v>0</v>
      </c>
      <c r="I84" s="2">
        <f>0</f>
        <v>0</v>
      </c>
      <c r="J84" s="2">
        <f>1</f>
        <v>1</v>
      </c>
      <c r="K84" s="2">
        <f>1+2</f>
        <v>3</v>
      </c>
      <c r="L84" s="2">
        <f>0</f>
        <v>0</v>
      </c>
    </row>
    <row r="85" spans="2:12" ht="19.5" x14ac:dyDescent="0.25">
      <c r="B85" s="2" t="s">
        <v>57</v>
      </c>
      <c r="C85" s="6">
        <f>F85/D85</f>
        <v>0.5</v>
      </c>
      <c r="D85" s="2">
        <f>2+4</f>
        <v>6</v>
      </c>
      <c r="E85" s="2">
        <f>2</f>
        <v>2</v>
      </c>
      <c r="F85" s="2">
        <f>1+2</f>
        <v>3</v>
      </c>
      <c r="G85" s="2">
        <f>0</f>
        <v>0</v>
      </c>
      <c r="H85" s="2">
        <f>1</f>
        <v>1</v>
      </c>
      <c r="I85" s="2">
        <f>0</f>
        <v>0</v>
      </c>
      <c r="J85" s="2">
        <f>1</f>
        <v>1</v>
      </c>
      <c r="K85" s="2">
        <f>1+2</f>
        <v>3</v>
      </c>
      <c r="L85" s="2">
        <f>0</f>
        <v>0</v>
      </c>
    </row>
    <row r="86" spans="2:12" ht="19.5" x14ac:dyDescent="0.25">
      <c r="B86" s="2" t="s">
        <v>70</v>
      </c>
      <c r="C86" s="6">
        <f>F86/D86</f>
        <v>0.41176470588235292</v>
      </c>
      <c r="D86" s="2">
        <f>1+4+4+3+1+4</f>
        <v>17</v>
      </c>
      <c r="E86" s="2">
        <f>1+1+2+1</f>
        <v>5</v>
      </c>
      <c r="F86" s="2">
        <f>3+1+1+2</f>
        <v>7</v>
      </c>
      <c r="G86" s="2">
        <f>1</f>
        <v>1</v>
      </c>
      <c r="H86" s="2">
        <f>0</f>
        <v>0</v>
      </c>
      <c r="I86" s="2">
        <v>1</v>
      </c>
      <c r="J86" s="2">
        <f>1</f>
        <v>1</v>
      </c>
      <c r="K86" s="2">
        <f>3+1+3</f>
        <v>7</v>
      </c>
      <c r="L86" s="2">
        <f>2</f>
        <v>2</v>
      </c>
    </row>
    <row r="87" spans="2:12" ht="19.5" x14ac:dyDescent="0.25">
      <c r="B87" s="2" t="s">
        <v>59</v>
      </c>
      <c r="C87" s="6">
        <f>F87/D87</f>
        <v>0.36363636363636365</v>
      </c>
      <c r="D87" s="2">
        <f>3+2+2+4</f>
        <v>11</v>
      </c>
      <c r="E87" s="2">
        <f>1+2+1</f>
        <v>4</v>
      </c>
      <c r="F87" s="2">
        <f>1+1+2</f>
        <v>4</v>
      </c>
      <c r="G87" s="2">
        <f>0</f>
        <v>0</v>
      </c>
      <c r="H87" s="2">
        <f>0</f>
        <v>0</v>
      </c>
      <c r="I87" s="2">
        <f>0</f>
        <v>0</v>
      </c>
      <c r="J87" s="2">
        <f>1</f>
        <v>1</v>
      </c>
      <c r="K87" s="2">
        <f>1</f>
        <v>1</v>
      </c>
      <c r="L87" s="2">
        <f>0</f>
        <v>0</v>
      </c>
    </row>
    <row r="88" spans="2:12" ht="19.5" x14ac:dyDescent="0.25">
      <c r="B88" s="2" t="s">
        <v>162</v>
      </c>
      <c r="C88" s="6">
        <f>F88/D88</f>
        <v>0.33333333333333331</v>
      </c>
      <c r="D88" s="2">
        <f>2+4</f>
        <v>6</v>
      </c>
      <c r="E88" s="2">
        <f>1</f>
        <v>1</v>
      </c>
      <c r="F88" s="2">
        <f>2</f>
        <v>2</v>
      </c>
      <c r="G88" s="2">
        <f>0</f>
        <v>0</v>
      </c>
      <c r="H88" s="2">
        <f>0</f>
        <v>0</v>
      </c>
      <c r="I88" s="2">
        <f>0</f>
        <v>0</v>
      </c>
      <c r="J88" s="2">
        <f>0</f>
        <v>0</v>
      </c>
      <c r="K88" s="2">
        <f>0</f>
        <v>0</v>
      </c>
      <c r="L88" s="2">
        <f>0</f>
        <v>0</v>
      </c>
    </row>
    <row r="89" spans="2:12" ht="20.25" thickBot="1" x14ac:dyDescent="0.3">
      <c r="B89" s="10" t="s">
        <v>65</v>
      </c>
      <c r="C89" s="11">
        <f>F89/D89</f>
        <v>0.14285714285714285</v>
      </c>
      <c r="D89" s="10">
        <f>2+5</f>
        <v>7</v>
      </c>
      <c r="E89" s="10">
        <f>1</f>
        <v>1</v>
      </c>
      <c r="F89" s="10">
        <f>1</f>
        <v>1</v>
      </c>
      <c r="G89" s="10">
        <f>0</f>
        <v>0</v>
      </c>
      <c r="H89" s="10">
        <f>0</f>
        <v>0</v>
      </c>
      <c r="I89" s="10">
        <f>0</f>
        <v>0</v>
      </c>
      <c r="J89" s="10">
        <f>0</f>
        <v>0</v>
      </c>
      <c r="K89" s="10">
        <f>2</f>
        <v>2</v>
      </c>
      <c r="L89" s="10">
        <f>0</f>
        <v>0</v>
      </c>
    </row>
    <row r="90" spans="2:12" ht="19.5" x14ac:dyDescent="0.25">
      <c r="C90" s="6">
        <f>F90/D90</f>
        <v>0.52195121951219514</v>
      </c>
      <c r="D90" s="2">
        <f>SUM(D66:D89)</f>
        <v>615</v>
      </c>
      <c r="E90" s="2">
        <f>SUM(E66:E89)</f>
        <v>262</v>
      </c>
      <c r="F90" s="2">
        <f>SUM(F66:F89)</f>
        <v>321</v>
      </c>
      <c r="G90" s="2">
        <f>SUM(G66:G89)</f>
        <v>45</v>
      </c>
      <c r="H90" s="2">
        <f>SUM(H66:H89)</f>
        <v>13</v>
      </c>
      <c r="I90" s="2">
        <f>SUM(I66:I89)</f>
        <v>22</v>
      </c>
      <c r="J90" s="2">
        <f>SUM(J66:J89)</f>
        <v>45</v>
      </c>
      <c r="K90" s="2">
        <f>SUM(K66:K89)</f>
        <v>228</v>
      </c>
      <c r="L90" s="2">
        <f>SUM(L66:L89)</f>
        <v>14</v>
      </c>
    </row>
    <row r="93" spans="2:12" ht="15.75" thickBot="1" x14ac:dyDescent="0.3"/>
    <row r="94" spans="2:12" ht="20.25" thickBot="1" x14ac:dyDescent="0.3">
      <c r="B94" s="3" t="s">
        <v>28</v>
      </c>
      <c r="C94" s="3" t="s">
        <v>2</v>
      </c>
      <c r="D94" s="3" t="s">
        <v>3</v>
      </c>
      <c r="E94" s="3" t="s">
        <v>4</v>
      </c>
      <c r="F94" s="3" t="s">
        <v>5</v>
      </c>
      <c r="G94" s="3" t="s">
        <v>6</v>
      </c>
      <c r="H94" s="3" t="s">
        <v>10</v>
      </c>
      <c r="I94" s="3" t="s">
        <v>7</v>
      </c>
      <c r="J94" s="3" t="s">
        <v>8</v>
      </c>
      <c r="K94" s="3" t="s">
        <v>9</v>
      </c>
      <c r="L94" s="3" t="s">
        <v>11</v>
      </c>
    </row>
    <row r="95" spans="2:12" x14ac:dyDescent="0.25">
      <c r="B95" s="12" t="s">
        <v>159</v>
      </c>
      <c r="C95" s="4"/>
      <c r="D95" s="5"/>
      <c r="E95" s="4"/>
      <c r="F95" s="5"/>
      <c r="G95" s="5"/>
      <c r="H95" s="5"/>
      <c r="I95" s="5"/>
      <c r="J95" s="5"/>
      <c r="K95" s="5"/>
      <c r="L95" s="4"/>
    </row>
    <row r="96" spans="2:12" ht="19.5" x14ac:dyDescent="0.25">
      <c r="B96" s="2" t="s">
        <v>88</v>
      </c>
      <c r="C96" s="6">
        <f t="shared" ref="C96:C114" si="10">F96/D96</f>
        <v>0.93103448275862066</v>
      </c>
      <c r="D96" s="2">
        <f>3+2+4+3+4+4+4+5</f>
        <v>29</v>
      </c>
      <c r="E96" s="2">
        <f>3+1+4+3+4+4+3+4</f>
        <v>26</v>
      </c>
      <c r="F96" s="2">
        <f>3+2+4+3+4+3+3+5</f>
        <v>27</v>
      </c>
      <c r="G96" s="2">
        <f>1+1+2+1+1</f>
        <v>6</v>
      </c>
      <c r="H96" s="2">
        <f>1</f>
        <v>1</v>
      </c>
      <c r="I96" s="2">
        <f>1+1+1+1</f>
        <v>4</v>
      </c>
      <c r="J96" s="2">
        <f>1+1+1+1</f>
        <v>4</v>
      </c>
      <c r="K96" s="2">
        <f>3+1+6+5+1+1+1+4</f>
        <v>22</v>
      </c>
      <c r="L96" s="2">
        <f>1</f>
        <v>1</v>
      </c>
    </row>
    <row r="97" spans="2:12" ht="19.5" x14ac:dyDescent="0.25">
      <c r="B97" s="2" t="s">
        <v>89</v>
      </c>
      <c r="C97" s="6">
        <f>F97/D97</f>
        <v>0.70833333333333337</v>
      </c>
      <c r="D97" s="2">
        <f>3+4+4+4+4+4+4+4+5+3+4+5</f>
        <v>48</v>
      </c>
      <c r="E97" s="2">
        <f>3+3+2+1+2+3+1+4+2+1+3+5</f>
        <v>30</v>
      </c>
      <c r="F97" s="2">
        <f>3+3+2+1+2+3+1+4+4+2+4+5</f>
        <v>34</v>
      </c>
      <c r="G97" s="2">
        <f>1+1+1</f>
        <v>3</v>
      </c>
      <c r="H97" s="2">
        <f>2</f>
        <v>2</v>
      </c>
      <c r="I97" s="2">
        <f>1+1</f>
        <v>2</v>
      </c>
      <c r="J97" s="2">
        <f>0</f>
        <v>0</v>
      </c>
      <c r="K97" s="2">
        <f>1+3+1+2+1+2+4+2+3+2</f>
        <v>21</v>
      </c>
      <c r="L97" s="2">
        <f>1+1+1</f>
        <v>3</v>
      </c>
    </row>
    <row r="98" spans="2:12" ht="19.5" x14ac:dyDescent="0.25">
      <c r="B98" s="2" t="s">
        <v>86</v>
      </c>
      <c r="C98" s="6">
        <f>F98/D98</f>
        <v>0.6875</v>
      </c>
      <c r="D98" s="2">
        <f>4+4+4+3+4+5+5+4+5+4+3+5+1+3+4+6</f>
        <v>64</v>
      </c>
      <c r="E98" s="2">
        <f>2+2+2+3+3+5+4+3+4+4+3+2+1+2+3+3</f>
        <v>46</v>
      </c>
      <c r="F98" s="2">
        <f>1+2+4+2+2+4+4+2+4+4+2+4+2+3+4</f>
        <v>44</v>
      </c>
      <c r="G98" s="2">
        <f>1+1</f>
        <v>2</v>
      </c>
      <c r="H98" s="2">
        <f>0</f>
        <v>0</v>
      </c>
      <c r="I98" s="2">
        <f>1+1+1+1+3+1+2+2+2+1</f>
        <v>15</v>
      </c>
      <c r="J98" s="2">
        <f>1+1+1+1+1</f>
        <v>5</v>
      </c>
      <c r="K98" s="2">
        <f>4+3+4+2+2+10+3+4+7+4+3+1+3+2</f>
        <v>52</v>
      </c>
      <c r="L98" s="2">
        <f>0</f>
        <v>0</v>
      </c>
    </row>
    <row r="99" spans="2:12" ht="19.5" x14ac:dyDescent="0.25">
      <c r="B99" s="2" t="s">
        <v>77</v>
      </c>
      <c r="C99" s="6">
        <f>F99/D99</f>
        <v>0.67142857142857137</v>
      </c>
      <c r="D99" s="2">
        <f>3+4+4+2+4+5+3+4+5+4+4+5+2+3+4+4+4+6</f>
        <v>70</v>
      </c>
      <c r="E99" s="2">
        <f>2+3+1+1+2+3+2+1+3+2+3+1+1+1+2+4</f>
        <v>32</v>
      </c>
      <c r="F99" s="2">
        <f>3+3+2+1+1+4+1+2+2+4+4+3+2+3+2+1+4+5</f>
        <v>47</v>
      </c>
      <c r="G99" s="2">
        <f>1+1+1+2+2</f>
        <v>7</v>
      </c>
      <c r="H99" s="2">
        <f>0</f>
        <v>0</v>
      </c>
      <c r="I99" s="2">
        <f>0</f>
        <v>0</v>
      </c>
      <c r="J99" s="2">
        <f>2+1+1</f>
        <v>4</v>
      </c>
      <c r="K99" s="2">
        <f>3+1+1+2+2+1+3+2+2+3+1+1+2+2</f>
        <v>26</v>
      </c>
      <c r="L99" s="2">
        <f>1+1+1</f>
        <v>3</v>
      </c>
    </row>
    <row r="100" spans="2:12" ht="19.5" x14ac:dyDescent="0.25">
      <c r="B100" s="2" t="s">
        <v>87</v>
      </c>
      <c r="C100" s="6">
        <f>F100/D100</f>
        <v>0.66666666666666663</v>
      </c>
      <c r="D100" s="2">
        <f>2+4+3+4+4+5+4+3+4+3+3+3</f>
        <v>42</v>
      </c>
      <c r="E100" s="2">
        <f>1+3+2+2+1+1+2+3+3+3+2</f>
        <v>23</v>
      </c>
      <c r="F100" s="2">
        <f>1+2+2+3+3+2+3+3+3+3+1+2</f>
        <v>28</v>
      </c>
      <c r="G100" s="2">
        <f>1+1+2+1+1</f>
        <v>6</v>
      </c>
      <c r="H100" s="2">
        <f>0</f>
        <v>0</v>
      </c>
      <c r="I100" s="2">
        <f>1+1+1+1+2</f>
        <v>6</v>
      </c>
      <c r="J100" s="2">
        <f>1+1+1</f>
        <v>3</v>
      </c>
      <c r="K100" s="2">
        <f>2+4+2+3+4+1+6+2+2</f>
        <v>26</v>
      </c>
      <c r="L100" s="2">
        <f>1+1</f>
        <v>2</v>
      </c>
    </row>
    <row r="101" spans="2:12" ht="19.5" x14ac:dyDescent="0.25">
      <c r="B101" s="2" t="s">
        <v>22</v>
      </c>
      <c r="C101" s="6">
        <f>F101/D101</f>
        <v>0.5901639344262295</v>
      </c>
      <c r="D101" s="2">
        <f>3+4+4+4+5+5+5+3+4+4+2+2+3+4+3+6</f>
        <v>61</v>
      </c>
      <c r="E101" s="2">
        <f>1+3+4+4+1+2+2+2+1+1+2+1+1</f>
        <v>25</v>
      </c>
      <c r="F101" s="2">
        <f>1+2+3+4+4+2+3+4+1+2+4+1+5</f>
        <v>36</v>
      </c>
      <c r="G101" s="2">
        <f>1+1+1</f>
        <v>3</v>
      </c>
      <c r="H101" s="2">
        <f>0</f>
        <v>0</v>
      </c>
      <c r="I101" s="2">
        <f>0</f>
        <v>0</v>
      </c>
      <c r="J101" s="2">
        <f>1</f>
        <v>1</v>
      </c>
      <c r="K101" s="2">
        <f>2+1+4+2+4+2+1+3+3+1+4</f>
        <v>27</v>
      </c>
      <c r="L101" s="2">
        <f>1+1</f>
        <v>2</v>
      </c>
    </row>
    <row r="102" spans="2:12" ht="19.5" x14ac:dyDescent="0.25">
      <c r="B102" s="2" t="s">
        <v>83</v>
      </c>
      <c r="C102" s="6">
        <f>F102/D102</f>
        <v>0.57499999999999996</v>
      </c>
      <c r="D102" s="2">
        <f>3+2+3+2+4+4+4+2+4+4+3+5</f>
        <v>40</v>
      </c>
      <c r="E102" s="2">
        <f>1+1+3+1+2+3+4+2+2+2+2</f>
        <v>23</v>
      </c>
      <c r="F102" s="2">
        <f>1+1+3+1+3+3+3+1+3+1+1+2</f>
        <v>23</v>
      </c>
      <c r="G102" s="2">
        <f>1+1+1+1</f>
        <v>4</v>
      </c>
      <c r="H102" s="2">
        <f>0</f>
        <v>0</v>
      </c>
      <c r="I102" s="2">
        <f>1+1+1</f>
        <v>3</v>
      </c>
      <c r="J102" s="2">
        <f>1+2+1+1+1</f>
        <v>6</v>
      </c>
      <c r="K102" s="2">
        <f>1+3+3+2+4+1+1+3</f>
        <v>18</v>
      </c>
      <c r="L102" s="2">
        <f>0</f>
        <v>0</v>
      </c>
    </row>
    <row r="103" spans="2:12" ht="19.5" x14ac:dyDescent="0.25">
      <c r="B103" s="2" t="s">
        <v>84</v>
      </c>
      <c r="C103" s="6">
        <f>F103/D103</f>
        <v>0.56756756756756754</v>
      </c>
      <c r="D103" s="2">
        <f>3+4+2+4+3+2+4+4+1+2+4+4</f>
        <v>37</v>
      </c>
      <c r="E103" s="2">
        <f>2+1+1+2+1+1+3+2+2</f>
        <v>15</v>
      </c>
      <c r="F103" s="2">
        <f>2+2+3+3+1+3+1+2+2+2</f>
        <v>21</v>
      </c>
      <c r="G103" s="2">
        <f>2+1</f>
        <v>3</v>
      </c>
      <c r="H103" s="2">
        <f>1+1+1</f>
        <v>3</v>
      </c>
      <c r="I103" s="2">
        <f>0</f>
        <v>0</v>
      </c>
      <c r="J103" s="2">
        <f>1+2+1+1+1</f>
        <v>6</v>
      </c>
      <c r="K103" s="2">
        <f>2+4+1+3+1+1+3+2</f>
        <v>17</v>
      </c>
      <c r="L103" s="2">
        <f>0</f>
        <v>0</v>
      </c>
    </row>
    <row r="104" spans="2:12" ht="19.5" x14ac:dyDescent="0.25">
      <c r="B104" s="2" t="s">
        <v>80</v>
      </c>
      <c r="C104" s="6">
        <f>F104/D104</f>
        <v>0.55384615384615388</v>
      </c>
      <c r="D104" s="2">
        <f>2+2+3+4+4+5+4+3+4+3+4+4+2+3+4+4+4+6</f>
        <v>65</v>
      </c>
      <c r="E104" s="2">
        <f>1+2+1+1+2+1+2+4+2+1+2+2+2+2+4</f>
        <v>29</v>
      </c>
      <c r="F104" s="2">
        <f>1+1+1+2+4+2+2+1+3+1+1+3+2+3+2+2+2+3</f>
        <v>36</v>
      </c>
      <c r="G104" s="2">
        <f>1+1</f>
        <v>2</v>
      </c>
      <c r="H104" s="2">
        <f>1</f>
        <v>1</v>
      </c>
      <c r="I104" s="2">
        <f>0</f>
        <v>0</v>
      </c>
      <c r="J104" s="2">
        <f>1+1+1+1+1</f>
        <v>5</v>
      </c>
      <c r="K104" s="2">
        <f>1+2+1+3+2+1+1+1+2+1+2+2+4</f>
        <v>23</v>
      </c>
      <c r="L104" s="2">
        <f>0</f>
        <v>0</v>
      </c>
    </row>
    <row r="105" spans="2:12" ht="19.5" x14ac:dyDescent="0.25">
      <c r="B105" s="2" t="s">
        <v>85</v>
      </c>
      <c r="C105" s="6">
        <f>F105/D105</f>
        <v>0.55000000000000004</v>
      </c>
      <c r="D105" s="2">
        <f>3+4+4+4+4+5+5+4+5+4+4+5+1+2+2+4</f>
        <v>60</v>
      </c>
      <c r="E105" s="2">
        <f>3+2+3+1+3+2+1+1+1+2+1+1+1+2+1</f>
        <v>25</v>
      </c>
      <c r="F105" s="2">
        <f>2+2+1+4+4+3+4+1+1+3+1+1+2+4</f>
        <v>33</v>
      </c>
      <c r="G105" s="2">
        <f>1+1+1</f>
        <v>3</v>
      </c>
      <c r="H105" s="2">
        <f>1+1+1</f>
        <v>3</v>
      </c>
      <c r="I105" s="2">
        <f>1+2+1+1</f>
        <v>5</v>
      </c>
      <c r="J105" s="2">
        <f>1+2</f>
        <v>3</v>
      </c>
      <c r="K105" s="2">
        <f>2+1+2+2+2+4+3+2+2+2+4+3+1+1+1+2</f>
        <v>34</v>
      </c>
      <c r="L105" s="2">
        <f>1+1</f>
        <v>2</v>
      </c>
    </row>
    <row r="106" spans="2:12" ht="20.25" thickBot="1" x14ac:dyDescent="0.3">
      <c r="B106" s="10" t="s">
        <v>79</v>
      </c>
      <c r="C106" s="11">
        <f>F106/D106</f>
        <v>0.3235294117647059</v>
      </c>
      <c r="D106" s="10">
        <f>1+3+3+4+4+4+3+4+1+1+2+4</f>
        <v>34</v>
      </c>
      <c r="E106" s="10">
        <f>1+1+2+3+1+2+1+1+1+2</f>
        <v>15</v>
      </c>
      <c r="F106" s="10">
        <f>1+2+2+2+1+1+1+1</f>
        <v>11</v>
      </c>
      <c r="G106" s="10">
        <f>0</f>
        <v>0</v>
      </c>
      <c r="H106" s="10">
        <f>0</f>
        <v>0</v>
      </c>
      <c r="I106" s="10">
        <f>0</f>
        <v>0</v>
      </c>
      <c r="J106" s="10">
        <f>1+1+1</f>
        <v>3</v>
      </c>
      <c r="K106" s="10">
        <f>1+3+2+1+1</f>
        <v>8</v>
      </c>
      <c r="L106" s="10">
        <f>0</f>
        <v>0</v>
      </c>
    </row>
    <row r="107" spans="2:12" ht="19.5" x14ac:dyDescent="0.25">
      <c r="B107" s="2" t="s">
        <v>93</v>
      </c>
      <c r="C107" s="6">
        <f>F107/D107</f>
        <v>0.88888888888888884</v>
      </c>
      <c r="D107" s="2">
        <f>4+5</f>
        <v>9</v>
      </c>
      <c r="E107" s="2">
        <f>1+3</f>
        <v>4</v>
      </c>
      <c r="F107" s="2">
        <f>3+5</f>
        <v>8</v>
      </c>
      <c r="G107" s="2">
        <f>1</f>
        <v>1</v>
      </c>
      <c r="H107" s="2">
        <f>0</f>
        <v>0</v>
      </c>
      <c r="I107" s="2">
        <f>0</f>
        <v>0</v>
      </c>
      <c r="J107" s="2">
        <f>0</f>
        <v>0</v>
      </c>
      <c r="K107" s="2">
        <f>2+5</f>
        <v>7</v>
      </c>
      <c r="L107" s="2">
        <f>0</f>
        <v>0</v>
      </c>
    </row>
    <row r="108" spans="2:12" ht="19.5" x14ac:dyDescent="0.25">
      <c r="B108" s="2" t="s">
        <v>140</v>
      </c>
      <c r="C108" s="6">
        <f>F108/D108</f>
        <v>0.8</v>
      </c>
      <c r="D108" s="2">
        <f>2+3</f>
        <v>5</v>
      </c>
      <c r="E108" s="2">
        <f>3</f>
        <v>3</v>
      </c>
      <c r="F108" s="2">
        <f>1+3</f>
        <v>4</v>
      </c>
      <c r="G108" s="2">
        <f>1</f>
        <v>1</v>
      </c>
      <c r="H108" s="2">
        <f>0</f>
        <v>0</v>
      </c>
      <c r="I108" s="2">
        <f>1</f>
        <v>1</v>
      </c>
      <c r="J108" s="2">
        <f>0</f>
        <v>0</v>
      </c>
      <c r="K108" s="2">
        <f>4</f>
        <v>4</v>
      </c>
      <c r="L108" s="2">
        <f>0</f>
        <v>0</v>
      </c>
    </row>
    <row r="109" spans="2:12" ht="19.5" x14ac:dyDescent="0.25">
      <c r="B109" s="2" t="s">
        <v>78</v>
      </c>
      <c r="C109" s="6">
        <f>F109/D109</f>
        <v>0.75</v>
      </c>
      <c r="D109" s="2">
        <f>4+3+3+6</f>
        <v>16</v>
      </c>
      <c r="E109" s="2">
        <f>2+2+3+2</f>
        <v>9</v>
      </c>
      <c r="F109" s="2">
        <f>3+2+3+4</f>
        <v>12</v>
      </c>
      <c r="G109" s="2">
        <f>1+1</f>
        <v>2</v>
      </c>
      <c r="H109" s="2">
        <f>0</f>
        <v>0</v>
      </c>
      <c r="I109" s="2">
        <f>1+1</f>
        <v>2</v>
      </c>
      <c r="J109" s="2">
        <f>1+1</f>
        <v>2</v>
      </c>
      <c r="K109" s="2">
        <f>3+2+1</f>
        <v>6</v>
      </c>
      <c r="L109" s="2">
        <f>1</f>
        <v>1</v>
      </c>
    </row>
    <row r="110" spans="2:12" ht="19.5" x14ac:dyDescent="0.25">
      <c r="B110" s="2" t="s">
        <v>90</v>
      </c>
      <c r="C110" s="6">
        <f>F110/D110</f>
        <v>0.76470588235294112</v>
      </c>
      <c r="D110" s="2">
        <f>3+4+4+6</f>
        <v>17</v>
      </c>
      <c r="E110" s="2">
        <f>1+2+4+5</f>
        <v>12</v>
      </c>
      <c r="F110" s="2">
        <f>2+3+3+5</f>
        <v>13</v>
      </c>
      <c r="G110" s="2">
        <f>1+2+2+1</f>
        <v>6</v>
      </c>
      <c r="H110" s="2">
        <f>0+1</f>
        <v>1</v>
      </c>
      <c r="I110" s="2">
        <f>1+1</f>
        <v>2</v>
      </c>
      <c r="J110" s="2">
        <f>1</f>
        <v>1</v>
      </c>
      <c r="K110" s="2">
        <f>1+2+1+6</f>
        <v>10</v>
      </c>
      <c r="L110" s="2">
        <f>0</f>
        <v>0</v>
      </c>
    </row>
    <row r="111" spans="2:12" ht="19.5" x14ac:dyDescent="0.25">
      <c r="B111" s="2" t="s">
        <v>92</v>
      </c>
      <c r="C111" s="6">
        <f>F111/D111</f>
        <v>0.66666666666666663</v>
      </c>
      <c r="D111" s="2">
        <f>3+3</f>
        <v>6</v>
      </c>
      <c r="E111" s="2">
        <f>1+2</f>
        <v>3</v>
      </c>
      <c r="F111" s="2">
        <f>1+3</f>
        <v>4</v>
      </c>
      <c r="G111" s="2">
        <f>0</f>
        <v>0</v>
      </c>
      <c r="H111" s="2">
        <f>0</f>
        <v>0</v>
      </c>
      <c r="I111" s="2">
        <f>0</f>
        <v>0</v>
      </c>
      <c r="J111" s="2">
        <f>1</f>
        <v>1</v>
      </c>
      <c r="K111" s="2">
        <f>4+1</f>
        <v>5</v>
      </c>
      <c r="L111" s="2">
        <f>0</f>
        <v>0</v>
      </c>
    </row>
    <row r="112" spans="2:12" ht="19.5" x14ac:dyDescent="0.25">
      <c r="B112" s="2" t="s">
        <v>81</v>
      </c>
      <c r="C112" s="6">
        <f>F112/D112</f>
        <v>0.61111111111111116</v>
      </c>
      <c r="D112" s="2">
        <f>1+3+3+4+3+4</f>
        <v>18</v>
      </c>
      <c r="E112" s="2">
        <f>1+2+3+2+1+1</f>
        <v>10</v>
      </c>
      <c r="F112" s="2">
        <f>1+2+2+2+1+3</f>
        <v>11</v>
      </c>
      <c r="G112" s="2">
        <f>1</f>
        <v>1</v>
      </c>
      <c r="H112" s="2">
        <f>0</f>
        <v>0</v>
      </c>
      <c r="I112" s="2">
        <f>0</f>
        <v>0</v>
      </c>
      <c r="J112" s="2">
        <f>1+1</f>
        <v>2</v>
      </c>
      <c r="K112" s="2">
        <f>1+2+1+2+1</f>
        <v>7</v>
      </c>
      <c r="L112" s="2">
        <f>1</f>
        <v>1</v>
      </c>
    </row>
    <row r="113" spans="2:12" ht="19.5" x14ac:dyDescent="0.25">
      <c r="B113" s="2" t="s">
        <v>91</v>
      </c>
      <c r="C113" s="6">
        <f>F113/D113</f>
        <v>0.5625</v>
      </c>
      <c r="D113" s="2">
        <f>4+5+4+3</f>
        <v>16</v>
      </c>
      <c r="E113" s="2">
        <f>2+2+2+1</f>
        <v>7</v>
      </c>
      <c r="F113" s="2">
        <f>2+3+2+2</f>
        <v>9</v>
      </c>
      <c r="G113" s="2">
        <f>1+1+1</f>
        <v>3</v>
      </c>
      <c r="H113" s="2">
        <f>0</f>
        <v>0</v>
      </c>
      <c r="I113" s="2">
        <f>1</f>
        <v>1</v>
      </c>
      <c r="J113" s="2">
        <f>0</f>
        <v>0</v>
      </c>
      <c r="K113" s="2">
        <f>1+2+1+3</f>
        <v>7</v>
      </c>
      <c r="L113" s="2">
        <f>1</f>
        <v>1</v>
      </c>
    </row>
    <row r="114" spans="2:12" ht="19.5" x14ac:dyDescent="0.25">
      <c r="B114" s="2" t="s">
        <v>23</v>
      </c>
      <c r="C114" s="6">
        <f>F114/D114</f>
        <v>0.54545454545454541</v>
      </c>
      <c r="D114" s="2">
        <f>4+4+3</f>
        <v>11</v>
      </c>
      <c r="E114" s="2">
        <f>1+3+1</f>
        <v>5</v>
      </c>
      <c r="F114" s="2">
        <f>2+3+1</f>
        <v>6</v>
      </c>
      <c r="G114" s="2">
        <f>1</f>
        <v>1</v>
      </c>
      <c r="H114" s="2">
        <f>0</f>
        <v>0</v>
      </c>
      <c r="I114" s="2">
        <f>2</f>
        <v>2</v>
      </c>
      <c r="J114" s="2">
        <f>0</f>
        <v>0</v>
      </c>
      <c r="K114" s="2">
        <f>2+5+1</f>
        <v>8</v>
      </c>
      <c r="L114" s="2">
        <f>0</f>
        <v>0</v>
      </c>
    </row>
    <row r="115" spans="2:12" ht="19.5" x14ac:dyDescent="0.25">
      <c r="B115" s="2" t="s">
        <v>155</v>
      </c>
      <c r="C115" s="6">
        <f>F115/D115</f>
        <v>0.53333333333333333</v>
      </c>
      <c r="D115" s="2">
        <f>4+4+3+4</f>
        <v>15</v>
      </c>
      <c r="E115" s="2">
        <f>2+1+1+1</f>
        <v>5</v>
      </c>
      <c r="F115" s="2">
        <f>3+2+2+1</f>
        <v>8</v>
      </c>
      <c r="G115" s="2">
        <f>0</f>
        <v>0</v>
      </c>
      <c r="H115" s="2">
        <f>0</f>
        <v>0</v>
      </c>
      <c r="I115" s="2">
        <f>0</f>
        <v>0</v>
      </c>
      <c r="J115" s="2">
        <f>1</f>
        <v>1</v>
      </c>
      <c r="K115" s="2">
        <f>1+1+2+2</f>
        <v>6</v>
      </c>
      <c r="L115" s="2">
        <f>0</f>
        <v>0</v>
      </c>
    </row>
    <row r="116" spans="2:12" ht="19.5" x14ac:dyDescent="0.25">
      <c r="B116" s="2" t="s">
        <v>156</v>
      </c>
      <c r="C116" s="6">
        <f>F116/D116</f>
        <v>0.5</v>
      </c>
      <c r="D116" s="2">
        <f>4+4</f>
        <v>8</v>
      </c>
      <c r="E116" s="2">
        <f>2+1</f>
        <v>3</v>
      </c>
      <c r="F116" s="2">
        <f>0+2+2</f>
        <v>4</v>
      </c>
      <c r="G116" s="2">
        <f>0</f>
        <v>0</v>
      </c>
      <c r="H116" s="2">
        <f>0</f>
        <v>0</v>
      </c>
      <c r="I116" s="2">
        <f>0</f>
        <v>0</v>
      </c>
      <c r="J116" s="2">
        <f>0</f>
        <v>0</v>
      </c>
      <c r="K116" s="2">
        <f>0</f>
        <v>0</v>
      </c>
      <c r="L116" s="2">
        <f>0</f>
        <v>0</v>
      </c>
    </row>
    <row r="117" spans="2:12" ht="19.5" x14ac:dyDescent="0.25">
      <c r="B117" s="2" t="s">
        <v>141</v>
      </c>
      <c r="C117" s="6">
        <f>F117/D117</f>
        <v>0.5</v>
      </c>
      <c r="D117" s="2">
        <f>1+1</f>
        <v>2</v>
      </c>
      <c r="E117" s="2">
        <f>1</f>
        <v>1</v>
      </c>
      <c r="F117" s="2">
        <f>1</f>
        <v>1</v>
      </c>
      <c r="G117" s="2">
        <f>0</f>
        <v>0</v>
      </c>
      <c r="H117" s="2">
        <f>0</f>
        <v>0</v>
      </c>
      <c r="I117" s="2">
        <f>0</f>
        <v>0</v>
      </c>
      <c r="J117" s="2">
        <f>0</f>
        <v>0</v>
      </c>
      <c r="K117" s="2">
        <f>2</f>
        <v>2</v>
      </c>
      <c r="L117" s="2">
        <f>0</f>
        <v>0</v>
      </c>
    </row>
    <row r="118" spans="2:12" ht="19.5" x14ac:dyDescent="0.25">
      <c r="B118" s="13" t="s">
        <v>82</v>
      </c>
      <c r="C118" s="14">
        <f t="shared" ref="C118" si="11">F118/D118</f>
        <v>0.4</v>
      </c>
      <c r="D118" s="13">
        <f>2+3</f>
        <v>5</v>
      </c>
      <c r="E118" s="13">
        <f>1+1</f>
        <v>2</v>
      </c>
      <c r="F118" s="13">
        <f>1+1</f>
        <v>2</v>
      </c>
      <c r="G118" s="13">
        <f>0</f>
        <v>0</v>
      </c>
      <c r="H118" s="13">
        <f>1</f>
        <v>1</v>
      </c>
      <c r="I118" s="13">
        <f>0</f>
        <v>0</v>
      </c>
      <c r="J118" s="13">
        <f>0</f>
        <v>0</v>
      </c>
      <c r="K118" s="13">
        <f>1+2</f>
        <v>3</v>
      </c>
      <c r="L118" s="13">
        <f>0</f>
        <v>0</v>
      </c>
    </row>
    <row r="119" spans="2:12" ht="20.25" thickBot="1" x14ac:dyDescent="0.3">
      <c r="B119" s="10" t="s">
        <v>139</v>
      </c>
      <c r="C119" s="11">
        <f>F119/D119</f>
        <v>0.33333333333333331</v>
      </c>
      <c r="D119" s="10">
        <f>2+1</f>
        <v>3</v>
      </c>
      <c r="E119" s="10">
        <f>2</f>
        <v>2</v>
      </c>
      <c r="F119" s="10">
        <f>1</f>
        <v>1</v>
      </c>
      <c r="G119" s="10">
        <f>0</f>
        <v>0</v>
      </c>
      <c r="H119" s="10">
        <f>0</f>
        <v>0</v>
      </c>
      <c r="I119" s="10">
        <f>1</f>
        <v>1</v>
      </c>
      <c r="J119" s="10">
        <f>1</f>
        <v>1</v>
      </c>
      <c r="K119" s="10">
        <f>3</f>
        <v>3</v>
      </c>
      <c r="L119" s="10">
        <f>1</f>
        <v>1</v>
      </c>
    </row>
    <row r="120" spans="2:12" ht="19.5" x14ac:dyDescent="0.25">
      <c r="C120" s="6">
        <f>F120/D120</f>
        <v>0.62114537444933926</v>
      </c>
      <c r="D120" s="2">
        <f>SUM(D96:D119)</f>
        <v>681</v>
      </c>
      <c r="E120" s="2">
        <f>SUM(E96:E119)</f>
        <v>355</v>
      </c>
      <c r="F120" s="2">
        <f>SUM(F96:F119)</f>
        <v>423</v>
      </c>
      <c r="G120" s="2">
        <f>SUM(G96:G119)</f>
        <v>54</v>
      </c>
      <c r="H120" s="2">
        <f>SUM(H96:H119)</f>
        <v>12</v>
      </c>
      <c r="I120" s="2">
        <f>SUM(I96:I119)</f>
        <v>44</v>
      </c>
      <c r="J120" s="2">
        <f>SUM(J96:J119)</f>
        <v>48</v>
      </c>
      <c r="K120" s="2">
        <f>SUM(K96:K119)</f>
        <v>342</v>
      </c>
      <c r="L120" s="2">
        <f>SUM(L96:L119)</f>
        <v>17</v>
      </c>
    </row>
    <row r="123" spans="2:12" ht="15.75" thickBot="1" x14ac:dyDescent="0.3"/>
    <row r="124" spans="2:12" ht="20.25" thickBot="1" x14ac:dyDescent="0.3">
      <c r="B124" s="3" t="s">
        <v>29</v>
      </c>
      <c r="C124" s="3" t="s">
        <v>2</v>
      </c>
      <c r="D124" s="3" t="s">
        <v>3</v>
      </c>
      <c r="E124" s="3" t="s">
        <v>4</v>
      </c>
      <c r="F124" s="3" t="s">
        <v>5</v>
      </c>
      <c r="G124" s="3" t="s">
        <v>6</v>
      </c>
      <c r="H124" s="3" t="s">
        <v>10</v>
      </c>
      <c r="I124" s="3" t="s">
        <v>7</v>
      </c>
      <c r="J124" s="3" t="s">
        <v>8</v>
      </c>
      <c r="K124" s="3" t="s">
        <v>9</v>
      </c>
      <c r="L124" s="3" t="s">
        <v>11</v>
      </c>
    </row>
    <row r="125" spans="2:12" x14ac:dyDescent="0.25">
      <c r="B125" s="12" t="s">
        <v>159</v>
      </c>
    </row>
    <row r="127" spans="2:12" ht="19.5" x14ac:dyDescent="0.25">
      <c r="B127" s="2" t="s">
        <v>160</v>
      </c>
      <c r="C127" s="6">
        <f>F127/D127</f>
        <v>0.63636363636363635</v>
      </c>
      <c r="D127" s="2">
        <f>1+4+4+3+2+4+2+4+3+3+1+2</f>
        <v>33</v>
      </c>
      <c r="E127" s="2">
        <f>1+3+2+2+1+2+1+1+3+1</f>
        <v>17</v>
      </c>
      <c r="F127" s="2">
        <f>1+3+3+3+2+3+1+3+1+1</f>
        <v>21</v>
      </c>
      <c r="G127" s="2">
        <f>1+1+1</f>
        <v>3</v>
      </c>
      <c r="H127" s="2">
        <f>0</f>
        <v>0</v>
      </c>
      <c r="I127" s="2">
        <f>1+1</f>
        <v>2</v>
      </c>
      <c r="J127" s="2">
        <f>1+1+2</f>
        <v>4</v>
      </c>
      <c r="K127" s="2">
        <f>1+5+1+1+2+5+5+3</f>
        <v>23</v>
      </c>
      <c r="L127" s="2">
        <f>1+1+1</f>
        <v>3</v>
      </c>
    </row>
    <row r="128" spans="2:12" ht="19.5" x14ac:dyDescent="0.25">
      <c r="B128" s="2" t="s">
        <v>34</v>
      </c>
      <c r="C128" s="6">
        <f>F128/D128</f>
        <v>0.64814814814814814</v>
      </c>
      <c r="D128" s="2">
        <f>4+3+3+4+3+2+5+4+4+2+2+4+4+4+2+4</f>
        <v>54</v>
      </c>
      <c r="E128" s="2">
        <f>2+1+2+4+1+5+2+3+1+1+4+4+1</f>
        <v>31</v>
      </c>
      <c r="F128" s="2">
        <f>3+1+2+3+1+3+2+4+2+1+4+4+2+1+2</f>
        <v>35</v>
      </c>
      <c r="G128" s="2">
        <f>1+1+1+2+1+1+2+1</f>
        <v>10</v>
      </c>
      <c r="H128" s="2">
        <f>1+1</f>
        <v>2</v>
      </c>
      <c r="I128" s="2">
        <f>1+1</f>
        <v>2</v>
      </c>
      <c r="J128" s="2">
        <f>0+1</f>
        <v>1</v>
      </c>
      <c r="K128" s="2">
        <f>1+3+5+3+2+2+1+1+1</f>
        <v>19</v>
      </c>
      <c r="L128" s="2">
        <f>0</f>
        <v>0</v>
      </c>
    </row>
    <row r="129" spans="2:12" ht="19.5" x14ac:dyDescent="0.25">
      <c r="B129" s="2" t="s">
        <v>54</v>
      </c>
      <c r="C129" s="6">
        <f>F129/D129</f>
        <v>0.55769230769230771</v>
      </c>
      <c r="D129" s="2">
        <f>3+4+3+4+2+2+5+3+4+2+3+5+3+3+2+4</f>
        <v>52</v>
      </c>
      <c r="E129" s="2">
        <f>2+3+1+2+1+1+1+2+3+1+4+1+3+2</f>
        <v>27</v>
      </c>
      <c r="F129" s="2">
        <f>2+3+1+2+2+3+3+3+1+3+1+3+2</f>
        <v>29</v>
      </c>
      <c r="G129" s="2">
        <f>1+2+1+1+1+1+1</f>
        <v>8</v>
      </c>
      <c r="H129" s="2">
        <f>1</f>
        <v>1</v>
      </c>
      <c r="I129" s="2">
        <f>1+1</f>
        <v>2</v>
      </c>
      <c r="J129" s="2">
        <f>0</f>
        <v>0</v>
      </c>
      <c r="K129" s="2">
        <f>1+1+2+1+1+2+2+1+3+1+2</f>
        <v>17</v>
      </c>
      <c r="L129" s="2">
        <f>1</f>
        <v>1</v>
      </c>
    </row>
    <row r="130" spans="2:12" ht="19.5" x14ac:dyDescent="0.25">
      <c r="B130" s="2" t="s">
        <v>99</v>
      </c>
      <c r="C130" s="6">
        <f>F130/D130</f>
        <v>0.60344827586206895</v>
      </c>
      <c r="D130" s="2">
        <f>3+4+3+3+2+3+4+4+4+3+3+5+2+4+3+3+2+3</f>
        <v>58</v>
      </c>
      <c r="E130" s="2">
        <f>1+3+2+1+2+1+1+1+2+3+1+2+1+1</f>
        <v>22</v>
      </c>
      <c r="F130" s="2">
        <f>2+4+2+2+1+3+2+3+2+2+3+2+2+1+1+1+2</f>
        <v>35</v>
      </c>
      <c r="G130" s="2">
        <f>1+1+1+1</f>
        <v>4</v>
      </c>
      <c r="H130" s="2">
        <f>0</f>
        <v>0</v>
      </c>
      <c r="I130" s="2">
        <f>0</f>
        <v>0</v>
      </c>
      <c r="J130" s="2">
        <f>0</f>
        <v>0</v>
      </c>
      <c r="K130" s="2">
        <f>1+3+2+2+1+1+2+1+1+1</f>
        <v>15</v>
      </c>
      <c r="L130" s="2">
        <f>1</f>
        <v>1</v>
      </c>
    </row>
    <row r="131" spans="2:12" ht="19.5" x14ac:dyDescent="0.25">
      <c r="B131" s="2" t="s">
        <v>98</v>
      </c>
      <c r="C131" s="6">
        <f t="shared" ref="C131" si="12">F131/D131</f>
        <v>0.57894736842105265</v>
      </c>
      <c r="D131" s="2">
        <f>3+3+3+4+3+3</f>
        <v>19</v>
      </c>
      <c r="E131" s="2">
        <f>1+3+1+1+1+1</f>
        <v>8</v>
      </c>
      <c r="F131" s="2">
        <f>2+2+3+2+2</f>
        <v>11</v>
      </c>
      <c r="G131" s="2">
        <f>0</f>
        <v>0</v>
      </c>
      <c r="H131" s="2">
        <f>1+1</f>
        <v>2</v>
      </c>
      <c r="I131" s="2">
        <f>1+1</f>
        <v>2</v>
      </c>
      <c r="J131" s="2">
        <f>1+1</f>
        <v>2</v>
      </c>
      <c r="K131" s="2">
        <f>1+2+2+2+3</f>
        <v>10</v>
      </c>
      <c r="L131" s="2">
        <f>0</f>
        <v>0</v>
      </c>
    </row>
    <row r="132" spans="2:12" ht="19.5" x14ac:dyDescent="0.25">
      <c r="B132" s="2" t="s">
        <v>95</v>
      </c>
      <c r="C132" s="6">
        <f>F132/D132</f>
        <v>0.44444444444444442</v>
      </c>
      <c r="D132" s="2">
        <f>4+4+3+4+3+3+2+4</f>
        <v>27</v>
      </c>
      <c r="E132" s="2">
        <f>1+4+1+1+1+1</f>
        <v>9</v>
      </c>
      <c r="F132" s="2">
        <f>1+4+2+2+1+2</f>
        <v>12</v>
      </c>
      <c r="G132" s="2">
        <f>2+1</f>
        <v>3</v>
      </c>
      <c r="H132" s="2">
        <f>0</f>
        <v>0</v>
      </c>
      <c r="I132" s="2">
        <f>1</f>
        <v>1</v>
      </c>
      <c r="J132" s="2">
        <f>0</f>
        <v>0</v>
      </c>
      <c r="K132" s="2">
        <f>5+2+4</f>
        <v>11</v>
      </c>
      <c r="L132" s="2">
        <f>0</f>
        <v>0</v>
      </c>
    </row>
    <row r="133" spans="2:12" ht="19.5" x14ac:dyDescent="0.25">
      <c r="B133" s="2" t="s">
        <v>35</v>
      </c>
      <c r="C133" s="6">
        <f>F133/D133</f>
        <v>0.55769230769230771</v>
      </c>
      <c r="D133" s="2">
        <f>4+3+2+3+2+1+4+3+4+2+3+5+2+4+3+3+1+3</f>
        <v>52</v>
      </c>
      <c r="E133" s="2">
        <f>3+1+1+1+2+1+2+1+3+1+1+1</f>
        <v>18</v>
      </c>
      <c r="F133" s="2">
        <f>2+2+2+2+4+2+3+2+4+1+3+2</f>
        <v>29</v>
      </c>
      <c r="G133" s="2">
        <f>1+2+1</f>
        <v>4</v>
      </c>
      <c r="H133" s="2">
        <f>0</f>
        <v>0</v>
      </c>
      <c r="I133" s="2">
        <f>1</f>
        <v>1</v>
      </c>
      <c r="J133" s="2">
        <f>1+1</f>
        <v>2</v>
      </c>
      <c r="K133" s="2">
        <f>1+3+1+1+2+1+1+2+1+3+1+1</f>
        <v>18</v>
      </c>
      <c r="L133" s="2">
        <f>1</f>
        <v>1</v>
      </c>
    </row>
    <row r="134" spans="2:12" ht="19.5" x14ac:dyDescent="0.25">
      <c r="B134" s="2" t="s">
        <v>36</v>
      </c>
      <c r="C134" s="6">
        <f t="shared" ref="C134" si="13">F134/D134</f>
        <v>0.51351351351351349</v>
      </c>
      <c r="D134" s="2">
        <f>3+3+3+2+2+2+4+3+4+2+1+4+1+3</f>
        <v>37</v>
      </c>
      <c r="E134" s="2">
        <f>1+1+1+1+1+1+1+3+2</f>
        <v>12</v>
      </c>
      <c r="F134" s="2">
        <f>1+1+1+2+1+2+1+3+1+4+2</f>
        <v>19</v>
      </c>
      <c r="G134" s="2">
        <f>1+2</f>
        <v>3</v>
      </c>
      <c r="H134" s="2">
        <f>1</f>
        <v>1</v>
      </c>
      <c r="I134" s="2">
        <f>0</f>
        <v>0</v>
      </c>
      <c r="J134" s="2">
        <f>1+1+1</f>
        <v>3</v>
      </c>
      <c r="K134" s="2">
        <f>1+1+1+1+3+3+1+3+1</f>
        <v>15</v>
      </c>
      <c r="L134" s="2">
        <f>0</f>
        <v>0</v>
      </c>
    </row>
    <row r="135" spans="2:12" ht="19.5" x14ac:dyDescent="0.25">
      <c r="B135" s="2" t="s">
        <v>97</v>
      </c>
      <c r="C135" s="6">
        <f t="shared" ref="C135:C148" si="14">F135/D135</f>
        <v>0.5178571428571429</v>
      </c>
      <c r="D135" s="2">
        <f>4+4+3+3+2+3+3+3+4+3+3+4+2+4+3+3+2+3</f>
        <v>56</v>
      </c>
      <c r="E135" s="2">
        <f>3+1+1+1+2+3+1+1+2+1+3+1+1</f>
        <v>21</v>
      </c>
      <c r="F135" s="2">
        <f>3+2+1+1+2+1+2+3+2+2+4+2+1+1+2</f>
        <v>29</v>
      </c>
      <c r="G135" s="2">
        <f>1+1+1</f>
        <v>3</v>
      </c>
      <c r="H135" s="2">
        <f>1+1</f>
        <v>2</v>
      </c>
      <c r="I135" s="2">
        <f>0</f>
        <v>0</v>
      </c>
      <c r="J135" s="2">
        <f>1+2+1+1+1+1</f>
        <v>7</v>
      </c>
      <c r="K135" s="2">
        <f>1+1+1+2+2+3+5+1</f>
        <v>16</v>
      </c>
      <c r="L135" s="2">
        <f>1</f>
        <v>1</v>
      </c>
    </row>
    <row r="136" spans="2:12" ht="19.5" x14ac:dyDescent="0.25">
      <c r="B136" s="2" t="s">
        <v>96</v>
      </c>
      <c r="C136" s="6">
        <f t="shared" si="14"/>
        <v>0.5</v>
      </c>
      <c r="D136" s="2">
        <f>4+5+2+3+2+3+5+4</f>
        <v>28</v>
      </c>
      <c r="E136" s="2">
        <f>2+2+2+1+1+4+2</f>
        <v>14</v>
      </c>
      <c r="F136" s="2">
        <f>1+3+2+1+1+1+3+2</f>
        <v>14</v>
      </c>
      <c r="G136" s="2">
        <f>1+1+1</f>
        <v>3</v>
      </c>
      <c r="H136" s="2">
        <f>1</f>
        <v>1</v>
      </c>
      <c r="I136" s="2">
        <f>0+1+1</f>
        <v>2</v>
      </c>
      <c r="J136" s="2">
        <f>1</f>
        <v>1</v>
      </c>
      <c r="K136" s="2">
        <f>1+1+4+2</f>
        <v>8</v>
      </c>
      <c r="L136" s="2">
        <f>0</f>
        <v>0</v>
      </c>
    </row>
    <row r="137" spans="2:12" ht="19.5" x14ac:dyDescent="0.25">
      <c r="B137" s="2" t="s">
        <v>152</v>
      </c>
      <c r="C137" s="6">
        <f t="shared" si="14"/>
        <v>0.47368421052631576</v>
      </c>
      <c r="D137" s="2">
        <f>3+3+4+3+3+3</f>
        <v>19</v>
      </c>
      <c r="E137" s="2">
        <f>1+1+2+1+1+1</f>
        <v>7</v>
      </c>
      <c r="F137" s="2">
        <f>1+2+2+2+2</f>
        <v>9</v>
      </c>
      <c r="G137" s="2">
        <f>0</f>
        <v>0</v>
      </c>
      <c r="H137" s="2">
        <f>1</f>
        <v>1</v>
      </c>
      <c r="I137" s="2">
        <f>0</f>
        <v>0</v>
      </c>
      <c r="J137" s="2">
        <f>1</f>
        <v>1</v>
      </c>
      <c r="K137" s="2">
        <f>1+2</f>
        <v>3</v>
      </c>
      <c r="L137" s="2">
        <f>1</f>
        <v>1</v>
      </c>
    </row>
    <row r="138" spans="2:12" ht="19.5" x14ac:dyDescent="0.25">
      <c r="B138" s="2" t="s">
        <v>100</v>
      </c>
      <c r="C138" s="6">
        <f t="shared" si="14"/>
        <v>0.5</v>
      </c>
      <c r="D138" s="2">
        <f>4+3+4+2+2+6+1+2+1+3</f>
        <v>28</v>
      </c>
      <c r="E138" s="2">
        <f>2+1+2+4+2+1</f>
        <v>12</v>
      </c>
      <c r="F138" s="2">
        <f>1+2+2+1+4+1+1+2</f>
        <v>14</v>
      </c>
      <c r="G138" s="2">
        <f>1+1</f>
        <v>2</v>
      </c>
      <c r="H138" s="2">
        <f>1</f>
        <v>1</v>
      </c>
      <c r="I138" s="2">
        <f>0</f>
        <v>0</v>
      </c>
      <c r="J138" s="2">
        <f>1</f>
        <v>1</v>
      </c>
      <c r="K138" s="2">
        <f>1+1+1+2+1+1+2</f>
        <v>9</v>
      </c>
      <c r="L138" s="2">
        <f>1</f>
        <v>1</v>
      </c>
    </row>
    <row r="139" spans="2:12" ht="20.25" thickBot="1" x14ac:dyDescent="0.3">
      <c r="B139" s="10" t="s">
        <v>94</v>
      </c>
      <c r="C139" s="11">
        <f t="shared" si="14"/>
        <v>0.41666666666666669</v>
      </c>
      <c r="D139" s="10">
        <f>4+4+3+3+2+3+5+3+3+1+1+4</f>
        <v>36</v>
      </c>
      <c r="E139" s="10">
        <f>1+1+1+2+1+1+1+1+2</f>
        <v>11</v>
      </c>
      <c r="F139" s="10">
        <f>1+1+1+2+1+3+1+2+3</f>
        <v>15</v>
      </c>
      <c r="G139" s="10">
        <f>1+1+1+1+1</f>
        <v>5</v>
      </c>
      <c r="H139" s="10">
        <f>1</f>
        <v>1</v>
      </c>
      <c r="I139" s="10">
        <f>1+2+1+1</f>
        <v>5</v>
      </c>
      <c r="J139" s="10">
        <f>1+2</f>
        <v>3</v>
      </c>
      <c r="K139" s="10">
        <f>1+2+2+3+6+2+5+2</f>
        <v>23</v>
      </c>
      <c r="L139" s="10">
        <f>1+1</f>
        <v>2</v>
      </c>
    </row>
    <row r="140" spans="2:12" ht="19.5" x14ac:dyDescent="0.25">
      <c r="B140" s="2" t="s">
        <v>153</v>
      </c>
      <c r="C140" s="6">
        <f>F140/D140</f>
        <v>0.83333333333333337</v>
      </c>
      <c r="D140" s="2">
        <f>3+3</f>
        <v>6</v>
      </c>
      <c r="E140" s="2">
        <f>2+2</f>
        <v>4</v>
      </c>
      <c r="F140" s="2">
        <f>2+3</f>
        <v>5</v>
      </c>
      <c r="G140" s="2">
        <f>0</f>
        <v>0</v>
      </c>
      <c r="H140" s="2">
        <f>0</f>
        <v>0</v>
      </c>
      <c r="I140" s="2">
        <f>0</f>
        <v>0</v>
      </c>
      <c r="J140" s="2">
        <f>0</f>
        <v>0</v>
      </c>
      <c r="K140" s="2">
        <f>2</f>
        <v>2</v>
      </c>
      <c r="L140" s="2">
        <f>0</f>
        <v>0</v>
      </c>
    </row>
    <row r="141" spans="2:12" ht="19.5" x14ac:dyDescent="0.25">
      <c r="B141" s="2" t="s">
        <v>101</v>
      </c>
      <c r="C141" s="6">
        <f>F141/D141</f>
        <v>0.625</v>
      </c>
      <c r="D141" s="2">
        <f>3+5</f>
        <v>8</v>
      </c>
      <c r="E141" s="2">
        <f>1+3</f>
        <v>4</v>
      </c>
      <c r="F141" s="2">
        <f>2+3</f>
        <v>5</v>
      </c>
      <c r="G141" s="2">
        <f>0</f>
        <v>0</v>
      </c>
      <c r="H141" s="2">
        <f>0</f>
        <v>0</v>
      </c>
      <c r="I141" s="2">
        <f>0</f>
        <v>0</v>
      </c>
      <c r="J141" s="2">
        <f>1</f>
        <v>1</v>
      </c>
      <c r="K141" s="2">
        <f>1+2+3</f>
        <v>6</v>
      </c>
      <c r="L141" s="2">
        <f>0</f>
        <v>0</v>
      </c>
    </row>
    <row r="142" spans="2:12" ht="19.5" x14ac:dyDescent="0.25">
      <c r="B142" s="2" t="s">
        <v>142</v>
      </c>
      <c r="C142" s="6">
        <f>F142/D142</f>
        <v>0.66666666666666663</v>
      </c>
      <c r="D142" s="2">
        <f>2+4</f>
        <v>6</v>
      </c>
      <c r="E142" s="2">
        <f>1+3</f>
        <v>4</v>
      </c>
      <c r="F142" s="2">
        <f>1+3</f>
        <v>4</v>
      </c>
      <c r="G142" s="2">
        <f>0</f>
        <v>0</v>
      </c>
      <c r="H142" s="2">
        <f>0</f>
        <v>0</v>
      </c>
      <c r="I142" s="2">
        <f>0</f>
        <v>0</v>
      </c>
      <c r="J142" s="2">
        <f>0</f>
        <v>0</v>
      </c>
      <c r="K142" s="2">
        <f>1</f>
        <v>1</v>
      </c>
      <c r="L142" s="2">
        <f>0</f>
        <v>0</v>
      </c>
    </row>
    <row r="143" spans="2:12" ht="19.5" x14ac:dyDescent="0.25">
      <c r="B143" s="2" t="s">
        <v>102</v>
      </c>
      <c r="C143" s="6">
        <f>F143/D143</f>
        <v>0.66666666666666663</v>
      </c>
      <c r="D143" s="2">
        <f>2+4</f>
        <v>6</v>
      </c>
      <c r="E143" s="2">
        <f>1+2+1</f>
        <v>4</v>
      </c>
      <c r="F143" s="2">
        <f>4</f>
        <v>4</v>
      </c>
      <c r="G143" s="2">
        <f>1</f>
        <v>1</v>
      </c>
      <c r="H143" s="2">
        <f>0</f>
        <v>0</v>
      </c>
      <c r="I143" s="2">
        <f>0</f>
        <v>0</v>
      </c>
      <c r="J143" s="2">
        <f>1+1</f>
        <v>2</v>
      </c>
      <c r="K143" s="2">
        <f>3</f>
        <v>3</v>
      </c>
      <c r="L143" s="2">
        <f>0</f>
        <v>0</v>
      </c>
    </row>
    <row r="144" spans="2:12" ht="19.5" x14ac:dyDescent="0.25">
      <c r="B144" s="2" t="s">
        <v>143</v>
      </c>
      <c r="C144" s="6">
        <f>F144/D144</f>
        <v>0.45454545454545453</v>
      </c>
      <c r="D144" s="2">
        <f>3+4+1+4+3+3+1+3</f>
        <v>22</v>
      </c>
      <c r="E144" s="2">
        <f>1+1+1+1+2+1</f>
        <v>7</v>
      </c>
      <c r="F144" s="2">
        <f>1+3+2+2+2</f>
        <v>10</v>
      </c>
      <c r="G144" s="2">
        <f>1</f>
        <v>1</v>
      </c>
      <c r="H144" s="2">
        <f>0</f>
        <v>0</v>
      </c>
      <c r="I144" s="2">
        <f>0</f>
        <v>0</v>
      </c>
      <c r="J144" s="2">
        <f>1</f>
        <v>1</v>
      </c>
      <c r="K144" s="2">
        <f>6+3+1+1</f>
        <v>11</v>
      </c>
      <c r="L144" s="2">
        <f>0</f>
        <v>0</v>
      </c>
    </row>
    <row r="145" spans="2:12" ht="19.5" x14ac:dyDescent="0.25">
      <c r="B145" s="2" t="s">
        <v>37</v>
      </c>
      <c r="C145" s="6">
        <f>F145/D145</f>
        <v>0.41176470588235292</v>
      </c>
      <c r="D145" s="2">
        <f>2+4+4+4+3</f>
        <v>17</v>
      </c>
      <c r="E145" s="2">
        <f>1+1+1+2</f>
        <v>5</v>
      </c>
      <c r="F145" s="2">
        <f>1+3+1+2</f>
        <v>7</v>
      </c>
      <c r="G145" s="2">
        <f>0</f>
        <v>0</v>
      </c>
      <c r="H145" s="2">
        <f>0</f>
        <v>0</v>
      </c>
      <c r="I145" s="2">
        <f>0</f>
        <v>0</v>
      </c>
      <c r="J145" s="2">
        <f>2+1</f>
        <v>3</v>
      </c>
      <c r="K145" s="2">
        <f>2+2+1</f>
        <v>5</v>
      </c>
      <c r="L145" s="2">
        <f>0</f>
        <v>0</v>
      </c>
    </row>
    <row r="146" spans="2:12" ht="19.5" x14ac:dyDescent="0.25">
      <c r="B146" s="2" t="s">
        <v>161</v>
      </c>
      <c r="C146" s="6">
        <f>F146/D146</f>
        <v>0.41176470588235292</v>
      </c>
      <c r="D146" s="2">
        <f>14+3</f>
        <v>17</v>
      </c>
      <c r="E146" s="2">
        <v>2</v>
      </c>
      <c r="F146" s="2">
        <f>7</f>
        <v>7</v>
      </c>
      <c r="G146" s="2">
        <f>0</f>
        <v>0</v>
      </c>
      <c r="H146" s="2">
        <f>0</f>
        <v>0</v>
      </c>
      <c r="I146" s="2">
        <f>0</f>
        <v>0</v>
      </c>
      <c r="J146" s="2">
        <f>0</f>
        <v>0</v>
      </c>
      <c r="K146" s="2">
        <f>3</f>
        <v>3</v>
      </c>
      <c r="L146" s="2">
        <f>0</f>
        <v>0</v>
      </c>
    </row>
    <row r="147" spans="2:12" ht="19.5" x14ac:dyDescent="0.25">
      <c r="B147" s="2" t="s">
        <v>151</v>
      </c>
      <c r="C147" s="6">
        <f>F147/D147</f>
        <v>0</v>
      </c>
      <c r="D147" s="2">
        <f>3+3</f>
        <v>6</v>
      </c>
      <c r="E147" s="2">
        <f>0</f>
        <v>0</v>
      </c>
      <c r="F147" s="2">
        <f>0</f>
        <v>0</v>
      </c>
      <c r="G147" s="2">
        <f>0</f>
        <v>0</v>
      </c>
      <c r="H147" s="2">
        <f>0</f>
        <v>0</v>
      </c>
      <c r="I147" s="2">
        <f>0</f>
        <v>0</v>
      </c>
      <c r="J147" s="2">
        <f>0</f>
        <v>0</v>
      </c>
      <c r="K147" s="2">
        <f>0</f>
        <v>0</v>
      </c>
      <c r="L147" s="2">
        <f>0</f>
        <v>0</v>
      </c>
    </row>
    <row r="148" spans="2:12" ht="20.25" thickBot="1" x14ac:dyDescent="0.3">
      <c r="B148" s="10" t="s">
        <v>131</v>
      </c>
      <c r="C148" s="11">
        <f>F148/D148</f>
        <v>0.63636363636363635</v>
      </c>
      <c r="D148" s="10">
        <f>3+4+4</f>
        <v>11</v>
      </c>
      <c r="E148" s="10">
        <v>2</v>
      </c>
      <c r="F148" s="10">
        <f>2+2+3</f>
        <v>7</v>
      </c>
      <c r="G148" s="10">
        <f>0</f>
        <v>0</v>
      </c>
      <c r="H148" s="10">
        <f>1</f>
        <v>1</v>
      </c>
      <c r="I148" s="10">
        <f>0</f>
        <v>0</v>
      </c>
      <c r="J148" s="10">
        <f>1</f>
        <v>1</v>
      </c>
      <c r="K148" s="10">
        <f>4</f>
        <v>4</v>
      </c>
      <c r="L148" s="10">
        <f>0</f>
        <v>0</v>
      </c>
    </row>
    <row r="149" spans="2:12" ht="19.5" x14ac:dyDescent="0.25">
      <c r="C149" s="6">
        <f ca="1">F149/D149</f>
        <v>0.57199999999999995</v>
      </c>
      <c r="D149" s="2">
        <f ca="1">SUM(D127:D149)</f>
        <v>500</v>
      </c>
      <c r="E149" s="2">
        <f>SUM(E127:E148)</f>
        <v>241</v>
      </c>
      <c r="F149" s="2">
        <f ca="1">SUM(F127:F149)</f>
        <v>286</v>
      </c>
      <c r="G149" s="2">
        <f ca="1">SUM(G127:G149)</f>
        <v>47</v>
      </c>
      <c r="H149" s="2">
        <f ca="1">SUM(H127:H149)</f>
        <v>12</v>
      </c>
      <c r="I149" s="2">
        <f ca="1">SUM(I127:I149)</f>
        <v>15</v>
      </c>
      <c r="J149" s="2">
        <f ca="1">SUM(J127:J149)</f>
        <v>29</v>
      </c>
      <c r="K149" s="2">
        <f ca="1">SUM(K127:K149)</f>
        <v>203</v>
      </c>
      <c r="L149" s="2">
        <f ca="1">SUM(L127:L149)</f>
        <v>11</v>
      </c>
    </row>
    <row r="153" spans="2:12" ht="15.75" thickBot="1" x14ac:dyDescent="0.3"/>
    <row r="154" spans="2:12" ht="20.25" thickBot="1" x14ac:dyDescent="0.3">
      <c r="B154" s="3" t="s">
        <v>30</v>
      </c>
      <c r="C154" s="3" t="s">
        <v>2</v>
      </c>
      <c r="D154" s="3" t="s">
        <v>3</v>
      </c>
      <c r="E154" s="3" t="s">
        <v>4</v>
      </c>
      <c r="F154" s="3" t="s">
        <v>5</v>
      </c>
      <c r="G154" s="3" t="s">
        <v>6</v>
      </c>
      <c r="H154" s="3" t="s">
        <v>10</v>
      </c>
      <c r="I154" s="3" t="s">
        <v>7</v>
      </c>
      <c r="J154" s="3" t="s">
        <v>8</v>
      </c>
      <c r="K154" s="3" t="s">
        <v>9</v>
      </c>
      <c r="L154" s="3" t="s">
        <v>11</v>
      </c>
    </row>
    <row r="155" spans="2:12" x14ac:dyDescent="0.25">
      <c r="B155" s="12" t="s">
        <v>159</v>
      </c>
      <c r="C155" s="4"/>
      <c r="D155" s="5"/>
      <c r="E155" s="4"/>
      <c r="F155" s="5"/>
      <c r="G155" s="5"/>
      <c r="H155" s="5"/>
      <c r="I155" s="5"/>
      <c r="J155" s="5"/>
      <c r="K155" s="5"/>
      <c r="L155" s="4"/>
    </row>
    <row r="156" spans="2:12" ht="19.5" x14ac:dyDescent="0.25">
      <c r="B156" s="2" t="s">
        <v>149</v>
      </c>
      <c r="C156" s="6">
        <f>F156/D156</f>
        <v>0.65217391304347827</v>
      </c>
      <c r="D156" s="2">
        <f>2+3+4+3+3+3+3+3+2+4+2+2+3+3+2+4</f>
        <v>46</v>
      </c>
      <c r="E156" s="2">
        <f>1+1+3+2+1+1+3+1+1+1</f>
        <v>15</v>
      </c>
      <c r="F156" s="2">
        <f>1+3+3+1+2+3+2+2+1+1+1+3+2+2+3</f>
        <v>30</v>
      </c>
      <c r="G156" s="2">
        <f>1+1+1+1+1+1</f>
        <v>6</v>
      </c>
      <c r="H156" s="2">
        <f>0</f>
        <v>0</v>
      </c>
      <c r="I156" s="2">
        <f>1+1+1</f>
        <v>3</v>
      </c>
      <c r="J156" s="2">
        <f>1</f>
        <v>1</v>
      </c>
      <c r="K156" s="2">
        <f>2+2+1+1+2+1+2+1+1+1+2</f>
        <v>16</v>
      </c>
      <c r="L156" s="2">
        <f>1+1</f>
        <v>2</v>
      </c>
    </row>
    <row r="157" spans="2:12" ht="19.5" x14ac:dyDescent="0.25">
      <c r="B157" s="2" t="s">
        <v>105</v>
      </c>
      <c r="C157" s="6">
        <f>F157/D157</f>
        <v>0.63793103448275867</v>
      </c>
      <c r="D157" s="2">
        <f>2+3+4+2+3+3+2+3+3+3+2+4+2+4+1+2+2+4+3+2+4</f>
        <v>58</v>
      </c>
      <c r="E157" s="2">
        <f>1+4+1+2+2+1+2+1+4+2+1+3+1+1+2+3</f>
        <v>31</v>
      </c>
      <c r="F157" s="2">
        <f>1+2+4+2+2+1+1+3+1+2+1+3+4+2+1+3+1+1+2</f>
        <v>37</v>
      </c>
      <c r="G157" s="2">
        <f>1+1+2+2+1</f>
        <v>7</v>
      </c>
      <c r="H157" s="2">
        <f>1+2+2</f>
        <v>5</v>
      </c>
      <c r="I157" s="2">
        <f>1+1+1+1+1+1+1</f>
        <v>7</v>
      </c>
      <c r="J157" s="2">
        <f>1+1+2</f>
        <v>4</v>
      </c>
      <c r="K157" s="2">
        <f>1+2+1+2+4+4+1+2+3+1+4</f>
        <v>25</v>
      </c>
      <c r="L157" s="2">
        <f>0</f>
        <v>0</v>
      </c>
    </row>
    <row r="158" spans="2:12" ht="19.5" x14ac:dyDescent="0.25">
      <c r="B158" s="2" t="s">
        <v>145</v>
      </c>
      <c r="C158" s="6">
        <f>F158/D158</f>
        <v>0.55000000000000004</v>
      </c>
      <c r="D158" s="2">
        <f>2+3+4+3+3+3+3+3+1+4+2+2+4+3</f>
        <v>40</v>
      </c>
      <c r="E158" s="2">
        <f>3+1+1+1+1+4+1</f>
        <v>12</v>
      </c>
      <c r="F158" s="2">
        <f>2+4+2+1+2+1+3+1+4+2</f>
        <v>22</v>
      </c>
      <c r="G158" s="2">
        <f>1+1</f>
        <v>2</v>
      </c>
      <c r="H158" s="2">
        <f>1</f>
        <v>1</v>
      </c>
      <c r="I158" s="2">
        <f>0</f>
        <v>0</v>
      </c>
      <c r="J158" s="2">
        <f>1+1</f>
        <v>2</v>
      </c>
      <c r="K158" s="2">
        <f>1+2+2+2+1</f>
        <v>8</v>
      </c>
      <c r="L158" s="2">
        <f>0</f>
        <v>0</v>
      </c>
    </row>
    <row r="159" spans="2:12" ht="19.5" x14ac:dyDescent="0.25">
      <c r="B159" s="2" t="s">
        <v>116</v>
      </c>
      <c r="C159" s="6">
        <f>F159/D159</f>
        <v>0.54347826086956519</v>
      </c>
      <c r="D159" s="2">
        <f>2+3+4+2+3+4+1+2+3+2+2+3+1+3+1+2+4+2+2</f>
        <v>46</v>
      </c>
      <c r="E159" s="2">
        <f>3+1+2+2+2+1+1+1+1</f>
        <v>14</v>
      </c>
      <c r="F159" s="2">
        <f>2+4+1+3+1+3+1+1+1+1+1+1+2+2+1</f>
        <v>25</v>
      </c>
      <c r="G159" s="2">
        <f>2+2</f>
        <v>4</v>
      </c>
      <c r="H159" s="2">
        <f>1</f>
        <v>1</v>
      </c>
      <c r="I159" s="2">
        <f>0</f>
        <v>0</v>
      </c>
      <c r="J159" s="2">
        <f>1+1+1+1+1</f>
        <v>5</v>
      </c>
      <c r="K159" s="2">
        <f>1+1+1+1+2+1+1</f>
        <v>8</v>
      </c>
      <c r="L159" s="2">
        <f>0</f>
        <v>0</v>
      </c>
    </row>
    <row r="160" spans="2:12" ht="19.5" x14ac:dyDescent="0.25">
      <c r="B160" s="2" t="s">
        <v>113</v>
      </c>
      <c r="C160" s="6">
        <f>F160/D160</f>
        <v>0.52777777777777779</v>
      </c>
      <c r="D160" s="2">
        <f>2+3+3+3+3+3+1+2+2+3+2+2+2+2+3</f>
        <v>36</v>
      </c>
      <c r="E160" s="2">
        <f>0+1+4+2+1+2+1</f>
        <v>11</v>
      </c>
      <c r="F160" s="2">
        <f>1+1+3+2+2+2+1+3+2+2</f>
        <v>19</v>
      </c>
      <c r="G160" s="2">
        <f>1+1+1+1</f>
        <v>4</v>
      </c>
      <c r="H160" s="2">
        <f>1</f>
        <v>1</v>
      </c>
      <c r="I160" s="2">
        <f>0</f>
        <v>0</v>
      </c>
      <c r="J160" s="2">
        <f>1+1+2+1</f>
        <v>5</v>
      </c>
      <c r="K160" s="2">
        <f>1+2+1+1+3</f>
        <v>8</v>
      </c>
      <c r="L160" s="2">
        <f>0</f>
        <v>0</v>
      </c>
    </row>
    <row r="161" spans="2:12" ht="19.5" x14ac:dyDescent="0.25">
      <c r="B161" s="2" t="s">
        <v>110</v>
      </c>
      <c r="C161" s="6">
        <f>F161/D161</f>
        <v>0.51515151515151514</v>
      </c>
      <c r="D161" s="2">
        <f>3+3+3+2+3+2+4+1+1+3+3+2+3</f>
        <v>33</v>
      </c>
      <c r="E161" s="2">
        <f>3+1+1+1+1+2+1+1</f>
        <v>11</v>
      </c>
      <c r="F161" s="2">
        <f>1+3+2+2+1+3+1+1+2+1</f>
        <v>17</v>
      </c>
      <c r="G161" s="2">
        <f>0</f>
        <v>0</v>
      </c>
      <c r="H161" s="2">
        <f>1</f>
        <v>1</v>
      </c>
      <c r="I161" s="2">
        <f>0</f>
        <v>0</v>
      </c>
      <c r="J161" s="2">
        <f>0</f>
        <v>0</v>
      </c>
      <c r="K161" s="2">
        <f>1+3+1+1+1+2+1+2</f>
        <v>12</v>
      </c>
      <c r="L161" s="2">
        <f>1</f>
        <v>1</v>
      </c>
    </row>
    <row r="162" spans="2:12" ht="19.5" x14ac:dyDescent="0.25">
      <c r="B162" s="2" t="s">
        <v>104</v>
      </c>
      <c r="C162" s="6">
        <f t="shared" ref="C156:C179" si="15">F162/D162</f>
        <v>0.5</v>
      </c>
      <c r="D162" s="2">
        <f>2+3+3+2+3+3+3+2+2+2+1+1+2+3+2+4</f>
        <v>38</v>
      </c>
      <c r="E162" s="2">
        <f>1+2+1+3+2+1+1+1+2+1</f>
        <v>15</v>
      </c>
      <c r="F162" s="2">
        <f>1+2+3+1+2+2+1+1+1+1+2+2</f>
        <v>19</v>
      </c>
      <c r="G162" s="2">
        <f>0+1</f>
        <v>1</v>
      </c>
      <c r="H162" s="2">
        <f>1</f>
        <v>1</v>
      </c>
      <c r="I162" s="2">
        <f>0</f>
        <v>0</v>
      </c>
      <c r="J162" s="2">
        <f>1+1+1</f>
        <v>3</v>
      </c>
      <c r="K162" s="2">
        <f>3+2+5+2+3+1</f>
        <v>16</v>
      </c>
      <c r="L162" s="2">
        <f>1</f>
        <v>1</v>
      </c>
    </row>
    <row r="163" spans="2:12" ht="19.5" x14ac:dyDescent="0.25">
      <c r="B163" s="2" t="s">
        <v>108</v>
      </c>
      <c r="C163" s="6">
        <f>F163/D163</f>
        <v>0.48571428571428571</v>
      </c>
      <c r="D163" s="2">
        <f>2+3+3+2+3+4+1+3+2+3+2+1+1+2+3</f>
        <v>35</v>
      </c>
      <c r="E163" s="2">
        <f>0+1+2+1+1+1+3+1</f>
        <v>10</v>
      </c>
      <c r="F163" s="2">
        <f>1+3+3+2+2+1+1+1+1+1+1</f>
        <v>17</v>
      </c>
      <c r="G163" s="2">
        <f>1</f>
        <v>1</v>
      </c>
      <c r="H163" s="2">
        <f>0</f>
        <v>0</v>
      </c>
      <c r="I163" s="2">
        <f>0</f>
        <v>0</v>
      </c>
      <c r="J163" s="2">
        <f>1+1+1</f>
        <v>3</v>
      </c>
      <c r="K163" s="2">
        <f>2+2+1+1+2+1+1</f>
        <v>10</v>
      </c>
      <c r="L163" s="2">
        <f>0</f>
        <v>0</v>
      </c>
    </row>
    <row r="164" spans="2:12" ht="19.5" x14ac:dyDescent="0.25">
      <c r="B164" s="2" t="s">
        <v>103</v>
      </c>
      <c r="C164" s="6">
        <f>F164/D164</f>
        <v>0.45714285714285713</v>
      </c>
      <c r="D164" s="2">
        <f>2+3+3+2+3+4+2+3+2+3+1+2+2+3</f>
        <v>35</v>
      </c>
      <c r="E164" s="2">
        <f>2+1+3+1+1+1+1</f>
        <v>10</v>
      </c>
      <c r="F164" s="2">
        <f>1+3+1+2+1+3+1+1+2+1</f>
        <v>16</v>
      </c>
      <c r="G164" s="2">
        <f>2</f>
        <v>2</v>
      </c>
      <c r="H164" s="2">
        <f>1</f>
        <v>1</v>
      </c>
      <c r="I164" s="2">
        <f>1+1</f>
        <v>2</v>
      </c>
      <c r="J164" s="2">
        <f>1+4</f>
        <v>5</v>
      </c>
      <c r="K164" s="2">
        <f>1+1+1+1+1+2</f>
        <v>7</v>
      </c>
      <c r="L164" s="2">
        <f>1+1</f>
        <v>2</v>
      </c>
    </row>
    <row r="165" spans="2:12" ht="19.5" x14ac:dyDescent="0.25">
      <c r="B165" s="2" t="s">
        <v>106</v>
      </c>
      <c r="C165" s="6">
        <f>F165/D165</f>
        <v>0.42857142857142855</v>
      </c>
      <c r="D165" s="2">
        <f>2+2+3+2+3+1+2+1+4+4+4</f>
        <v>28</v>
      </c>
      <c r="E165" s="2">
        <f>1+1+1+2+1+2+2+1</f>
        <v>11</v>
      </c>
      <c r="F165" s="2">
        <f>1+2+1+1+1+3+3</f>
        <v>12</v>
      </c>
      <c r="G165" s="2">
        <f>1+2+2</f>
        <v>5</v>
      </c>
      <c r="H165" s="2">
        <f>1</f>
        <v>1</v>
      </c>
      <c r="I165" s="2">
        <f>0</f>
        <v>0</v>
      </c>
      <c r="J165" s="2">
        <f>1</f>
        <v>1</v>
      </c>
      <c r="K165" s="2">
        <f>2+1+1+2+1</f>
        <v>7</v>
      </c>
      <c r="L165" s="2">
        <f>1</f>
        <v>1</v>
      </c>
    </row>
    <row r="166" spans="2:12" ht="19.5" x14ac:dyDescent="0.25">
      <c r="B166" s="2" t="s">
        <v>168</v>
      </c>
      <c r="C166" s="6">
        <f t="shared" si="15"/>
        <v>0.41025641025641024</v>
      </c>
      <c r="D166" s="2">
        <f>3+3+2+3+3+4+2+4+1+1+3+4+2+4</f>
        <v>39</v>
      </c>
      <c r="E166" s="2">
        <f>1+3+2+1+1+2+1+1</f>
        <v>12</v>
      </c>
      <c r="F166" s="2">
        <f>1+1+2+2+2+2+1+2+1+2</f>
        <v>16</v>
      </c>
      <c r="G166" s="2">
        <f>1+1</f>
        <v>2</v>
      </c>
      <c r="H166" s="2">
        <f>1+1</f>
        <v>2</v>
      </c>
      <c r="I166" s="2">
        <f>0</f>
        <v>0</v>
      </c>
      <c r="J166" s="2">
        <f>1</f>
        <v>1</v>
      </c>
      <c r="K166" s="2">
        <f>1+1+3+1+1+2</f>
        <v>9</v>
      </c>
      <c r="L166" s="2">
        <f>0</f>
        <v>0</v>
      </c>
    </row>
    <row r="167" spans="2:12" ht="20.25" thickBot="1" x14ac:dyDescent="0.3">
      <c r="B167" s="10" t="s">
        <v>111</v>
      </c>
      <c r="C167" s="11">
        <f t="shared" si="15"/>
        <v>0.37142857142857144</v>
      </c>
      <c r="D167" s="10">
        <f>3+2+3+2+3+3+4+1+2+3+4+1+4</f>
        <v>35</v>
      </c>
      <c r="E167" s="10">
        <f>1+1+2+2+2</f>
        <v>8</v>
      </c>
      <c r="F167" s="10">
        <f>1+1+2+1+1+1+3+3</f>
        <v>13</v>
      </c>
      <c r="G167" s="10">
        <f>1</f>
        <v>1</v>
      </c>
      <c r="H167" s="10">
        <f>2</f>
        <v>2</v>
      </c>
      <c r="I167" s="10">
        <f>0</f>
        <v>0</v>
      </c>
      <c r="J167" s="10">
        <f>0</f>
        <v>0</v>
      </c>
      <c r="K167" s="10">
        <f>2+1+3+1+1</f>
        <v>8</v>
      </c>
      <c r="L167" s="10">
        <f>0</f>
        <v>0</v>
      </c>
    </row>
    <row r="168" spans="2:12" ht="19.5" x14ac:dyDescent="0.25">
      <c r="B168" s="2" t="s">
        <v>148</v>
      </c>
      <c r="C168" s="6">
        <f>F168/D168</f>
        <v>1</v>
      </c>
      <c r="D168" s="2">
        <f>3</f>
        <v>3</v>
      </c>
      <c r="E168" s="2">
        <f>1</f>
        <v>1</v>
      </c>
      <c r="F168" s="2">
        <f>3</f>
        <v>3</v>
      </c>
      <c r="G168" s="2">
        <f>0</f>
        <v>0</v>
      </c>
      <c r="H168" s="2">
        <f>0</f>
        <v>0</v>
      </c>
      <c r="I168" s="2">
        <f>0</f>
        <v>0</v>
      </c>
      <c r="J168" s="2">
        <f>0</f>
        <v>0</v>
      </c>
      <c r="K168" s="2">
        <f>2</f>
        <v>2</v>
      </c>
      <c r="L168" s="2">
        <f>0</f>
        <v>0</v>
      </c>
    </row>
    <row r="169" spans="2:12" ht="19.5" x14ac:dyDescent="0.25">
      <c r="B169" s="2" t="s">
        <v>167</v>
      </c>
      <c r="C169" s="6">
        <f>F169/D169</f>
        <v>0.83333333333333337</v>
      </c>
      <c r="D169" s="2">
        <f>2+4</f>
        <v>6</v>
      </c>
      <c r="E169" s="2">
        <f>2+2</f>
        <v>4</v>
      </c>
      <c r="F169" s="2">
        <f>2+3</f>
        <v>5</v>
      </c>
      <c r="G169" s="2">
        <f>0</f>
        <v>0</v>
      </c>
      <c r="H169" s="2">
        <f>1</f>
        <v>1</v>
      </c>
      <c r="I169" s="2">
        <f>0</f>
        <v>0</v>
      </c>
      <c r="J169" s="2">
        <f>0</f>
        <v>0</v>
      </c>
      <c r="K169" s="2">
        <f>4</f>
        <v>4</v>
      </c>
      <c r="L169" s="2">
        <f>0</f>
        <v>0</v>
      </c>
    </row>
    <row r="170" spans="2:12" ht="19.5" x14ac:dyDescent="0.25">
      <c r="B170" s="2" t="s">
        <v>114</v>
      </c>
      <c r="C170" s="6">
        <f>F170/D170</f>
        <v>0.8</v>
      </c>
      <c r="D170" s="2">
        <f>2+3</f>
        <v>5</v>
      </c>
      <c r="E170" s="2">
        <f>1</f>
        <v>1</v>
      </c>
      <c r="F170" s="2">
        <f>2+2</f>
        <v>4</v>
      </c>
      <c r="G170" s="2">
        <f>0</f>
        <v>0</v>
      </c>
      <c r="H170" s="2">
        <f>0</f>
        <v>0</v>
      </c>
      <c r="I170" s="2">
        <f>0</f>
        <v>0</v>
      </c>
      <c r="J170" s="2">
        <f>0</f>
        <v>0</v>
      </c>
      <c r="K170" s="2">
        <f>1</f>
        <v>1</v>
      </c>
      <c r="L170" s="2">
        <f>0</f>
        <v>0</v>
      </c>
    </row>
    <row r="171" spans="2:12" ht="19.5" x14ac:dyDescent="0.25">
      <c r="B171" s="2" t="s">
        <v>33</v>
      </c>
      <c r="C171" s="6">
        <f>F171/D171</f>
        <v>0.5625</v>
      </c>
      <c r="D171" s="2">
        <f>3+1+3+1+2+3+1+2</f>
        <v>16</v>
      </c>
      <c r="E171" s="2">
        <f>1+1</f>
        <v>2</v>
      </c>
      <c r="F171" s="2">
        <f>1+2+2+2+2</f>
        <v>9</v>
      </c>
      <c r="G171" s="2">
        <f>0</f>
        <v>0</v>
      </c>
      <c r="H171" s="2">
        <f>0</f>
        <v>0</v>
      </c>
      <c r="I171" s="2">
        <f>0</f>
        <v>0</v>
      </c>
      <c r="J171" s="2">
        <f>0</f>
        <v>0</v>
      </c>
      <c r="K171" s="2">
        <f>1+1+2</f>
        <v>4</v>
      </c>
      <c r="L171" s="2">
        <f>0</f>
        <v>0</v>
      </c>
    </row>
    <row r="172" spans="2:12" ht="19.5" x14ac:dyDescent="0.25">
      <c r="B172" s="2" t="s">
        <v>146</v>
      </c>
      <c r="C172" s="6">
        <f>F172/D172</f>
        <v>0.5</v>
      </c>
      <c r="D172" s="2">
        <f>1+3</f>
        <v>4</v>
      </c>
      <c r="E172" s="2">
        <f>1</f>
        <v>1</v>
      </c>
      <c r="F172" s="2">
        <f>2</f>
        <v>2</v>
      </c>
      <c r="G172" s="2">
        <f>0</f>
        <v>0</v>
      </c>
      <c r="H172" s="2">
        <f>0</f>
        <v>0</v>
      </c>
      <c r="I172" s="2">
        <f>0</f>
        <v>0</v>
      </c>
      <c r="J172" s="2">
        <f>0</f>
        <v>0</v>
      </c>
      <c r="K172" s="2">
        <f>1</f>
        <v>1</v>
      </c>
      <c r="L172" s="2">
        <f>0</f>
        <v>0</v>
      </c>
    </row>
    <row r="173" spans="2:12" ht="19.5" x14ac:dyDescent="0.25">
      <c r="B173" s="2" t="s">
        <v>112</v>
      </c>
      <c r="C173" s="6">
        <f>F173/D173</f>
        <v>0.5</v>
      </c>
      <c r="D173" s="2">
        <f>3+1+1+3</f>
        <v>8</v>
      </c>
      <c r="E173" s="2">
        <f>1</f>
        <v>1</v>
      </c>
      <c r="F173" s="2">
        <f>1+1+1+1</f>
        <v>4</v>
      </c>
      <c r="G173" s="2">
        <f>1</f>
        <v>1</v>
      </c>
      <c r="H173" s="2">
        <f>0</f>
        <v>0</v>
      </c>
      <c r="I173" s="2">
        <f>0</f>
        <v>0</v>
      </c>
      <c r="J173" s="2">
        <f>0</f>
        <v>0</v>
      </c>
      <c r="K173" s="2">
        <f>1+1</f>
        <v>2</v>
      </c>
      <c r="L173" s="2">
        <f>0</f>
        <v>0</v>
      </c>
    </row>
    <row r="174" spans="2:12" ht="19.5" x14ac:dyDescent="0.25">
      <c r="B174" s="2" t="s">
        <v>147</v>
      </c>
      <c r="C174" s="6">
        <f>F174/D174</f>
        <v>0.4</v>
      </c>
      <c r="D174" s="2">
        <f>2+3</f>
        <v>5</v>
      </c>
      <c r="E174" s="2">
        <f>1</f>
        <v>1</v>
      </c>
      <c r="F174" s="2">
        <f>1+1</f>
        <v>2</v>
      </c>
      <c r="G174" s="2">
        <f>0</f>
        <v>0</v>
      </c>
      <c r="H174" s="2">
        <f>0</f>
        <v>0</v>
      </c>
      <c r="I174" s="2">
        <f>0</f>
        <v>0</v>
      </c>
      <c r="J174" s="2">
        <f>1</f>
        <v>1</v>
      </c>
      <c r="K174" s="2">
        <f>0</f>
        <v>0</v>
      </c>
      <c r="L174" s="2">
        <f>0</f>
        <v>0</v>
      </c>
    </row>
    <row r="175" spans="2:12" ht="19.5" x14ac:dyDescent="0.25">
      <c r="B175" s="2" t="s">
        <v>109</v>
      </c>
      <c r="C175" s="6">
        <f>F175/D175</f>
        <v>0.36363636363636365</v>
      </c>
      <c r="D175" s="2">
        <f>2+3+2+1+2+1</f>
        <v>11</v>
      </c>
      <c r="E175" s="2">
        <f>1</f>
        <v>1</v>
      </c>
      <c r="F175" s="2">
        <f>1+1+1+1</f>
        <v>4</v>
      </c>
      <c r="G175" s="2">
        <f>1</f>
        <v>1</v>
      </c>
      <c r="H175" s="2">
        <f>0</f>
        <v>0</v>
      </c>
      <c r="I175" s="2">
        <f>0</f>
        <v>0</v>
      </c>
      <c r="J175" s="2">
        <f>1</f>
        <v>1</v>
      </c>
      <c r="K175" s="2">
        <f>1+1</f>
        <v>2</v>
      </c>
      <c r="L175" s="2">
        <f>0</f>
        <v>0</v>
      </c>
    </row>
    <row r="176" spans="2:12" ht="19.5" x14ac:dyDescent="0.25">
      <c r="B176" s="2" t="s">
        <v>150</v>
      </c>
      <c r="C176" s="6">
        <f>F176/D176</f>
        <v>0.3</v>
      </c>
      <c r="D176" s="2">
        <f>2+3+1+4+2+3+1+1+3</f>
        <v>20</v>
      </c>
      <c r="E176" s="2">
        <f>1+1+2</f>
        <v>4</v>
      </c>
      <c r="F176" s="2">
        <f>3+1+1+1</f>
        <v>6</v>
      </c>
      <c r="G176" s="2">
        <f>0</f>
        <v>0</v>
      </c>
      <c r="H176" s="2">
        <f>0</f>
        <v>0</v>
      </c>
      <c r="I176" s="2">
        <f>0</f>
        <v>0</v>
      </c>
      <c r="J176" s="2">
        <f>1+1</f>
        <v>2</v>
      </c>
      <c r="K176" s="2">
        <f>2+4</f>
        <v>6</v>
      </c>
      <c r="L176" s="2">
        <f>0</f>
        <v>0</v>
      </c>
    </row>
    <row r="177" spans="2:12" ht="19.5" x14ac:dyDescent="0.25">
      <c r="B177" s="2" t="s">
        <v>115</v>
      </c>
      <c r="C177" s="6">
        <f>F177/D177</f>
        <v>0.25</v>
      </c>
      <c r="D177" s="2">
        <f>2+2</f>
        <v>4</v>
      </c>
      <c r="E177" s="2">
        <f>2</f>
        <v>2</v>
      </c>
      <c r="F177" s="2">
        <f>1</f>
        <v>1</v>
      </c>
      <c r="G177" s="2">
        <f>0</f>
        <v>0</v>
      </c>
      <c r="H177" s="2">
        <f>0</f>
        <v>0</v>
      </c>
      <c r="I177" s="2">
        <f>0</f>
        <v>0</v>
      </c>
      <c r="J177" s="2">
        <f>1</f>
        <v>1</v>
      </c>
      <c r="K177" s="2">
        <f>0</f>
        <v>0</v>
      </c>
      <c r="L177" s="2">
        <f>0</f>
        <v>0</v>
      </c>
    </row>
    <row r="178" spans="2:12" ht="19.5" x14ac:dyDescent="0.25">
      <c r="B178" s="2" t="s">
        <v>107</v>
      </c>
      <c r="C178" s="6">
        <f>F178/D178</f>
        <v>0.2857142857142857</v>
      </c>
      <c r="D178" s="2">
        <f>2+3+3+3+2+1</f>
        <v>14</v>
      </c>
      <c r="E178" s="2">
        <f>1+1</f>
        <v>2</v>
      </c>
      <c r="F178" s="2">
        <f>1+1+1+1</f>
        <v>4</v>
      </c>
      <c r="G178" s="2">
        <f>0</f>
        <v>0</v>
      </c>
      <c r="H178" s="2">
        <f>0</f>
        <v>0</v>
      </c>
      <c r="I178" s="2">
        <f>0</f>
        <v>0</v>
      </c>
      <c r="J178" s="2">
        <f>1</f>
        <v>1</v>
      </c>
      <c r="K178" s="2">
        <f>0</f>
        <v>0</v>
      </c>
      <c r="L178" s="2">
        <f>0</f>
        <v>0</v>
      </c>
    </row>
    <row r="179" spans="2:12" ht="19.5" x14ac:dyDescent="0.25">
      <c r="B179" s="13" t="s">
        <v>75</v>
      </c>
      <c r="C179" s="14">
        <f t="shared" ref="C179" si="16">F179/D179</f>
        <v>7.6923076923076927E-2</v>
      </c>
      <c r="D179" s="13">
        <f>1+3+1+3+2+3</f>
        <v>13</v>
      </c>
      <c r="E179" s="13">
        <f>1</f>
        <v>1</v>
      </c>
      <c r="F179" s="13">
        <f>1</f>
        <v>1</v>
      </c>
      <c r="G179" s="13">
        <f>0</f>
        <v>0</v>
      </c>
      <c r="H179" s="13">
        <f>0</f>
        <v>0</v>
      </c>
      <c r="I179" s="13">
        <f>0</f>
        <v>0</v>
      </c>
      <c r="J179" s="13">
        <f>0</f>
        <v>0</v>
      </c>
      <c r="K179" s="13">
        <f>2</f>
        <v>2</v>
      </c>
      <c r="L179" s="13">
        <f>0</f>
        <v>0</v>
      </c>
    </row>
    <row r="180" spans="2:12" ht="20.25" thickBot="1" x14ac:dyDescent="0.3">
      <c r="B180" s="10" t="s">
        <v>131</v>
      </c>
      <c r="C180" s="11">
        <f>F180/D180</f>
        <v>0.4</v>
      </c>
      <c r="D180" s="10">
        <f>1+3+7+4</f>
        <v>15</v>
      </c>
      <c r="E180" s="10">
        <f>1+2</f>
        <v>3</v>
      </c>
      <c r="F180" s="10">
        <f>2+3+1</f>
        <v>6</v>
      </c>
      <c r="G180" s="10">
        <f>1</f>
        <v>1</v>
      </c>
      <c r="H180" s="10">
        <f>1</f>
        <v>1</v>
      </c>
      <c r="I180" s="10">
        <f>0</f>
        <v>0</v>
      </c>
      <c r="J180" s="10">
        <f>1+1+1</f>
        <v>3</v>
      </c>
      <c r="K180" s="10">
        <f>0+1</f>
        <v>1</v>
      </c>
      <c r="L180" s="10">
        <f>0</f>
        <v>0</v>
      </c>
    </row>
    <row r="181" spans="2:12" ht="19.5" x14ac:dyDescent="0.25">
      <c r="C181" s="6">
        <f ca="1">F181/D181</f>
        <v>0.48940269749518306</v>
      </c>
      <c r="D181" s="2">
        <f ca="1">SUM(D157:D181)</f>
        <v>519</v>
      </c>
      <c r="E181" s="2">
        <f>SUM(E156:E180)</f>
        <v>184</v>
      </c>
      <c r="F181" s="2">
        <f ca="1">SUM(F157:F181)</f>
        <v>254</v>
      </c>
      <c r="G181" s="2">
        <f ca="1">SUM(G157:G181)</f>
        <v>31</v>
      </c>
      <c r="H181" s="2">
        <f ca="1">SUM(H157:H181)</f>
        <v>18</v>
      </c>
      <c r="I181" s="2">
        <f ca="1">SUM(I157:I181)</f>
        <v>9</v>
      </c>
      <c r="J181" s="2">
        <f ca="1">SUM(J157:J181)</f>
        <v>36</v>
      </c>
      <c r="K181" s="2">
        <f ca="1">SUM(K157:K181)</f>
        <v>135</v>
      </c>
      <c r="L181" s="2">
        <f ca="1">SUM(L157:L181)</f>
        <v>5</v>
      </c>
    </row>
    <row r="184" spans="2:12" ht="15.75" thickBot="1" x14ac:dyDescent="0.3"/>
    <row r="185" spans="2:12" ht="20.25" thickBot="1" x14ac:dyDescent="0.3">
      <c r="B185" s="3" t="s">
        <v>31</v>
      </c>
      <c r="C185" s="3" t="s">
        <v>2</v>
      </c>
      <c r="D185" s="3" t="s">
        <v>3</v>
      </c>
      <c r="E185" s="3" t="s">
        <v>4</v>
      </c>
      <c r="F185" s="3" t="s">
        <v>5</v>
      </c>
      <c r="G185" s="3" t="s">
        <v>6</v>
      </c>
      <c r="H185" s="3" t="s">
        <v>10</v>
      </c>
      <c r="I185" s="3" t="s">
        <v>7</v>
      </c>
      <c r="J185" s="3" t="s">
        <v>8</v>
      </c>
      <c r="K185" s="3" t="s">
        <v>9</v>
      </c>
      <c r="L185" s="3" t="s">
        <v>11</v>
      </c>
    </row>
    <row r="186" spans="2:12" x14ac:dyDescent="0.25">
      <c r="B186" s="12" t="s">
        <v>159</v>
      </c>
      <c r="C186" s="4"/>
      <c r="D186" s="5"/>
      <c r="E186" s="4"/>
      <c r="F186" s="5"/>
      <c r="G186" s="5"/>
      <c r="H186" s="5"/>
      <c r="I186" s="5"/>
      <c r="J186" s="5"/>
      <c r="K186" s="5"/>
      <c r="L186" s="4"/>
    </row>
    <row r="187" spans="2:12" ht="19.5" x14ac:dyDescent="0.25">
      <c r="B187" s="2" t="s">
        <v>117</v>
      </c>
      <c r="C187" s="6">
        <f t="shared" ref="C187:C198" si="17">F187/D187</f>
        <v>0.79411764705882348</v>
      </c>
      <c r="D187" s="2">
        <f>3+4+3+5+3+4+3+3+3+3+3+4+4+4+4+6+3+6</f>
        <v>68</v>
      </c>
      <c r="E187" s="2">
        <f>1+3+3+5+3+4+2+2+2+1+2+3+2+3+4+4+3+3</f>
        <v>50</v>
      </c>
      <c r="F187" s="2">
        <f>3+3+5+3+4+3+2+1+2+2+2+4+2+4+5+3+6</f>
        <v>54</v>
      </c>
      <c r="G187" s="2">
        <f>1+1+1+1+1+1+2+1+1</f>
        <v>10</v>
      </c>
      <c r="H187" s="2">
        <f>1+1+2+1+1</f>
        <v>6</v>
      </c>
      <c r="I187" s="2">
        <f>1+3+2+1+1+1+1</f>
        <v>10</v>
      </c>
      <c r="J187" s="2">
        <f>1+1</f>
        <v>2</v>
      </c>
      <c r="K187" s="2">
        <f>4+3+10+6+9+1+3+3+2+1+9+2+5</f>
        <v>58</v>
      </c>
      <c r="L187" s="2">
        <f>1+1+1</f>
        <v>3</v>
      </c>
    </row>
    <row r="188" spans="2:12" ht="19.5" x14ac:dyDescent="0.25">
      <c r="B188" s="2" t="s">
        <v>121</v>
      </c>
      <c r="C188" s="6">
        <f t="shared" si="17"/>
        <v>0.69387755102040816</v>
      </c>
      <c r="D188" s="2">
        <f>3+3+3+2+2+4+3+3+5+3+3+2+5+3+5</f>
        <v>49</v>
      </c>
      <c r="E188" s="2">
        <f>2+1+1+1+3+2+2+2+4+2+1+3</f>
        <v>24</v>
      </c>
      <c r="F188" s="2">
        <f>3+2+2+1+1+2+2+3+3+2+3+2+4+4</f>
        <v>34</v>
      </c>
      <c r="G188" s="2">
        <f>1+1+1+1</f>
        <v>4</v>
      </c>
      <c r="H188" s="2">
        <f>0</f>
        <v>0</v>
      </c>
      <c r="I188" s="2">
        <f>1+1+2</f>
        <v>4</v>
      </c>
      <c r="J188" s="2">
        <f>1+1+1+1+1</f>
        <v>5</v>
      </c>
      <c r="K188" s="2">
        <f>1+1+2+2+2+1+3+3+3+2+3</f>
        <v>23</v>
      </c>
      <c r="L188" s="2">
        <f>1</f>
        <v>1</v>
      </c>
    </row>
    <row r="189" spans="2:12" ht="19.5" x14ac:dyDescent="0.25">
      <c r="B189" s="2" t="s">
        <v>130</v>
      </c>
      <c r="C189" s="6">
        <f>F189/D189</f>
        <v>0.6875</v>
      </c>
      <c r="D189" s="2">
        <f>3+3+3+4+3+3+3+5+2+3</f>
        <v>32</v>
      </c>
      <c r="E189" s="2">
        <f>2+1+2+2+1+2+2+1+2</f>
        <v>15</v>
      </c>
      <c r="F189" s="2">
        <f>1+2+2+3+2+1+2+4+2+3</f>
        <v>22</v>
      </c>
      <c r="G189" s="2">
        <f>1+1+1+1+2+1+1+4</f>
        <v>12</v>
      </c>
      <c r="H189" s="2">
        <f>1</f>
        <v>1</v>
      </c>
      <c r="I189" s="2">
        <f>1</f>
        <v>1</v>
      </c>
      <c r="J189" s="2">
        <f>1+1+1</f>
        <v>3</v>
      </c>
      <c r="K189" s="2">
        <f>1+1+4+1+1+4+5+1</f>
        <v>18</v>
      </c>
      <c r="L189" s="2">
        <f>1+1</f>
        <v>2</v>
      </c>
    </row>
    <row r="190" spans="2:12" ht="19.5" x14ac:dyDescent="0.25">
      <c r="B190" s="2" t="s">
        <v>126</v>
      </c>
      <c r="C190" s="6">
        <f>F190/D190</f>
        <v>0.67346938775510201</v>
      </c>
      <c r="D190" s="2">
        <f>3+2+3+4+3+3+1+3+4+3+2+3+3+4+4+4</f>
        <v>49</v>
      </c>
      <c r="E190" s="2">
        <f>1+3+1+1+3+4+2+1+1+2+2+2+2+2+3</f>
        <v>30</v>
      </c>
      <c r="F190" s="2">
        <f>1+2+2+3+3+3+2+1+1+1+3+3+2+4+2</f>
        <v>33</v>
      </c>
      <c r="G190" s="2">
        <f>2+1+1+1+1+1</f>
        <v>7</v>
      </c>
      <c r="H190" s="2">
        <f>1+1</f>
        <v>2</v>
      </c>
      <c r="I190" s="2">
        <f>1+1+1+1+1</f>
        <v>5</v>
      </c>
      <c r="J190" s="2">
        <f>1+2+1+1+1</f>
        <v>6</v>
      </c>
      <c r="K190" s="2">
        <f>2+2+3+1+4+1+2+3+1+2+4+1+2+3</f>
        <v>31</v>
      </c>
      <c r="L190" s="2">
        <f>1+1+1+1</f>
        <v>4</v>
      </c>
    </row>
    <row r="191" spans="2:12" ht="19.5" x14ac:dyDescent="0.25">
      <c r="B191" s="2" t="s">
        <v>119</v>
      </c>
      <c r="C191" s="6">
        <f>F191/D191</f>
        <v>0.6607142857142857</v>
      </c>
      <c r="D191" s="2">
        <f>4+4+3+5+3+3+3+3+4+4+2+3+3+4+3+5</f>
        <v>56</v>
      </c>
      <c r="E191" s="2">
        <f>18+2+2+3+2</f>
        <v>27</v>
      </c>
      <c r="F191" s="2">
        <f>4+2+3+3+2+1+1+3+3+2+2+2+4+3+2</f>
        <v>37</v>
      </c>
      <c r="G191" s="2">
        <f>2+1+1+1+1+2</f>
        <v>8</v>
      </c>
      <c r="H191" s="2">
        <f>1+1+1</f>
        <v>3</v>
      </c>
      <c r="I191" s="2">
        <f>1+1+1</f>
        <v>3</v>
      </c>
      <c r="J191" s="2">
        <f>1+1+1+1</f>
        <v>4</v>
      </c>
      <c r="K191" s="2">
        <f>4+1+4+1+1+1+1+2+1+2+3+5+4</f>
        <v>30</v>
      </c>
      <c r="L191" s="2">
        <f>0</f>
        <v>0</v>
      </c>
    </row>
    <row r="192" spans="2:12" ht="19.5" x14ac:dyDescent="0.25">
      <c r="B192" s="2" t="s">
        <v>124</v>
      </c>
      <c r="C192" s="6">
        <f>F192/D192</f>
        <v>0.60465116279069764</v>
      </c>
      <c r="D192" s="2">
        <f>3+1+2+5+3+3+3+4+4+2+5+3+5</f>
        <v>43</v>
      </c>
      <c r="E192" s="2">
        <f>0+3+2+3+2+4+1+3+2+4+2+1</f>
        <v>27</v>
      </c>
      <c r="F192" s="2">
        <f>1+1+1+3+2+3+2+3+2+4+1+3</f>
        <v>26</v>
      </c>
      <c r="G192" s="2">
        <f>1+1+1+2</f>
        <v>5</v>
      </c>
      <c r="H192" s="2">
        <f>1+1</f>
        <v>2</v>
      </c>
      <c r="I192" s="2">
        <f>1</f>
        <v>1</v>
      </c>
      <c r="J192" s="2">
        <f>2+1+1+2+1</f>
        <v>7</v>
      </c>
      <c r="K192" s="2">
        <f>1+1+1+1+5+5+4+3+1</f>
        <v>22</v>
      </c>
      <c r="L192" s="2">
        <f>2</f>
        <v>2</v>
      </c>
    </row>
    <row r="193" spans="2:12" ht="19.5" x14ac:dyDescent="0.25">
      <c r="B193" s="2" t="s">
        <v>125</v>
      </c>
      <c r="C193" s="6">
        <f>F193/D193</f>
        <v>0.57446808510638303</v>
      </c>
      <c r="D193" s="2">
        <f>3+1+4+3+4+3+2+2+3+3+3+2+3+3+3+5</f>
        <v>47</v>
      </c>
      <c r="E193" s="2">
        <f>1+1+1+2+1+1+1+1+2+2+2+4+1</f>
        <v>20</v>
      </c>
      <c r="F193" s="2">
        <f>1+2+3+1+3+1+2+2+1+3+1+2+5</f>
        <v>27</v>
      </c>
      <c r="G193" s="2">
        <f>1+1+2+1+1</f>
        <v>6</v>
      </c>
      <c r="H193" s="2">
        <f>2+1+1</f>
        <v>4</v>
      </c>
      <c r="I193" s="2">
        <f>1</f>
        <v>1</v>
      </c>
      <c r="J193" s="2">
        <f>1+1+1+1</f>
        <v>4</v>
      </c>
      <c r="K193" s="2">
        <f>1+2+2+1+4+3+3+2+1+1+1+2+4</f>
        <v>27</v>
      </c>
      <c r="L193" s="2">
        <f>1+1+1</f>
        <v>3</v>
      </c>
    </row>
    <row r="194" spans="2:12" ht="19.5" x14ac:dyDescent="0.25">
      <c r="B194" s="2" t="s">
        <v>32</v>
      </c>
      <c r="C194" s="6">
        <f>F194/D194</f>
        <v>0.55769230769230771</v>
      </c>
      <c r="D194" s="2">
        <f>2+2+3+3+3+5+4+3+4+3+2+3+4+5+1+5</f>
        <v>52</v>
      </c>
      <c r="E194" s="2">
        <f>1+1+3+1+1+2+4+1+1+2+2+3+5+2+3</f>
        <v>32</v>
      </c>
      <c r="F194" s="2">
        <f>1+1+3+1+2+2+2+1+1+1+3+3+5+1+2</f>
        <v>29</v>
      </c>
      <c r="G194" s="2">
        <f>1+2+1+1+1</f>
        <v>6</v>
      </c>
      <c r="H194" s="2">
        <f>1</f>
        <v>1</v>
      </c>
      <c r="I194" s="2">
        <f>0</f>
        <v>0</v>
      </c>
      <c r="J194" s="2">
        <f>1+1+1+1+1+1</f>
        <v>6</v>
      </c>
      <c r="K194" s="2">
        <f>2+1+2+1+1+2+1+2+2</f>
        <v>14</v>
      </c>
      <c r="L194" s="2">
        <f>1</f>
        <v>1</v>
      </c>
    </row>
    <row r="195" spans="2:12" ht="19.5" x14ac:dyDescent="0.25">
      <c r="B195" s="2" t="s">
        <v>93</v>
      </c>
      <c r="C195" s="6">
        <f>F195/D195</f>
        <v>0.55405405405405406</v>
      </c>
      <c r="D195" s="2">
        <f>2+2+4+4+2+5+3+3+2+3+3+3+4+4+3+3+4+5+15</f>
        <v>74</v>
      </c>
      <c r="E195" s="2">
        <f>1+3+1+2+3+1+1+1+1+2+1+3+2+1+2+2+3</f>
        <v>30</v>
      </c>
      <c r="F195" s="2">
        <f>2+1+4+3+2+3+3+2+3+1+3+2+2+1+2+3+4</f>
        <v>41</v>
      </c>
      <c r="G195" s="2">
        <f>1+1+1+2+1+1+1+1+2</f>
        <v>11</v>
      </c>
      <c r="H195" s="2">
        <f>0</f>
        <v>0</v>
      </c>
      <c r="I195" s="2">
        <f>1+1+1</f>
        <v>3</v>
      </c>
      <c r="J195" s="2">
        <f>1</f>
        <v>1</v>
      </c>
      <c r="K195" s="2">
        <f>1+1+2+3+1+1+1+2+4+1+1+2+8</f>
        <v>28</v>
      </c>
      <c r="L195" s="2">
        <f>1</f>
        <v>1</v>
      </c>
    </row>
    <row r="196" spans="2:12" ht="19.5" x14ac:dyDescent="0.25">
      <c r="B196" s="2" t="s">
        <v>118</v>
      </c>
      <c r="C196" s="6">
        <f>F196/D196</f>
        <v>0.51020408163265307</v>
      </c>
      <c r="D196" s="2">
        <f>3+2+3+3+3+5+3+3+2+3+2+3+3+3+3+2+1+2</f>
        <v>49</v>
      </c>
      <c r="E196" s="2">
        <f>1+1+2+2+1+1+2+1+4+3</f>
        <v>18</v>
      </c>
      <c r="F196" s="2">
        <f>1+1+1+3+4+1+2+2+1+2+2+1+1+2+1</f>
        <v>25</v>
      </c>
      <c r="G196" s="2">
        <f>1+1+1</f>
        <v>3</v>
      </c>
      <c r="H196" s="2">
        <f>1</f>
        <v>1</v>
      </c>
      <c r="I196" s="2">
        <f>0+1</f>
        <v>1</v>
      </c>
      <c r="J196" s="2">
        <f>1+2+2+3</f>
        <v>8</v>
      </c>
      <c r="K196" s="2">
        <f>3+2+1+1+1+1+3+1+1+1+1+1</f>
        <v>17</v>
      </c>
      <c r="L196" s="2">
        <f>1+1+1+1</f>
        <v>4</v>
      </c>
    </row>
    <row r="197" spans="2:12" ht="20.25" thickBot="1" x14ac:dyDescent="0.3">
      <c r="B197" s="10" t="s">
        <v>144</v>
      </c>
      <c r="C197" s="11">
        <f>F197/D197</f>
        <v>0.5</v>
      </c>
      <c r="D197" s="10">
        <f>2+1+2+4+3+3+4+3+4+6</f>
        <v>32</v>
      </c>
      <c r="E197" s="10">
        <f>1+1+1+1+3+1+3</f>
        <v>11</v>
      </c>
      <c r="F197" s="10">
        <f>1+1+3+2+2+3+1+3</f>
        <v>16</v>
      </c>
      <c r="G197" s="10">
        <f>0</f>
        <v>0</v>
      </c>
      <c r="H197" s="10">
        <f>0</f>
        <v>0</v>
      </c>
      <c r="I197" s="10">
        <f>0</f>
        <v>0</v>
      </c>
      <c r="J197" s="10">
        <f>1+1</f>
        <v>2</v>
      </c>
      <c r="K197" s="10">
        <f>1+4+3+1+1+2</f>
        <v>12</v>
      </c>
      <c r="L197" s="10">
        <f>1</f>
        <v>1</v>
      </c>
    </row>
    <row r="198" spans="2:12" ht="19.5" x14ac:dyDescent="0.25">
      <c r="B198" s="2" t="s">
        <v>122</v>
      </c>
      <c r="C198" s="6">
        <f>F198/D198</f>
        <v>0.83333333333333337</v>
      </c>
      <c r="D198" s="2">
        <f>3+3+2+4</f>
        <v>12</v>
      </c>
      <c r="E198" s="2">
        <f>2+2+2+4</f>
        <v>10</v>
      </c>
      <c r="F198" s="2">
        <f>2+3+2+3</f>
        <v>10</v>
      </c>
      <c r="G198" s="2">
        <f>1</f>
        <v>1</v>
      </c>
      <c r="H198" s="2">
        <f>0</f>
        <v>0</v>
      </c>
      <c r="I198" s="2">
        <f>0</f>
        <v>0</v>
      </c>
      <c r="J198" s="2">
        <f>1</f>
        <v>1</v>
      </c>
      <c r="K198" s="2">
        <f>2+1+2</f>
        <v>5</v>
      </c>
      <c r="L198" s="2">
        <f>1</f>
        <v>1</v>
      </c>
    </row>
    <row r="199" spans="2:12" ht="19.5" x14ac:dyDescent="0.25">
      <c r="B199" s="2" t="s">
        <v>128</v>
      </c>
      <c r="C199" s="6">
        <f>F199/D199</f>
        <v>0.625</v>
      </c>
      <c r="D199" s="2">
        <f>1+2+3+4+2+4</f>
        <v>16</v>
      </c>
      <c r="E199" s="2">
        <f>1+1+1+2+3</f>
        <v>8</v>
      </c>
      <c r="F199" s="2">
        <f>1+2+2+1+4</f>
        <v>10</v>
      </c>
      <c r="G199" s="2">
        <f>2+1+1</f>
        <v>4</v>
      </c>
      <c r="H199" s="2">
        <f>0</f>
        <v>0</v>
      </c>
      <c r="I199" s="2">
        <f>0</f>
        <v>0</v>
      </c>
      <c r="J199" s="2">
        <f>1+2</f>
        <v>3</v>
      </c>
      <c r="K199" s="2">
        <f>1+1+4</f>
        <v>6</v>
      </c>
      <c r="L199" s="2">
        <f>1</f>
        <v>1</v>
      </c>
    </row>
    <row r="200" spans="2:12" ht="19.5" x14ac:dyDescent="0.25">
      <c r="B200" s="2" t="s">
        <v>127</v>
      </c>
      <c r="C200" s="6">
        <f>F200/D200</f>
        <v>0.6</v>
      </c>
      <c r="D200" s="2">
        <f>2+3</f>
        <v>5</v>
      </c>
      <c r="E200" s="2">
        <f>2+1</f>
        <v>3</v>
      </c>
      <c r="F200" s="2">
        <f>2+1</f>
        <v>3</v>
      </c>
      <c r="G200" s="2">
        <f>0</f>
        <v>0</v>
      </c>
      <c r="H200" s="2">
        <f>0</f>
        <v>0</v>
      </c>
      <c r="I200" s="2">
        <f>0</f>
        <v>0</v>
      </c>
      <c r="J200" s="2">
        <f>1+1</f>
        <v>2</v>
      </c>
      <c r="K200" s="2">
        <f>2</f>
        <v>2</v>
      </c>
      <c r="L200" s="2">
        <f>0</f>
        <v>0</v>
      </c>
    </row>
    <row r="201" spans="2:12" ht="19.5" x14ac:dyDescent="0.25">
      <c r="B201" s="2" t="s">
        <v>132</v>
      </c>
      <c r="C201" s="6">
        <f>F201/D201</f>
        <v>0.55555555555555558</v>
      </c>
      <c r="D201" s="2">
        <f>4+5</f>
        <v>9</v>
      </c>
      <c r="E201" s="2">
        <f>3</f>
        <v>3</v>
      </c>
      <c r="F201" s="2">
        <f>1+4</f>
        <v>5</v>
      </c>
      <c r="G201" s="2">
        <f>1</f>
        <v>1</v>
      </c>
      <c r="H201" s="2">
        <f>0</f>
        <v>0</v>
      </c>
      <c r="I201" s="2">
        <f>0</f>
        <v>0</v>
      </c>
      <c r="J201" s="2">
        <f>0</f>
        <v>0</v>
      </c>
      <c r="K201" s="2">
        <f>2</f>
        <v>2</v>
      </c>
      <c r="L201" s="2">
        <f>0</f>
        <v>0</v>
      </c>
    </row>
    <row r="202" spans="2:12" ht="19.5" x14ac:dyDescent="0.25">
      <c r="B202" s="2" t="s">
        <v>166</v>
      </c>
      <c r="C202" s="6">
        <f t="shared" ref="C202" si="18">F202/D202</f>
        <v>0.54545454545454541</v>
      </c>
      <c r="D202" s="2">
        <f>2+3+2+4</f>
        <v>11</v>
      </c>
      <c r="E202" s="2">
        <f>1+3</f>
        <v>4</v>
      </c>
      <c r="F202" s="2">
        <f>1+2+1+2</f>
        <v>6</v>
      </c>
      <c r="G202" s="2">
        <f>0</f>
        <v>0</v>
      </c>
      <c r="H202" s="2">
        <f>0</f>
        <v>0</v>
      </c>
      <c r="I202" s="2">
        <f>0</f>
        <v>0</v>
      </c>
      <c r="J202" s="2">
        <f>1+1+1</f>
        <v>3</v>
      </c>
      <c r="K202" s="2">
        <f>0+2+1</f>
        <v>3</v>
      </c>
      <c r="L202" s="2">
        <f>1</f>
        <v>1</v>
      </c>
    </row>
    <row r="203" spans="2:12" ht="19.5" x14ac:dyDescent="0.25">
      <c r="B203" s="2" t="s">
        <v>153</v>
      </c>
      <c r="C203" s="6">
        <f>F203/D203</f>
        <v>0.5</v>
      </c>
      <c r="D203" s="2">
        <f>3+3</f>
        <v>6</v>
      </c>
      <c r="E203" s="2">
        <f>2+1</f>
        <v>3</v>
      </c>
      <c r="F203" s="2">
        <f>1+2</f>
        <v>3</v>
      </c>
      <c r="G203" s="2">
        <f>0</f>
        <v>0</v>
      </c>
      <c r="H203" s="2">
        <f>0</f>
        <v>0</v>
      </c>
      <c r="I203" s="2">
        <f>0</f>
        <v>0</v>
      </c>
      <c r="J203" s="2">
        <f>0</f>
        <v>0</v>
      </c>
      <c r="K203" s="2">
        <f>0</f>
        <v>0</v>
      </c>
      <c r="L203" s="2">
        <f>0</f>
        <v>0</v>
      </c>
    </row>
    <row r="204" spans="2:12" ht="19.5" x14ac:dyDescent="0.25">
      <c r="B204" s="2" t="s">
        <v>129</v>
      </c>
      <c r="C204" s="6">
        <f>F204/D204</f>
        <v>0.44444444444444442</v>
      </c>
      <c r="D204" s="2">
        <f>2+3+1+3</f>
        <v>9</v>
      </c>
      <c r="E204" s="2">
        <f>1+2+1</f>
        <v>4</v>
      </c>
      <c r="F204" s="2">
        <f>1+1+1+1</f>
        <v>4</v>
      </c>
      <c r="G204" s="2">
        <f>0</f>
        <v>0</v>
      </c>
      <c r="H204" s="2">
        <f>1</f>
        <v>1</v>
      </c>
      <c r="I204" s="2">
        <f>0</f>
        <v>0</v>
      </c>
      <c r="J204" s="2">
        <f>1+1</f>
        <v>2</v>
      </c>
      <c r="K204" s="2">
        <f>2+1</f>
        <v>3</v>
      </c>
      <c r="L204" s="2">
        <f>0</f>
        <v>0</v>
      </c>
    </row>
    <row r="205" spans="2:12" ht="19.5" x14ac:dyDescent="0.25">
      <c r="B205" s="2" t="s">
        <v>123</v>
      </c>
      <c r="C205" s="6">
        <f>F205/D205</f>
        <v>0.4</v>
      </c>
      <c r="D205" s="2">
        <f>3+2+5</f>
        <v>10</v>
      </c>
      <c r="E205" s="2">
        <f>1+2+2</f>
        <v>5</v>
      </c>
      <c r="F205" s="2">
        <f>1+1+2</f>
        <v>4</v>
      </c>
      <c r="G205" s="2">
        <f>1</f>
        <v>1</v>
      </c>
      <c r="H205" s="2">
        <f>0</f>
        <v>0</v>
      </c>
      <c r="I205" s="2">
        <f>1</f>
        <v>1</v>
      </c>
      <c r="J205" s="2">
        <f>0</f>
        <v>0</v>
      </c>
      <c r="K205" s="2">
        <f>1+1+1</f>
        <v>3</v>
      </c>
      <c r="L205" s="2">
        <f>0</f>
        <v>0</v>
      </c>
    </row>
    <row r="206" spans="2:12" ht="19.5" x14ac:dyDescent="0.25">
      <c r="B206" s="2" t="s">
        <v>133</v>
      </c>
      <c r="C206" s="6">
        <f>F206/D206</f>
        <v>0.33333333333333331</v>
      </c>
      <c r="D206" s="2">
        <f>3+3</f>
        <v>6</v>
      </c>
      <c r="E206" s="2">
        <f>1+2</f>
        <v>3</v>
      </c>
      <c r="F206" s="2">
        <f>1+1</f>
        <v>2</v>
      </c>
      <c r="G206" s="2">
        <f>0</f>
        <v>0</v>
      </c>
      <c r="H206" s="2">
        <f>0</f>
        <v>0</v>
      </c>
      <c r="I206" s="2">
        <f>1</f>
        <v>1</v>
      </c>
      <c r="J206" s="2">
        <f>0</f>
        <v>0</v>
      </c>
      <c r="K206" s="2">
        <f>2+1</f>
        <v>3</v>
      </c>
      <c r="L206" s="2">
        <f>1</f>
        <v>1</v>
      </c>
    </row>
    <row r="207" spans="2:12" ht="19.5" x14ac:dyDescent="0.25">
      <c r="B207" s="2" t="s">
        <v>120</v>
      </c>
      <c r="C207" s="6">
        <f>F207/D207</f>
        <v>0.31578947368421051</v>
      </c>
      <c r="D207" s="2">
        <f>12+2+5</f>
        <v>19</v>
      </c>
      <c r="E207" s="2">
        <f>1+1+2+1</f>
        <v>5</v>
      </c>
      <c r="F207" s="2">
        <f>2+1+1+1+1</f>
        <v>6</v>
      </c>
      <c r="G207" s="2">
        <f>0</f>
        <v>0</v>
      </c>
      <c r="H207" s="2">
        <f>0</f>
        <v>0</v>
      </c>
      <c r="I207" s="2">
        <f>0</f>
        <v>0</v>
      </c>
      <c r="J207" s="2">
        <f>1+1+1+1</f>
        <v>4</v>
      </c>
      <c r="K207" s="2">
        <f>3</f>
        <v>3</v>
      </c>
      <c r="L207" s="2">
        <f>1</f>
        <v>1</v>
      </c>
    </row>
    <row r="208" spans="2:12" ht="20.25" thickBot="1" x14ac:dyDescent="0.3">
      <c r="B208" s="10" t="s">
        <v>131</v>
      </c>
      <c r="C208" s="11">
        <f>F208/D208</f>
        <v>0.3888888888888889</v>
      </c>
      <c r="D208" s="10">
        <f>18</f>
        <v>18</v>
      </c>
      <c r="E208" s="10">
        <f>1+2</f>
        <v>3</v>
      </c>
      <c r="F208" s="10">
        <f>2+5</f>
        <v>7</v>
      </c>
      <c r="G208" s="10">
        <f>1</f>
        <v>1</v>
      </c>
      <c r="H208" s="10">
        <f>0</f>
        <v>0</v>
      </c>
      <c r="I208" s="10">
        <f>1</f>
        <v>1</v>
      </c>
      <c r="J208" s="10">
        <f>1+1+2</f>
        <v>4</v>
      </c>
      <c r="K208" s="10">
        <f>3+1</f>
        <v>4</v>
      </c>
      <c r="L208" s="10">
        <f>0</f>
        <v>0</v>
      </c>
    </row>
    <row r="209" spans="3:12" ht="19.5" x14ac:dyDescent="0.25">
      <c r="C209" s="6">
        <f>F209/D209</f>
        <v>0.60119047619047616</v>
      </c>
      <c r="D209" s="2">
        <f>SUM(D187:D208)</f>
        <v>672</v>
      </c>
      <c r="E209" s="2">
        <f>SUM(E187:E208)</f>
        <v>335</v>
      </c>
      <c r="F209" s="2">
        <f>SUM(F187:F208)</f>
        <v>404</v>
      </c>
      <c r="G209" s="2">
        <f>SUM(G187:G208)</f>
        <v>80</v>
      </c>
      <c r="H209" s="2">
        <f>SUM(H187:H208)</f>
        <v>21</v>
      </c>
      <c r="I209" s="2">
        <f>SUM(I187:I208)</f>
        <v>32</v>
      </c>
      <c r="J209" s="2">
        <f>SUM(J187:J208)</f>
        <v>67</v>
      </c>
      <c r="K209" s="2">
        <f>SUM(K187:K208)</f>
        <v>314</v>
      </c>
      <c r="L209" s="2">
        <f>SUM(L187:L208)</f>
        <v>27</v>
      </c>
    </row>
  </sheetData>
  <pageMargins left="0.2" right="0.2" top="0.25" bottom="0.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King</dc:creator>
  <cp:lastModifiedBy>Gordon King</cp:lastModifiedBy>
  <cp:lastPrinted>2024-07-21T17:56:05Z</cp:lastPrinted>
  <dcterms:created xsi:type="dcterms:W3CDTF">2024-06-03T22:39:14Z</dcterms:created>
  <dcterms:modified xsi:type="dcterms:W3CDTF">2024-07-21T19:27:09Z</dcterms:modified>
</cp:coreProperties>
</file>