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28.xml"/>
  <Override ContentType="application/vnd.openxmlformats-officedocument.spreadsheetml.worksheet+xml" PartName="/xl/worksheets/sheet23.xml"/>
  <Override ContentType="application/vnd.openxmlformats-officedocument.spreadsheetml.worksheet+xml" PartName="/xl/worksheets/sheet10.xml"/>
  <Override ContentType="application/vnd.openxmlformats-officedocument.spreadsheetml.worksheet+xml" PartName="/xl/worksheets/sheet15.xml"/>
  <Override ContentType="application/vnd.openxmlformats-officedocument.spreadsheetml.worksheet+xml" PartName="/xl/worksheets/sheet40.xml"/>
  <Override ContentType="application/vnd.openxmlformats-officedocument.spreadsheetml.worksheet+xml" PartName="/xl/worksheets/sheet19.xml"/>
  <Override ContentType="application/vnd.openxmlformats-officedocument.spreadsheetml.worksheet+xml" PartName="/xl/worksheets/sheet3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36.xml"/>
  <Override ContentType="application/vnd.openxmlformats-officedocument.spreadsheetml.worksheet+xml" PartName="/xl/worksheets/sheet16.xml"/>
  <Override ContentType="application/vnd.openxmlformats-officedocument.spreadsheetml.worksheet+xml" PartName="/xl/worksheets/sheet41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29.xml"/>
  <Override ContentType="application/vnd.openxmlformats-officedocument.spreadsheetml.worksheet+xml" PartName="/xl/worksheets/sheet20.xml"/>
  <Override ContentType="application/vnd.openxmlformats-officedocument.spreadsheetml.worksheet+xml" PartName="/xl/worksheets/sheet37.xml"/>
  <Override ContentType="application/vnd.openxmlformats-officedocument.spreadsheetml.worksheet+xml" PartName="/xl/worksheets/sheet1.xml"/>
  <Override ContentType="application/vnd.openxmlformats-officedocument.spreadsheetml.worksheet+xml" PartName="/xl/worksheets/sheet24.xml"/>
  <Override ContentType="application/vnd.openxmlformats-officedocument.spreadsheetml.worksheet+xml" PartName="/xl/worksheets/sheet9.xml"/>
  <Override ContentType="application/vnd.openxmlformats-officedocument.spreadsheetml.worksheet+xml" PartName="/xl/worksheets/sheet33.xml"/>
  <Override ContentType="application/vnd.openxmlformats-officedocument.spreadsheetml.worksheet+xml" PartName="/xl/worksheets/sheet4.xml"/>
  <Override ContentType="application/vnd.openxmlformats-officedocument.spreadsheetml.worksheet+xml" PartName="/xl/worksheets/sheet39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42.xml"/>
  <Override ContentType="application/vnd.openxmlformats-officedocument.spreadsheetml.worksheet+xml" PartName="/xl/worksheets/sheet38.xml"/>
  <Override ContentType="application/vnd.openxmlformats-officedocument.spreadsheetml.worksheet+xml" PartName="/xl/worksheets/sheet25.xml"/>
  <Override ContentType="application/vnd.openxmlformats-officedocument.spreadsheetml.worksheet+xml" PartName="/xl/worksheets/sheet8.xml"/>
  <Override ContentType="application/vnd.openxmlformats-officedocument.spreadsheetml.worksheet+xml" PartName="/xl/worksheets/sheet34.xml"/>
  <Override ContentType="application/vnd.openxmlformats-officedocument.spreadsheetml.worksheet+xml" PartName="/xl/worksheets/sheet21.xml"/>
  <Override ContentType="application/vnd.openxmlformats-officedocument.spreadsheetml.worksheet+xml" PartName="/xl/worksheets/sheet30.xml"/>
  <Override ContentType="application/vnd.openxmlformats-officedocument.spreadsheetml.worksheet+xml" PartName="/xl/worksheets/sheet27.xml"/>
  <Override ContentType="application/vnd.openxmlformats-officedocument.spreadsheetml.worksheet+xml" PartName="/xl/worksheets/sheet43.xml"/>
  <Override ContentType="application/vnd.openxmlformats-officedocument.spreadsheetml.worksheet+xml" PartName="/xl/worksheets/sheet14.xml"/>
  <Override ContentType="application/vnd.openxmlformats-officedocument.spreadsheetml.worksheet+xml" PartName="/xl/worksheets/sheet4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8.xml"/>
  <Override ContentType="application/vnd.openxmlformats-officedocument.spreadsheetml.worksheet+xml" PartName="/xl/worksheets/sheet26.xml"/>
  <Override ContentType="application/vnd.openxmlformats-officedocument.spreadsheetml.worksheet+xml" PartName="/xl/worksheets/sheet31.xml"/>
  <Override ContentType="application/vnd.openxmlformats-officedocument.spreadsheetml.worksheet+xml" PartName="/xl/worksheets/sheet3.xml"/>
  <Override ContentType="application/vnd.openxmlformats-officedocument.spreadsheetml.worksheet+xml" PartName="/xl/worksheets/sheet22.xml"/>
  <Override ContentType="application/vnd.openxmlformats-officedocument.spreadsheetml.worksheet+xml" PartName="/xl/worksheets/sheet7.xml"/>
  <Override ContentType="application/vnd.openxmlformats-officedocument.spreadsheetml.worksheet+xml" PartName="/xl/worksheets/sheet35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26.xml"/>
  <Override ContentType="application/vnd.openxmlformats-officedocument.drawing+xml" PartName="/xl/drawings/drawing9.xml"/>
  <Override ContentType="application/vnd.openxmlformats-officedocument.drawing+xml" PartName="/xl/drawings/drawing39.xml"/>
  <Override ContentType="application/vnd.openxmlformats-officedocument.drawing+xml" PartName="/xl/drawings/drawing13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43.xml"/>
  <Override ContentType="application/vnd.openxmlformats-officedocument.drawing+xml" PartName="/xl/drawings/drawing25.xml"/>
  <Override ContentType="application/vnd.openxmlformats-officedocument.drawing+xml" PartName="/xl/drawings/drawing30.xml"/>
  <Override ContentType="application/vnd.openxmlformats-officedocument.drawing+xml" PartName="/xl/drawings/drawing34.xml"/>
  <Override ContentType="application/vnd.openxmlformats-officedocument.drawing+xml" PartName="/xl/drawings/drawing21.xml"/>
  <Override ContentType="application/vnd.openxmlformats-officedocument.drawing+xml" PartName="/xl/drawings/drawing27.xml"/>
  <Override ContentType="application/vnd.openxmlformats-officedocument.drawing+xml" PartName="/xl/drawings/drawing44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31.xml"/>
  <Override ContentType="application/vnd.openxmlformats-officedocument.drawing+xml" PartName="/xl/drawings/drawing22.xml"/>
  <Override ContentType="application/vnd.openxmlformats-officedocument.drawing+xml" PartName="/xl/drawings/drawing35.xml"/>
  <Override ContentType="application/vnd.openxmlformats-officedocument.drawing+xml" PartName="/xl/drawings/drawing10.xml"/>
  <Override ContentType="application/vnd.openxmlformats-officedocument.drawing+xml" PartName="/xl/drawings/drawing28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40.xml"/>
  <Override ContentType="application/vnd.openxmlformats-officedocument.drawing+xml" PartName="/xl/drawings/drawing1.xml"/>
  <Override ContentType="application/vnd.openxmlformats-officedocument.drawing+xml" PartName="/xl/drawings/drawing36.xml"/>
  <Override ContentType="application/vnd.openxmlformats-officedocument.drawing+xml" PartName="/xl/drawings/drawing32.xml"/>
  <Override ContentType="application/vnd.openxmlformats-officedocument.drawing+xml" PartName="/xl/drawings/drawing23.xml"/>
  <Override ContentType="application/vnd.openxmlformats-officedocument.drawing+xml" PartName="/xl/drawings/drawing33.xml"/>
  <Override ContentType="application/vnd.openxmlformats-officedocument.drawing+xml" PartName="/xl/drawings/drawing38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41.xml"/>
  <Override ContentType="application/vnd.openxmlformats-officedocument.drawing+xml" PartName="/xl/drawings/drawing5.xml"/>
  <Override ContentType="application/vnd.openxmlformats-officedocument.drawing+xml" PartName="/xl/drawings/drawing29.xml"/>
  <Override ContentType="application/vnd.openxmlformats-officedocument.drawing+xml" PartName="/xl/drawings/drawing24.xml"/>
  <Override ContentType="application/vnd.openxmlformats-officedocument.drawing+xml" PartName="/xl/drawings/drawing42.xml"/>
  <Override ContentType="application/vnd.openxmlformats-officedocument.drawing+xml" PartName="/xl/drawings/drawing11.xml"/>
  <Override ContentType="application/vnd.openxmlformats-officedocument.drawing+xml" PartName="/xl/drawings/drawing20.xml"/>
  <Override ContentType="application/vnd.openxmlformats-officedocument.drawing+xml" PartName="/xl/drawings/drawing37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hidden" name="Entry" sheetId="1" r:id="rId3"/>
    <sheet state="hidden" name="NVScriptsProperties" sheetId="2" r:id="rId4"/>
    <sheet state="hidden" name="Enter Platform Here" sheetId="3" r:id="rId5"/>
    <sheet state="hidden" name="Copy Paste from Sheet" sheetId="4" r:id="rId6"/>
    <sheet state="hidden" name="Mens Varsity Results" sheetId="5" r:id="rId7"/>
    <sheet state="hidden" name="Womens Varsity Results" sheetId="6" r:id="rId8"/>
    <sheet state="hidden" name="Mens JV Results" sheetId="7" r:id="rId9"/>
    <sheet state="hidden" name="Womens JV Results" sheetId="8" r:id="rId10"/>
    <sheet state="visible" name="Platform 1" sheetId="9" r:id="rId11"/>
    <sheet state="visible" name="Platform 2" sheetId="10" r:id="rId12"/>
    <sheet state="visible" name="Platform 3" sheetId="11" r:id="rId13"/>
    <sheet state="visible" name="Platform 4" sheetId="12" r:id="rId14"/>
    <sheet state="visible" name="Platform 5" sheetId="13" r:id="rId15"/>
    <sheet state="visible" name="Platform 6" sheetId="14" r:id="rId16"/>
    <sheet state="visible" name="Platform 7" sheetId="15" r:id="rId17"/>
    <sheet state="visible" name="Platform 8" sheetId="16" r:id="rId18"/>
    <sheet state="visible" name="Platform 9" sheetId="17" r:id="rId19"/>
    <sheet state="visible" name="Platform 10" sheetId="18" r:id="rId20"/>
    <sheet state="visible" name="Platform 11" sheetId="19" r:id="rId21"/>
    <sheet state="hidden" name="Platform 12" sheetId="20" r:id="rId22"/>
    <sheet state="hidden" name="Platform 13" sheetId="21" r:id="rId23"/>
    <sheet state="hidden" name="Platform 14" sheetId="22" r:id="rId24"/>
    <sheet state="hidden" name="Platform 15" sheetId="23" r:id="rId25"/>
    <sheet state="hidden" name="Platform 16" sheetId="24" r:id="rId26"/>
    <sheet state="hidden" name="Platform 17" sheetId="25" r:id="rId27"/>
    <sheet state="hidden" name="Platform 18" sheetId="26" r:id="rId28"/>
    <sheet state="hidden" name="Platform 19" sheetId="27" r:id="rId29"/>
    <sheet state="hidden" name="Platform 20" sheetId="28" r:id="rId30"/>
    <sheet state="hidden" name="Platform 21" sheetId="29" r:id="rId31"/>
    <sheet state="hidden" name="Platform 22" sheetId="30" r:id="rId32"/>
    <sheet state="hidden" name="Platform 23" sheetId="31" r:id="rId33"/>
    <sheet state="hidden" name="Platform 24" sheetId="32" r:id="rId34"/>
    <sheet state="hidden" name="Mens Varsity Team" sheetId="33" r:id="rId35"/>
    <sheet state="hidden" name="Womens Varsity Team" sheetId="34" r:id="rId36"/>
    <sheet state="hidden" name="Mens JV Team" sheetId="35" r:id="rId37"/>
    <sheet state="visible" name="Womens JV Team" sheetId="36" r:id="rId38"/>
    <sheet state="hidden" name="Mens_V_Tie_Breaker" sheetId="37" r:id="rId39"/>
    <sheet state="hidden" name="W_Tie_Breaker" sheetId="38" r:id="rId40"/>
    <sheet state="hidden" name="Mens_JV_Tie_Breaker" sheetId="39" r:id="rId41"/>
    <sheet state="hidden" name="WJV_Tie_Breaker" sheetId="40" r:id="rId42"/>
    <sheet state="hidden" name="All Platforms" sheetId="41" r:id="rId43"/>
    <sheet state="hidden" name="Class" sheetId="42" r:id="rId44"/>
    <sheet state="hidden" name="DO NOT DELETE - AutoCrat Job Se" sheetId="43" r:id="rId45"/>
    <sheet state="visible" name="Copy of Womens JV Results" sheetId="44" r:id="rId46"/>
  </sheets>
  <definedNames>
    <definedName localSheetId="27" name="Header">'Platform 20'!$A$2:$R$2</definedName>
    <definedName localSheetId="9" name="NamedRange1">#REF!</definedName>
    <definedName localSheetId="28" name="NamedRange2">'Platform 21'!$J$3:$J$32</definedName>
    <definedName localSheetId="28" name="NamedRange1">#REF!</definedName>
    <definedName localSheetId="20" name="NamedRange2">'Platform 13'!$J$3:$J$32</definedName>
    <definedName localSheetId="12" name="Place">'Platform 5'!$A$2:$A$51</definedName>
    <definedName localSheetId="10" name="Header">'Platform 3'!$A$2:$R$2</definedName>
    <definedName localSheetId="28" name="Platform1">'Platform 21'!$C$1:$T$52</definedName>
    <definedName localSheetId="28" name="Header">'Platform 21'!$A$2:$R$2</definedName>
    <definedName localSheetId="30" name="NamedRange2">'Platform 23'!$J$3:$J$32</definedName>
    <definedName localSheetId="23" name="NamedRange2">'Platform 16'!$J$3:$J$32</definedName>
    <definedName localSheetId="17" name="Place">'Platform 10'!$A$2:$A$52</definedName>
    <definedName localSheetId="31" name="Platform1">'Platform 24'!$C$1:$T$52</definedName>
    <definedName localSheetId="24" name="Header">'Platform 17'!$A$2:$R$2</definedName>
    <definedName localSheetId="16" name="Header">'Platform 9'!$A$2:$R$2</definedName>
    <definedName localSheetId="21" name="Place">'Platform 14'!$A$2:$A$52</definedName>
    <definedName localSheetId="26" name="NamedRange1">#REF!</definedName>
    <definedName localSheetId="30" name="Place">'Platform 23'!$A$2:$A$52</definedName>
    <definedName localSheetId="21" name="Header">'Platform 14'!$A$2:$R$2</definedName>
    <definedName localSheetId="10" name="NamedRange1">#REF!</definedName>
    <definedName localSheetId="14" name="NamedRange1">#REF!</definedName>
    <definedName localSheetId="10" name="Platform1">'Platform 3'!$C$1:$T$52</definedName>
    <definedName localSheetId="27" name="NamedRange1">#REF!</definedName>
    <definedName localSheetId="27" name="Place">'Platform 20'!$A$2:$A$52</definedName>
    <definedName localSheetId="18" name="NamedRange2">'Platform 11'!$J$3:$J$32</definedName>
    <definedName localSheetId="18" name="NamedRange1">#REF!</definedName>
    <definedName localSheetId="13" name="Platform1">'Platform 6'!$C$1:$T$52</definedName>
    <definedName localSheetId="19" name="Platform1">'Platform 12'!$C$1:$T$52</definedName>
    <definedName localSheetId="14" name="Platform1">'Platform 7'!$C$1:$T$52</definedName>
    <definedName localSheetId="14" name="Header">'Platform 7'!$A$2:$R$2</definedName>
    <definedName localSheetId="21" name="NamedRange1">#REF!</definedName>
    <definedName localSheetId="12" name="NamedRange2">'Platform 5'!$J$3:$J$32</definedName>
    <definedName localSheetId="13" name="Place">'Platform 6'!$A$2:$A$52</definedName>
    <definedName localSheetId="31" name="Place">'Platform 24'!$A$2:$A$52</definedName>
    <definedName localSheetId="23" name="Header">'Platform 16'!$A$2:$R$2</definedName>
    <definedName localSheetId="8" name="NamedRange1">#REF!</definedName>
    <definedName name="Platform1">'Platform 1'!$C$1:$T$52</definedName>
    <definedName localSheetId="27" name="Platform1">'Platform 20'!$C$1:$T$52</definedName>
    <definedName localSheetId="28" name="Place">'Platform 21'!$A$2:$A$52</definedName>
    <definedName localSheetId="29" name="Platform1">'Platform 22'!$C$1:$T$52</definedName>
    <definedName localSheetId="29" name="NamedRange2">'Platform 22'!$J$3:$J$32</definedName>
    <definedName localSheetId="30" name="NamedRange1">#REF!</definedName>
    <definedName localSheetId="17" name="NamedRange1">#REF!</definedName>
    <definedName localSheetId="20" name="NamedRange1">#REF!</definedName>
    <definedName localSheetId="15" name="Platform1">'Platform 8'!$C$1:$T$52</definedName>
    <definedName localSheetId="24" name="Platform1">'Platform 17'!$C$1:$T$52</definedName>
    <definedName localSheetId="11" name="Header">'Platform 4'!$A$2:$R$2</definedName>
    <definedName localSheetId="13" name="NamedRange1">#REF!</definedName>
    <definedName localSheetId="16" name="Place">'Platform 9'!$A$2:$A$52</definedName>
    <definedName localSheetId="19" name="NamedRange2">'Platform 12'!$J$3:$J$32</definedName>
    <definedName localSheetId="19" name="Place">'Platform 12'!$A$2:$A$52</definedName>
    <definedName localSheetId="17" name="Header">'Platform 10'!$A$2:$R$2</definedName>
    <definedName localSheetId="23" name="Platform1">'Platform 16'!$C$1:$T$52</definedName>
    <definedName localSheetId="25" name="Place">'Platform 18'!$A$2:$A$52</definedName>
    <definedName localSheetId="11" name="NamedRange2">'Platform 4'!$J$3:$J$32</definedName>
    <definedName localSheetId="11" name="Place">'Platform 4'!$A$2:$A$52</definedName>
    <definedName localSheetId="20" name="Header">'Platform 13'!$A$2:$R$2</definedName>
    <definedName localSheetId="14" name="Place">'Platform 7'!$A$2:$A$52</definedName>
    <definedName localSheetId="15" name="NamedRange1">#REF!</definedName>
    <definedName localSheetId="22" name="NamedRange2">'Platform 15'!$J$3:$J$32</definedName>
    <definedName localSheetId="26" name="NamedRange2">'Platform 19'!$J$3:$J$32</definedName>
    <definedName localSheetId="12" name="NamedRange1">#REF!</definedName>
    <definedName localSheetId="8" name="Place">'Platform 1'!$A$2:$A$52</definedName>
    <definedName localSheetId="23" name="NamedRange1">#REF!</definedName>
    <definedName localSheetId="23" name="Place">'Platform 16'!$A$2:$A$52</definedName>
    <definedName localSheetId="25" name="Platform1">'Platform 18'!$C$1:$T$52</definedName>
    <definedName localSheetId="11" name="Platform1">'Platform 4'!$C$1:$T$52</definedName>
    <definedName localSheetId="10" name="NamedRange2">'Platform 3'!$J$3:$J$32</definedName>
    <definedName localSheetId="29" name="Place">'Platform 22'!$A$2:$A$52</definedName>
    <definedName localSheetId="22" name="Header">'Platform 15'!$A$2:$R$2</definedName>
    <definedName localSheetId="13" name="NamedRange2">'Platform 6'!$J$3:$J$32</definedName>
    <definedName localSheetId="16" name="NamedRange1">#REF!</definedName>
    <definedName localSheetId="16" name="NamedRange2">'Platform 9'!$J$3:$J$32</definedName>
    <definedName localSheetId="29" name="NamedRange1">#REF!</definedName>
    <definedName localSheetId="31" name="Header">'Platform 24'!$A$2:$R$2</definedName>
    <definedName localSheetId="18" name="Platform1">'Platform 11'!$C$1:$T$52</definedName>
    <definedName localSheetId="9" name="Platform1">'Platform 2'!$C$1:$T$52</definedName>
    <definedName localSheetId="8" name="NamedRange2">'Platform 1'!$J$3:$J$32</definedName>
    <definedName localSheetId="26" name="Place">'Platform 19'!$A$2:$A$52</definedName>
    <definedName localSheetId="24" name="NamedRange1">#REF!</definedName>
    <definedName localSheetId="17" name="Platform1">'Platform 10'!$C$1:$T$52</definedName>
    <definedName localSheetId="18" name="Header">'Platform 11'!$A$2:$R$2</definedName>
    <definedName localSheetId="20" name="Place">'Platform 13'!$A$2:$A$52</definedName>
    <definedName localSheetId="24" name="NamedRange2">'Platform 17'!$J$3:$J$32</definedName>
    <definedName localSheetId="16" name="Platform1">'Platform 9'!$C$1:$T$52</definedName>
    <definedName localSheetId="19" name="Header">'Platform 12'!$A$2:$R$2</definedName>
    <definedName localSheetId="25" name="NamedRange1">#REF!</definedName>
    <definedName localSheetId="22" name="Platform1">'Platform 15'!$C$1:$T$52</definedName>
    <definedName localSheetId="22" name="Place">'Platform 15'!$A$2:$A$52</definedName>
    <definedName localSheetId="24" name="Place">'Platform 17'!$A$2:$A$52</definedName>
    <definedName localSheetId="26" name="Header">'Platform 19'!$A$2:$R$2</definedName>
    <definedName localSheetId="15" name="Header">'Platform 8'!$A$2:$R$2</definedName>
    <definedName localSheetId="12" name="Platform1">'Platform 5'!$C$1:$T$51</definedName>
    <definedName localSheetId="27" name="NamedRange2">'Platform 20'!$J$3:$J$32</definedName>
    <definedName localSheetId="22" name="NamedRange1">#REF!</definedName>
    <definedName localSheetId="12" name="Header">'Platform 5'!$A$2:$R$2</definedName>
    <definedName localSheetId="8" name="Header">'Platform 1'!$A$2:$R$2</definedName>
    <definedName localSheetId="11" name="NamedRange1">#REF!</definedName>
    <definedName localSheetId="29" name="Header">'Platform 22'!$A$2:$R$2</definedName>
    <definedName localSheetId="26" name="Platform1">'Platform 19'!$C$1:$T$52</definedName>
    <definedName localSheetId="9" name="Place">'Platform 2'!$A$2:$A$52</definedName>
    <definedName localSheetId="15" name="Place">'Platform 8'!$A$2:$A$52</definedName>
    <definedName localSheetId="20" name="Platform1">'Platform 13'!$C$1:$T$52</definedName>
    <definedName localSheetId="18" name="Place">'Platform 11'!$A$2:$A$52</definedName>
    <definedName localSheetId="9" name="Header">'Platform 2'!$A$2:$R$2</definedName>
    <definedName localSheetId="31" name="NamedRange1">#REF!</definedName>
    <definedName localSheetId="17" name="NamedRange2">'Platform 10'!$J$3:$J$32</definedName>
    <definedName localSheetId="19" name="NamedRange1">#REF!</definedName>
    <definedName localSheetId="25" name="NamedRange2">'Platform 18'!$J$3:$J$32</definedName>
    <definedName localSheetId="31" name="NamedRange2">'Platform 24'!$J$3:$J$32</definedName>
    <definedName localSheetId="14" name="NamedRange2">'Platform 7'!$J$3:$J$32</definedName>
    <definedName localSheetId="10" name="Place">'Platform 3'!$A$2:$A$52</definedName>
    <definedName localSheetId="25" name="Header">'Platform 18'!$A$2:$R$2</definedName>
    <definedName localSheetId="15" name="NamedRange2">'Platform 8'!$J$3:$J$32</definedName>
    <definedName localSheetId="9" name="NamedRange2">'Platform 2'!$J$3:$J$32</definedName>
    <definedName localSheetId="21" name="NamedRange2">'Platform 14'!$J$3:$J$32</definedName>
    <definedName localSheetId="13" name="Header">'Platform 6'!$A$2:$R$2</definedName>
    <definedName localSheetId="30" name="Platform1">'Platform 23'!$C$1:$T$52</definedName>
    <definedName localSheetId="21" name="Platform1">'Platform 14'!$C$1:$T$52</definedName>
    <definedName localSheetId="30" name="Header">'Platform 23'!$A$2:$R$2</definedName>
    <definedName hidden="1" localSheetId="8" name="_xlnm._FilterDatabase">'Platform 1'!$B$2:$T$77</definedName>
    <definedName hidden="1" localSheetId="9" name="_xlnm._FilterDatabase">'Platform 2'!$B$2:$T$77</definedName>
    <definedName hidden="1" localSheetId="10" name="_xlnm._FilterDatabase">'Platform 3'!$B$2:$T$77</definedName>
    <definedName hidden="1" localSheetId="11" name="_xlnm._FilterDatabase">'Platform 4'!$B$2:$T$77</definedName>
    <definedName hidden="1" localSheetId="13" name="_xlnm._FilterDatabase">'Platform 6'!$B$2:$T$77</definedName>
    <definedName hidden="1" localSheetId="12" name="_xlnm._FilterDatabase">'Platform 5'!$B$2:$T$77</definedName>
    <definedName hidden="1" localSheetId="14" name="_xlnm._FilterDatabase">'Platform 7'!$B$2:$T$77</definedName>
    <definedName hidden="1" localSheetId="15" name="_xlnm._FilterDatabase">'Platform 8'!$B$2:$T$77</definedName>
    <definedName hidden="1" localSheetId="16" name="_xlnm._FilterDatabase">'Platform 9'!$B$2:$T$77</definedName>
    <definedName hidden="1" localSheetId="18" name="_xlnm._FilterDatabase">'Platform 11'!$B$2:$T$77</definedName>
    <definedName hidden="1" localSheetId="17" name="_xlnm._FilterDatabase">'Platform 10'!$B$2:$T$77</definedName>
    <definedName hidden="1" localSheetId="20" name="_xlnm._FilterDatabase">'Platform 13'!$B$2:$T$77</definedName>
    <definedName hidden="1" localSheetId="19" name="_xlnm._FilterDatabase">'Platform 12'!$B$2:$T$77</definedName>
    <definedName hidden="1" localSheetId="22" name="_xlnm._FilterDatabase">'Platform 15'!$B$2:$T$77</definedName>
    <definedName hidden="1" localSheetId="21" name="_xlnm._FilterDatabase">'Platform 14'!$B$2:$T$77</definedName>
    <definedName hidden="1" localSheetId="24" name="_xlnm._FilterDatabase">'Platform 17'!$B$2:$T$77</definedName>
    <definedName hidden="1" localSheetId="23" name="_xlnm._FilterDatabase">'Platform 16'!$B$2:$T$77</definedName>
    <definedName hidden="1" localSheetId="25" name="_xlnm._FilterDatabase">'Platform 18'!$B$2:$T$77</definedName>
    <definedName hidden="1" localSheetId="26" name="_xlnm._FilterDatabase">'Platform 19'!$B$2:$T$77</definedName>
    <definedName hidden="1" localSheetId="0" name="_xlnm._FilterDatabase">Entry!$B$2:$I$602</definedName>
    <definedName hidden="1" localSheetId="27" name="_xlnm._FilterDatabase">'Platform 20'!$B$2:$T$77</definedName>
    <definedName hidden="1" localSheetId="28" name="_xlnm._FilterDatabase">'Platform 21'!$B$2:$T$77</definedName>
    <definedName hidden="1" localSheetId="29" name="_xlnm._FilterDatabase">'Platform 22'!$B$2:$T$77</definedName>
    <definedName hidden="1" localSheetId="30" name="_xlnm._FilterDatabase">'Platform 23'!$B$2:$T$77</definedName>
    <definedName hidden="1" localSheetId="31" name="_xlnm._FilterDatabase">'Platform 24'!$B$2:$T$77</definedName>
    <definedName hidden="1" localSheetId="8" name="Z_B0C17AAF_6872_48F8_A58E_565BF6C8DB27_.wvu.FilterData">'Platform 1'!$C$2:$U$52</definedName>
    <definedName hidden="1" localSheetId="9" name="Z_B0C17AAF_6872_48F8_A58E_565BF6C8DB27_.wvu.FilterData">'Platform 2'!$C$2:$T$52</definedName>
    <definedName hidden="1" localSheetId="10" name="Z_B0C17AAF_6872_48F8_A58E_565BF6C8DB27_.wvu.FilterData">'Platform 3'!$C$2:$T$52</definedName>
    <definedName hidden="1" localSheetId="11" name="Z_B0C17AAF_6872_48F8_A58E_565BF6C8DB27_.wvu.FilterData">'Platform 4'!$C$2:$T$52</definedName>
    <definedName hidden="1" localSheetId="13" name="Z_B0C17AAF_6872_48F8_A58E_565BF6C8DB27_.wvu.FilterData">'Platform 6'!$C$2:$T$52</definedName>
    <definedName hidden="1" localSheetId="12" name="Z_B0C17AAF_6872_48F8_A58E_565BF6C8DB27_.wvu.FilterData">'Platform 5'!$C$2:$T$51</definedName>
    <definedName hidden="1" localSheetId="14" name="Z_B0C17AAF_6872_48F8_A58E_565BF6C8DB27_.wvu.FilterData">'Platform 7'!$C$2:$T$52</definedName>
    <definedName hidden="1" localSheetId="15" name="Z_B0C17AAF_6872_48F8_A58E_565BF6C8DB27_.wvu.FilterData">'Platform 8'!$C$2:$T$52</definedName>
    <definedName hidden="1" localSheetId="16" name="Z_B0C17AAF_6872_48F8_A58E_565BF6C8DB27_.wvu.FilterData">'Platform 9'!$C$2:$T$52</definedName>
    <definedName hidden="1" localSheetId="18" name="Z_B0C17AAF_6872_48F8_A58E_565BF6C8DB27_.wvu.FilterData">'Platform 11'!$C$2:$T$52</definedName>
    <definedName hidden="1" localSheetId="17" name="Z_B0C17AAF_6872_48F8_A58E_565BF6C8DB27_.wvu.FilterData">'Platform 10'!$C$2:$T$52</definedName>
    <definedName hidden="1" localSheetId="20" name="Z_B0C17AAF_6872_48F8_A58E_565BF6C8DB27_.wvu.FilterData">'Platform 13'!$C$2:$T$52</definedName>
    <definedName hidden="1" localSheetId="19" name="Z_B0C17AAF_6872_48F8_A58E_565BF6C8DB27_.wvu.FilterData">'Platform 12'!$C$2:$T$52</definedName>
    <definedName hidden="1" localSheetId="22" name="Z_B0C17AAF_6872_48F8_A58E_565BF6C8DB27_.wvu.FilterData">'Platform 15'!$C$2:$T$52</definedName>
    <definedName hidden="1" localSheetId="21" name="Z_B0C17AAF_6872_48F8_A58E_565BF6C8DB27_.wvu.FilterData">'Platform 14'!$C$2:$T$52</definedName>
    <definedName hidden="1" localSheetId="24" name="Z_B0C17AAF_6872_48F8_A58E_565BF6C8DB27_.wvu.FilterData">'Platform 17'!$C$2:$T$52</definedName>
    <definedName hidden="1" localSheetId="23" name="Z_B0C17AAF_6872_48F8_A58E_565BF6C8DB27_.wvu.FilterData">'Platform 16'!$C$2:$T$52</definedName>
    <definedName hidden="1" localSheetId="25" name="Z_B0C17AAF_6872_48F8_A58E_565BF6C8DB27_.wvu.FilterData">'Platform 18'!$C$2:$T$52</definedName>
    <definedName hidden="1" localSheetId="26" name="Z_B0C17AAF_6872_48F8_A58E_565BF6C8DB27_.wvu.FilterData">'Platform 19'!$C$2:$T$52</definedName>
    <definedName hidden="1" localSheetId="27" name="Z_B0C17AAF_6872_48F8_A58E_565BF6C8DB27_.wvu.FilterData">'Platform 20'!$C$2:$T$52</definedName>
    <definedName hidden="1" localSheetId="28" name="Z_B0C17AAF_6872_48F8_A58E_565BF6C8DB27_.wvu.FilterData">'Platform 21'!$C$2:$T$52</definedName>
    <definedName hidden="1" localSheetId="29" name="Z_B0C17AAF_6872_48F8_A58E_565BF6C8DB27_.wvu.FilterData">'Platform 22'!$C$2:$T$52</definedName>
    <definedName hidden="1" localSheetId="30" name="Z_B0C17AAF_6872_48F8_A58E_565BF6C8DB27_.wvu.FilterData">'Platform 23'!$C$2:$T$52</definedName>
    <definedName hidden="1" localSheetId="31" name="Z_B0C17AAF_6872_48F8_A58E_565BF6C8DB27_.wvu.FilterData">'Platform 24'!$C$2:$T$52</definedName>
  </definedNames>
  <calcPr/>
  <customWorkbookViews>
    <customWorkbookView activeSheetId="0" maximized="1" tabRatio="600" windowHeight="0" windowWidth="0" guid="{B0C17AAF-6872-48F8-A58E-565BF6C8DB27}" name="Filter 1"/>
  </customWorkbookViews>
</workbook>
</file>

<file path=xl/sharedStrings.xml><?xml version="1.0" encoding="utf-8"?>
<sst xmlns="http://schemas.openxmlformats.org/spreadsheetml/2006/main" count="10699" uniqueCount="599">
  <si>
    <t>autocratn</t>
  </si>
  <si>
    <t>autocratp</t>
  </si>
  <si>
    <t>dataSheetName</t>
  </si>
  <si>
    <t>"Platform 1"</t>
  </si>
  <si>
    <t>v</t>
  </si>
  <si>
    <t>"5.1"</t>
  </si>
  <si>
    <t>dataSheetId</t>
  </si>
  <si>
    <t>"1.555475534E9"</t>
  </si>
  <si>
    <t>updateTime</t>
  </si>
  <si>
    <t>"1.554405118332E12"</t>
  </si>
  <si>
    <t>vp</t>
  </si>
  <si>
    <t>ssId</t>
  </si>
  <si>
    <t>"1sFf_Iyq25CF1D55sXlrhpA4CsN5yOykbslwlUq09OaY"</t>
  </si>
  <si>
    <t>Don't Enter This!!!! It will be done automatically</t>
  </si>
  <si>
    <t>Do Not Enter. Will Auto Fill</t>
  </si>
  <si>
    <t>Only CUT These Columns and Paste Special After Sort</t>
  </si>
  <si>
    <t>After CUT Then CUT and Paste Special These 1 Column at a time</t>
  </si>
  <si>
    <t>Don't Delete for Validation</t>
  </si>
  <si>
    <t>These Columns will Auto Fill</t>
  </si>
  <si>
    <t>Class</t>
  </si>
  <si>
    <t>V/JV/W/WJV</t>
  </si>
  <si>
    <t>Enter Platform # Here</t>
  </si>
  <si>
    <t>School</t>
  </si>
  <si>
    <t>Weight</t>
  </si>
  <si>
    <t>Don't Need to Touch</t>
  </si>
  <si>
    <t>Lifter</t>
  </si>
  <si>
    <t>Squat Open</t>
  </si>
  <si>
    <t>Bench Open</t>
  </si>
  <si>
    <t>Dead Lift Open</t>
  </si>
  <si>
    <t>114 V</t>
  </si>
  <si>
    <t>Platform</t>
  </si>
  <si>
    <t>114 JV</t>
  </si>
  <si>
    <t>114 W</t>
  </si>
  <si>
    <t>97 WJV</t>
  </si>
  <si>
    <t>Don't Type Anything On This Page</t>
  </si>
  <si>
    <t>W</t>
  </si>
  <si>
    <t>ACME</t>
  </si>
  <si>
    <t>Jane Doe</t>
  </si>
  <si>
    <t>123 V</t>
  </si>
  <si>
    <t>123 JV</t>
  </si>
  <si>
    <t>123 W</t>
  </si>
  <si>
    <t>105 WJV</t>
  </si>
  <si>
    <t>97 W</t>
  </si>
  <si>
    <t>Platform 1=</t>
  </si>
  <si>
    <t>132 V</t>
  </si>
  <si>
    <t>132 JV</t>
  </si>
  <si>
    <t>132 W</t>
  </si>
  <si>
    <t>114 WJV</t>
  </si>
  <si>
    <t>145 V</t>
  </si>
  <si>
    <t>145 JV</t>
  </si>
  <si>
    <t>145 W</t>
  </si>
  <si>
    <t>123 WJV</t>
  </si>
  <si>
    <t>105 W</t>
  </si>
  <si>
    <t>Platform 2=</t>
  </si>
  <si>
    <t>155 V</t>
  </si>
  <si>
    <t>155 JV</t>
  </si>
  <si>
    <t>155 W</t>
  </si>
  <si>
    <t>132 WJV</t>
  </si>
  <si>
    <t>Platform 3=</t>
  </si>
  <si>
    <t>Platform 4=</t>
  </si>
  <si>
    <t>165 V</t>
  </si>
  <si>
    <t>165 JV</t>
  </si>
  <si>
    <t>165 W</t>
  </si>
  <si>
    <t>145 WJV</t>
  </si>
  <si>
    <t>Platform 5=</t>
  </si>
  <si>
    <t>181 V</t>
  </si>
  <si>
    <t>181 JV</t>
  </si>
  <si>
    <t>181 W</t>
  </si>
  <si>
    <t>155 WJV</t>
  </si>
  <si>
    <t>Platform 6=</t>
  </si>
  <si>
    <t>Platform 7=</t>
  </si>
  <si>
    <t>194 V</t>
  </si>
  <si>
    <t>194 JV</t>
  </si>
  <si>
    <t>194 W</t>
  </si>
  <si>
    <t>165 WJV</t>
  </si>
  <si>
    <t>Platform 8=</t>
  </si>
  <si>
    <t>207 V</t>
  </si>
  <si>
    <t>207 JV</t>
  </si>
  <si>
    <t>181 WJV</t>
  </si>
  <si>
    <t>207 W</t>
  </si>
  <si>
    <t>Platform 9=</t>
  </si>
  <si>
    <t>220 V</t>
  </si>
  <si>
    <t>220 JV</t>
  </si>
  <si>
    <t>220 W</t>
  </si>
  <si>
    <t>198 WJV</t>
  </si>
  <si>
    <t>198 W</t>
  </si>
  <si>
    <t>Platform 10=</t>
  </si>
  <si>
    <t>242 V</t>
  </si>
  <si>
    <t>242 JV</t>
  </si>
  <si>
    <t>242 W</t>
  </si>
  <si>
    <t>220 WJV</t>
  </si>
  <si>
    <t>275 V</t>
  </si>
  <si>
    <t>275 JV</t>
  </si>
  <si>
    <t>Platform 11=</t>
  </si>
  <si>
    <t>275 W</t>
  </si>
  <si>
    <t>242 WJV</t>
  </si>
  <si>
    <t>SHW V</t>
  </si>
  <si>
    <t>SHW JV</t>
  </si>
  <si>
    <t>SHW W</t>
  </si>
  <si>
    <t>SHW WJV</t>
  </si>
  <si>
    <t>Platform 12=</t>
  </si>
  <si>
    <t>Platform 13=</t>
  </si>
  <si>
    <t>V</t>
  </si>
  <si>
    <t>Platform 14=</t>
  </si>
  <si>
    <t>Totals</t>
  </si>
  <si>
    <t>JV</t>
  </si>
  <si>
    <t>Platform 15=</t>
  </si>
  <si>
    <t>Platform 16=</t>
  </si>
  <si>
    <t>Platform 17=</t>
  </si>
  <si>
    <t>WJV</t>
  </si>
  <si>
    <t>Platform 18=</t>
  </si>
  <si>
    <t>Platform 19=</t>
  </si>
  <si>
    <t>Platform 20=</t>
  </si>
  <si>
    <t>Don't Touch These Columns</t>
  </si>
  <si>
    <t>Mens Varsity Results</t>
  </si>
  <si>
    <t>Squat</t>
  </si>
  <si>
    <t>Bench</t>
  </si>
  <si>
    <t>Dead Lift</t>
  </si>
  <si>
    <t>Total</t>
  </si>
  <si>
    <t>lb per lb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</si>
  <si>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</si>
  <si>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</si>
  <si>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</si>
  <si>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</si>
  <si>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</si>
  <si>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</si>
  <si>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</si>
  <si>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</si>
  <si>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</si>
  <si>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</si>
  <si>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SHW</t>
  </si>
  <si>
    <t>Women's Varsity Results</t>
  </si>
  <si>
    <t xml:space="preserve"> </t>
  </si>
  <si>
    <t>Mens Junior Varsity Results</t>
  </si>
  <si>
    <t>Women's JV Results</t>
  </si>
  <si>
    <t>JV/V/W</t>
  </si>
  <si>
    <t>Squat 1</t>
  </si>
  <si>
    <t>Squat 2</t>
  </si>
  <si>
    <t>Squat 3</t>
  </si>
  <si>
    <t>Squat Total</t>
  </si>
  <si>
    <t>Bench 1</t>
  </si>
  <si>
    <t>Bench 2</t>
  </si>
  <si>
    <t>Bench 3</t>
  </si>
  <si>
    <t>Bench Total</t>
  </si>
  <si>
    <t>Deal Lift 1</t>
  </si>
  <si>
    <t>Dead Lift 2</t>
  </si>
  <si>
    <t>Dead Lift 3</t>
  </si>
  <si>
    <t>Dead Lift Total</t>
  </si>
  <si>
    <t>Whitehall</t>
  </si>
  <si>
    <t>Cordray, Ashely</t>
  </si>
  <si>
    <t>175g</t>
  </si>
  <si>
    <t>185g</t>
  </si>
  <si>
    <t>190x</t>
  </si>
  <si>
    <t>105g</t>
  </si>
  <si>
    <t>110g</t>
  </si>
  <si>
    <t>120x</t>
  </si>
  <si>
    <t>225g</t>
  </si>
  <si>
    <t>240x</t>
  </si>
  <si>
    <t>240g</t>
  </si>
  <si>
    <t>Kearsley</t>
  </si>
  <si>
    <t>Hardy, Miranda</t>
  </si>
  <si>
    <t>160g</t>
  </si>
  <si>
    <t>185x</t>
  </si>
  <si>
    <t>90g</t>
  </si>
  <si>
    <t>100g</t>
  </si>
  <si>
    <t>110x</t>
  </si>
  <si>
    <t>210g</t>
  </si>
  <si>
    <t>235g</t>
  </si>
  <si>
    <t>Central Montcalm</t>
  </si>
  <si>
    <t>Bacon, Zoey</t>
  </si>
  <si>
    <t>140g</t>
  </si>
  <si>
    <t>150g</t>
  </si>
  <si>
    <t>75g</t>
  </si>
  <si>
    <t>85g</t>
  </si>
  <si>
    <t>90x</t>
  </si>
  <si>
    <t>195g</t>
  </si>
  <si>
    <t>250g</t>
  </si>
  <si>
    <t>Edwardsburg</t>
  </si>
  <si>
    <t>Hartley, Madison</t>
  </si>
  <si>
    <t>125g</t>
  </si>
  <si>
    <t>135x</t>
  </si>
  <si>
    <t>190g</t>
  </si>
  <si>
    <t>200g</t>
  </si>
  <si>
    <t>220g</t>
  </si>
  <si>
    <t>Lake Orion</t>
  </si>
  <si>
    <t>Carlson, Becca</t>
  </si>
  <si>
    <t>135g</t>
  </si>
  <si>
    <t>155x</t>
  </si>
  <si>
    <t>65g</t>
  </si>
  <si>
    <t>80x</t>
  </si>
  <si>
    <t>215g</t>
  </si>
  <si>
    <t>225x</t>
  </si>
  <si>
    <t>Haddix, Adrianna</t>
  </si>
  <si>
    <t>115g</t>
  </si>
  <si>
    <t>140x</t>
  </si>
  <si>
    <t>70g</t>
  </si>
  <si>
    <t>Hansen, Kaitlyn</t>
  </si>
  <si>
    <t>120g</t>
  </si>
  <si>
    <t>130x</t>
  </si>
  <si>
    <t>Brighton</t>
  </si>
  <si>
    <t>Cogan, Alyssa</t>
  </si>
  <si>
    <t>165x</t>
  </si>
  <si>
    <t>155g</t>
  </si>
  <si>
    <t>170g</t>
  </si>
  <si>
    <t>Goodrich</t>
  </si>
  <si>
    <t>Vicory, Kendra</t>
  </si>
  <si>
    <t>85x</t>
  </si>
  <si>
    <t>100x</t>
  </si>
  <si>
    <t>205x</t>
  </si>
  <si>
    <t>Christiansen, Marlee</t>
  </si>
  <si>
    <t>80g</t>
  </si>
  <si>
    <t>200x</t>
  </si>
  <si>
    <t>Standish-Sterling</t>
  </si>
  <si>
    <t>Kopasz, Alli</t>
  </si>
  <si>
    <t>Grand Haven</t>
  </si>
  <si>
    <t>Mountford, Alexis</t>
  </si>
  <si>
    <t>95g</t>
  </si>
  <si>
    <t>55g</t>
  </si>
  <si>
    <t>Ionia</t>
  </si>
  <si>
    <t>Bestrom, Olivia</t>
  </si>
  <si>
    <t>60g</t>
  </si>
  <si>
    <t>Central Lake</t>
  </si>
  <si>
    <t>Meinke, Rose</t>
  </si>
  <si>
    <t>50g</t>
  </si>
  <si>
    <t>165g</t>
  </si>
  <si>
    <t>175x</t>
  </si>
  <si>
    <t>Schoeneman, Charleigh</t>
  </si>
  <si>
    <t>115x</t>
  </si>
  <si>
    <t>65x</t>
  </si>
  <si>
    <t>Brygo, Rose-May</t>
  </si>
  <si>
    <t>Johnson, Gabi</t>
  </si>
  <si>
    <t>70x</t>
  </si>
  <si>
    <t>180x</t>
  </si>
  <si>
    <t>Kalnins, Carrie</t>
  </si>
  <si>
    <t>130g</t>
  </si>
  <si>
    <t>180g</t>
  </si>
  <si>
    <t>195x</t>
  </si>
  <si>
    <t>Martin</t>
  </si>
  <si>
    <t>Bozzo, Kyia</t>
  </si>
  <si>
    <t>150x</t>
  </si>
  <si>
    <t>Cros-Lex</t>
  </si>
  <si>
    <t>Hendrick, taylor</t>
  </si>
  <si>
    <t>Boggs, Ava</t>
  </si>
  <si>
    <t>125x</t>
  </si>
  <si>
    <t>75x</t>
  </si>
  <si>
    <t>145g</t>
  </si>
  <si>
    <t>Stauffer, Payton</t>
  </si>
  <si>
    <t>Yale</t>
  </si>
  <si>
    <t>Ferguson, Juliana</t>
  </si>
  <si>
    <t>Elk Rapids</t>
  </si>
  <si>
    <t>Pyle, Abigail</t>
  </si>
  <si>
    <t>Birch Run</t>
  </si>
  <si>
    <t>Ursuy, Sam</t>
  </si>
  <si>
    <t>Hoffman, Tea</t>
  </si>
  <si>
    <t>205g</t>
  </si>
  <si>
    <t>245g</t>
  </si>
  <si>
    <t>260x</t>
  </si>
  <si>
    <t>Day, Gabriella</t>
  </si>
  <si>
    <t>Kopasz, Remi</t>
  </si>
  <si>
    <t>Bohen, Lily</t>
  </si>
  <si>
    <t>Port Huron</t>
  </si>
  <si>
    <t>Harris, Halle</t>
  </si>
  <si>
    <t>105x</t>
  </si>
  <si>
    <t>215x</t>
  </si>
  <si>
    <t>Traverse City West</t>
  </si>
  <si>
    <t>Barfield, Skyler</t>
  </si>
  <si>
    <t>170x</t>
  </si>
  <si>
    <t>Pionk, Abi</t>
  </si>
  <si>
    <t>North Branch</t>
  </si>
  <si>
    <t>Mauk, Jasmine</t>
  </si>
  <si>
    <t>Stocks, Bryanna</t>
  </si>
  <si>
    <t>230x</t>
  </si>
  <si>
    <t>Kennedy, Tristyn</t>
  </si>
  <si>
    <t>235x</t>
  </si>
  <si>
    <t>Bennett, Kylie</t>
  </si>
  <si>
    <t>Flushing</t>
  </si>
  <si>
    <t>McNamara, Julie</t>
  </si>
  <si>
    <t>Peterman, Darby</t>
  </si>
  <si>
    <t>Dowagiac</t>
  </si>
  <si>
    <t>Mathew, Jayme</t>
  </si>
  <si>
    <t>160x</t>
  </si>
  <si>
    <t>60x</t>
  </si>
  <si>
    <t>Polzin, Madsion</t>
  </si>
  <si>
    <t>Bronner, Emma</t>
  </si>
  <si>
    <t>Dougherty, Samantha</t>
  </si>
  <si>
    <t>Kalkaska</t>
  </si>
  <si>
    <t>Cartmell, Hannah</t>
  </si>
  <si>
    <t>Montague</t>
  </si>
  <si>
    <t>Worley, Aubrie</t>
  </si>
  <si>
    <t>Kraska, Kaydryn</t>
  </si>
  <si>
    <t>Shampine, Makayla</t>
  </si>
  <si>
    <t>Ex, Bailey</t>
  </si>
  <si>
    <t>Nicholson, Kamryn</t>
  </si>
  <si>
    <t>265g</t>
  </si>
  <si>
    <t>Kraska, Karasyn</t>
  </si>
  <si>
    <t>250x</t>
  </si>
  <si>
    <t>Choponis, Grace</t>
  </si>
  <si>
    <t>280x</t>
  </si>
  <si>
    <t>Brooks, Kayla</t>
  </si>
  <si>
    <t>Post, Angelina</t>
  </si>
  <si>
    <t>Perry, Liberty</t>
  </si>
  <si>
    <t>210x</t>
  </si>
  <si>
    <t>Jaquish, Isabelle</t>
  </si>
  <si>
    <t>Almont</t>
  </si>
  <si>
    <t>Wilson, Lindsey</t>
  </si>
  <si>
    <t>Spencer, Sydney</t>
  </si>
  <si>
    <t>Grafenauer, Kylie</t>
  </si>
  <si>
    <t>Wallaker, Rylee</t>
  </si>
  <si>
    <t>230g</t>
  </si>
  <si>
    <t>Sardo, Michaela</t>
  </si>
  <si>
    <t>Ostrander, Sophie</t>
  </si>
  <si>
    <t>Stodolak, Malorie</t>
  </si>
  <si>
    <t>Sabraw, Kylie</t>
  </si>
  <si>
    <t>Selent, Cailee</t>
  </si>
  <si>
    <t>Gregory, Gracie</t>
  </si>
  <si>
    <t>Murphy, Kari</t>
  </si>
  <si>
    <t>145x</t>
  </si>
  <si>
    <t>Bowman, Samantha</t>
  </si>
  <si>
    <t>Lang, Alexis</t>
  </si>
  <si>
    <t>Taylor, Eva</t>
  </si>
  <si>
    <t>220x</t>
  </si>
  <si>
    <t>Henry Ford II</t>
  </si>
  <si>
    <t>Landman, Briana</t>
  </si>
  <si>
    <t>Long, Madison</t>
  </si>
  <si>
    <t>255g</t>
  </si>
  <si>
    <t>275g</t>
  </si>
  <si>
    <t>Independent</t>
  </si>
  <si>
    <t>Clark, Reagan</t>
  </si>
  <si>
    <t>260g</t>
  </si>
  <si>
    <t>270g</t>
  </si>
  <si>
    <t>Scott, Azlynn</t>
  </si>
  <si>
    <t>McVety, Kylee</t>
  </si>
  <si>
    <t>Burchi, Brianna</t>
  </si>
  <si>
    <t>Reid, Ariana</t>
  </si>
  <si>
    <t>Reinke, Elizabeth</t>
  </si>
  <si>
    <t>Mona Shores</t>
  </si>
  <si>
    <t>Savacool, Elizabeth</t>
  </si>
  <si>
    <t>Hunger, Hope</t>
  </si>
  <si>
    <t>Lipe, Audrey</t>
  </si>
  <si>
    <t>Roy, Hannah</t>
  </si>
  <si>
    <t>95x</t>
  </si>
  <si>
    <t>Daly, Keighan</t>
  </si>
  <si>
    <t>Adrian</t>
  </si>
  <si>
    <t>Ford, Alexis</t>
  </si>
  <si>
    <t>Brassell, Tapaynga</t>
  </si>
  <si>
    <t>Michigan Lutheran</t>
  </si>
  <si>
    <t>Bartley, Faith</t>
  </si>
  <si>
    <t>Medley, Bella</t>
  </si>
  <si>
    <t>Irish, Rebecca</t>
  </si>
  <si>
    <t>Luna, Sophia</t>
  </si>
  <si>
    <t>Oxford</t>
  </si>
  <si>
    <t>Rice, Alycia</t>
  </si>
  <si>
    <t>Carter, Rhiannon</t>
  </si>
  <si>
    <t>Hensley, Zoe</t>
  </si>
  <si>
    <t>Wandell, Breann</t>
  </si>
  <si>
    <t>Wimberly, taylor</t>
  </si>
  <si>
    <t>Ritchie, Julia</t>
  </si>
  <si>
    <t>Zamojcin, Andie</t>
  </si>
  <si>
    <t>Grafenauer, Kara</t>
  </si>
  <si>
    <t>Kingsley</t>
  </si>
  <si>
    <t>Stiner, Jessie</t>
  </si>
  <si>
    <t>Sardo, Layla</t>
  </si>
  <si>
    <t>Sias, Isabella</t>
  </si>
  <si>
    <t>Lowell</t>
  </si>
  <si>
    <t>Spanbauer, Sydney</t>
  </si>
  <si>
    <t>Armstrong, Lexi</t>
  </si>
  <si>
    <t>Benzie Central</t>
  </si>
  <si>
    <t>Reed, Alyssa</t>
  </si>
  <si>
    <t>Hartford</t>
  </si>
  <si>
    <t>Goodson, Lainey</t>
  </si>
  <si>
    <t>Three Rivers</t>
  </si>
  <si>
    <t>Copley, Mikayla</t>
  </si>
  <si>
    <t>Atherton, Celestial</t>
  </si>
  <si>
    <t>Mochty, Kenzie</t>
  </si>
  <si>
    <t>Ehle, Greenleigh</t>
  </si>
  <si>
    <t>Morenci</t>
  </si>
  <si>
    <t>Hanawalt, Dawson</t>
  </si>
  <si>
    <t>Beebe, Jordyn</t>
  </si>
  <si>
    <t>Davison</t>
  </si>
  <si>
    <t>Pringle, Makayla</t>
  </si>
  <si>
    <t>Campbell, Maddie</t>
  </si>
  <si>
    <t>Clarambeau, Karlee</t>
  </si>
  <si>
    <t>McIntosh, Victoria</t>
  </si>
  <si>
    <t>Edenburn, Evelyn</t>
  </si>
  <si>
    <t>Dunkley, Katie</t>
  </si>
  <si>
    <t>Wright, Alyssa</t>
  </si>
  <si>
    <t>Shepherd, Peyton</t>
  </si>
  <si>
    <t>Lakers</t>
  </si>
  <si>
    <t>McArdle, Erin</t>
  </si>
  <si>
    <t>245x</t>
  </si>
  <si>
    <t>Coleman, Sydney</t>
  </si>
  <si>
    <t>Daws, Alyssa</t>
  </si>
  <si>
    <t>Brown, Paris</t>
  </si>
  <si>
    <t>Guldi, Dakota</t>
  </si>
  <si>
    <t>Kelloggsville</t>
  </si>
  <si>
    <t>Marasigan, Rhea</t>
  </si>
  <si>
    <t>Krzyzaniak, Taylor</t>
  </si>
  <si>
    <t>Lemons, Evelynn</t>
  </si>
  <si>
    <t>Gearhart, Alyssa</t>
  </si>
  <si>
    <t>285g</t>
  </si>
  <si>
    <t>Radtke, Ryen</t>
  </si>
  <si>
    <t>Hilborn, Paige</t>
  </si>
  <si>
    <t>Royal Oak</t>
  </si>
  <si>
    <t>Fields, Caprice</t>
  </si>
  <si>
    <t>Szczepkowski, Kacey</t>
  </si>
  <si>
    <t>275x</t>
  </si>
  <si>
    <t>300g</t>
  </si>
  <si>
    <t>315g</t>
  </si>
  <si>
    <t>Ayotte, Maddison</t>
  </si>
  <si>
    <t>Climax-Scotts</t>
  </si>
  <si>
    <t>Haynes, Jenna</t>
  </si>
  <si>
    <t>Corle, Makenna</t>
  </si>
  <si>
    <t>Birgy, Madison</t>
  </si>
  <si>
    <t>Diamond, Madison</t>
  </si>
  <si>
    <t>320g</t>
  </si>
  <si>
    <t>Neirnberg, Lena</t>
  </si>
  <si>
    <t>345g</t>
  </si>
  <si>
    <t>355g</t>
  </si>
  <si>
    <t>Diehl, Summer</t>
  </si>
  <si>
    <t>Olger, Lindsey</t>
  </si>
  <si>
    <t>Petoskey</t>
  </si>
  <si>
    <t>Ladd, Lexi</t>
  </si>
  <si>
    <t>Grand Blanc</t>
  </si>
  <si>
    <t>Petiprin, Annie</t>
  </si>
  <si>
    <t>290g</t>
  </si>
  <si>
    <t>Shaw, Angel</t>
  </si>
  <si>
    <t>Schmidt, Jessica</t>
  </si>
  <si>
    <t>VanCamp, Julie</t>
  </si>
  <si>
    <t>Hoover, Lauren</t>
  </si>
  <si>
    <t>Rosin, Jenna</t>
  </si>
  <si>
    <t>Hoffman, Elizabeth</t>
  </si>
  <si>
    <t>Nuss, Abby</t>
  </si>
  <si>
    <t>55x</t>
  </si>
  <si>
    <t>Konsdorf, Destiny</t>
  </si>
  <si>
    <t>Wardlaw, Alexa</t>
  </si>
  <si>
    <t>Cacicedo, Karly</t>
  </si>
  <si>
    <t>Gates, Aleiha</t>
  </si>
  <si>
    <t>Aldrich, Bristel</t>
  </si>
  <si>
    <t>Haley, Danielle</t>
  </si>
  <si>
    <t>Brackenberry, Chloe</t>
  </si>
  <si>
    <t>Keyzer, Ivy</t>
  </si>
  <si>
    <t>Eisenhardt, Ariel</t>
  </si>
  <si>
    <t>Tadajewski, Skylar</t>
  </si>
  <si>
    <t>Jennings, Devri</t>
  </si>
  <si>
    <t>Gaydos, Rachel</t>
  </si>
  <si>
    <t>Jamerson, Jenna</t>
  </si>
  <si>
    <t>Fisher, Elizabeth</t>
  </si>
  <si>
    <t>Smith, Melissa</t>
  </si>
  <si>
    <t>Smith, Ryleigh</t>
  </si>
  <si>
    <t>265x</t>
  </si>
  <si>
    <t>Nikle, Abbegayle</t>
  </si>
  <si>
    <t>St. Clair</t>
  </si>
  <si>
    <t>Lohr, Delany</t>
  </si>
  <si>
    <t>Hopkins, Riley</t>
  </si>
  <si>
    <t>Gubbins, Olivia</t>
  </si>
  <si>
    <t>Morgan, Taylor</t>
  </si>
  <si>
    <t>Kraatz, Carissa</t>
  </si>
  <si>
    <t>O’Connor, Marissa</t>
  </si>
  <si>
    <t>Burleson, Corrina</t>
  </si>
  <si>
    <t>295x</t>
  </si>
  <si>
    <t>Brandon</t>
  </si>
  <si>
    <t>Martin, Emma</t>
  </si>
  <si>
    <t>305x</t>
  </si>
  <si>
    <t>McWhinnie, Jade</t>
  </si>
  <si>
    <t>300x</t>
  </si>
  <si>
    <t>Pretzer, Siera</t>
  </si>
  <si>
    <t>315x</t>
  </si>
  <si>
    <t>Lakeville</t>
  </si>
  <si>
    <t>West, Bre</t>
  </si>
  <si>
    <t>305g</t>
  </si>
  <si>
    <t>Diller, Brooklynn</t>
  </si>
  <si>
    <t>Paw Paw</t>
  </si>
  <si>
    <t>Daspan, Penial</t>
  </si>
  <si>
    <t>335g</t>
  </si>
  <si>
    <t>Keller, Jori</t>
  </si>
  <si>
    <t>Rodriguez, Taylor</t>
  </si>
  <si>
    <t>Hodge, Kai</t>
  </si>
  <si>
    <t>Guerrero, Alyna</t>
  </si>
  <si>
    <t>Shepherd</t>
  </si>
  <si>
    <t>Showalter, Mackenzie</t>
  </si>
  <si>
    <t>Wilson, Emily</t>
  </si>
  <si>
    <t>Gilliam, Natalie</t>
  </si>
  <si>
    <t>Rigg, Makenna</t>
  </si>
  <si>
    <t>Howard, Ajalen</t>
  </si>
  <si>
    <t>McKeown, Kyla</t>
  </si>
  <si>
    <t>Zimmerman, Camryn</t>
  </si>
  <si>
    <t>Delong, Isabella</t>
  </si>
  <si>
    <t>Beninati, Maria</t>
  </si>
  <si>
    <t>WHITEHALL</t>
  </si>
  <si>
    <t>Hendrickson, Elly</t>
  </si>
  <si>
    <t>280g</t>
  </si>
  <si>
    <t>Presley, Arissa</t>
  </si>
  <si>
    <t>Carpenter, Sierra</t>
  </si>
  <si>
    <t>Grass Lake</t>
  </si>
  <si>
    <t>Sherwood, Jennifer</t>
  </si>
  <si>
    <t>Vickory, Roxanne</t>
  </si>
  <si>
    <t>Kingston</t>
  </si>
  <si>
    <t>Haag, Mariea Ann</t>
  </si>
  <si>
    <t>310x</t>
  </si>
  <si>
    <t>Morrish, Faith</t>
  </si>
  <si>
    <t>Herrst, Desiree</t>
  </si>
  <si>
    <t>Martin, Marisol</t>
  </si>
  <si>
    <t>George, Charlotte</t>
  </si>
  <si>
    <t>Harp, RayAnn</t>
  </si>
  <si>
    <t>Weber, Emma</t>
  </si>
  <si>
    <t>McIntyre, Brooke</t>
  </si>
  <si>
    <t>270x</t>
  </si>
  <si>
    <t>Plaiser, Brooklyn</t>
  </si>
  <si>
    <t>Barron, Claire</t>
  </si>
  <si>
    <t>Peyerk, Emily</t>
  </si>
  <si>
    <t>285x</t>
  </si>
  <si>
    <t>White, India</t>
  </si>
  <si>
    <t>Grant</t>
  </si>
  <si>
    <t>Crosby, Heather</t>
  </si>
  <si>
    <t>310g</t>
  </si>
  <si>
    <t>Graham, Kashanna</t>
  </si>
  <si>
    <t>335x</t>
  </si>
  <si>
    <t>McIntosh, Hailee</t>
  </si>
  <si>
    <t>Rome, Nakeya</t>
  </si>
  <si>
    <t>Guerrero, Nikki</t>
  </si>
  <si>
    <t>Trombley, Val</t>
  </si>
  <si>
    <t>Ryan, Kelly</t>
  </si>
  <si>
    <t>Corkle, Sophie</t>
  </si>
  <si>
    <t>Butcher, Veronica</t>
  </si>
  <si>
    <t>Gubbins, Tiffany</t>
  </si>
  <si>
    <t>255x</t>
  </si>
  <si>
    <t>Hinojosa, Alexia</t>
  </si>
  <si>
    <t>290x</t>
  </si>
  <si>
    <t>Murlick, Lindsey</t>
  </si>
  <si>
    <t>Bland, Cheyenne</t>
  </si>
  <si>
    <t>295g</t>
  </si>
  <si>
    <t>Campoli, Isabella</t>
  </si>
  <si>
    <t>Bethany, Amaiya</t>
  </si>
  <si>
    <t>Marsh, Alexis</t>
  </si>
  <si>
    <t>Ryan, Hailey</t>
  </si>
  <si>
    <t>340g</t>
  </si>
  <si>
    <t>Mens Varsity Team Results</t>
  </si>
  <si>
    <t>Womens Varsity Team Results</t>
  </si>
  <si>
    <t>Mens Junior Varsity Team Results</t>
  </si>
  <si>
    <t>Mens Varsity Tie Breaker</t>
  </si>
  <si>
    <t>Good Lifts</t>
  </si>
  <si>
    <t>Total First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</si>
  <si>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</si>
  <si>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</si>
  <si>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</si>
  <si>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</si>
  <si>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</si>
  <si>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</si>
  <si>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</si>
  <si>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</si>
  <si>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</si>
  <si>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</si>
  <si>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Women's Varsity Tie Breaker</t>
  </si>
  <si>
    <t>Mens Junior Varsity Tie Breaker</t>
  </si>
  <si>
    <t>Women's JV Tie Breaker</t>
  </si>
  <si>
    <t>s1</t>
  </si>
  <si>
    <t>s2</t>
  </si>
  <si>
    <t>s3</t>
  </si>
  <si>
    <t>squat</t>
  </si>
  <si>
    <t>b1</t>
  </si>
  <si>
    <t>b2</t>
  </si>
  <si>
    <t>b3</t>
  </si>
  <si>
    <t>bench</t>
  </si>
  <si>
    <t>d1</t>
  </si>
  <si>
    <t>d2</t>
  </si>
  <si>
    <t>d3</t>
  </si>
  <si>
    <t>dead</t>
  </si>
  <si>
    <t>Varsity</t>
  </si>
  <si>
    <t>Women Vasity</t>
  </si>
  <si>
    <t>Women JV</t>
  </si>
  <si>
    <t>Job ID</t>
  </si>
  <si>
    <t>Job Name</t>
  </si>
  <si>
    <t>Template ID</t>
  </si>
  <si>
    <t>Data Sheet ID</t>
  </si>
  <si>
    <t>Header Row</t>
  </si>
  <si>
    <t>First Data Row</t>
  </si>
  <si>
    <t>File Name</t>
  </si>
  <si>
    <t>File Type</t>
  </si>
  <si>
    <t>Share As</t>
  </si>
  <si>
    <t>Folders</t>
  </si>
  <si>
    <t>Dynamic Folder Reference</t>
  </si>
  <si>
    <t>Conditionals</t>
  </si>
  <si>
    <t>Mode</t>
  </si>
  <si>
    <t>Append Breaks</t>
  </si>
  <si>
    <t>Tags</t>
  </si>
  <si>
    <t>Run On Time Trigger</t>
  </si>
  <si>
    <t>Time Trigger Frequency</t>
  </si>
  <si>
    <t>Run On Form Trigger</t>
  </si>
  <si>
    <t>Send Email And Share</t>
  </si>
  <si>
    <t>Email To</t>
  </si>
  <si>
    <t>Email CC</t>
  </si>
  <si>
    <t>Email BCC</t>
  </si>
  <si>
    <t>Email Reply To</t>
  </si>
  <si>
    <t>Email No Reply</t>
  </si>
  <si>
    <t>Email Subject</t>
  </si>
  <si>
    <t>Email Body</t>
  </si>
  <si>
    <t>Prevent Resharing</t>
  </si>
  <si>
    <t>Time Trigger Timestamp</t>
  </si>
  <si>
    <t>Form Trigger Timestamp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</si>
</sst>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#,##0.000"/>
  </numFmts>
  <fonts count="26">
    <font>
      <sz val="10.0"/>
      <color rgb="FF000000"/>
      <name val="Arial"/>
    </font>
    <font/>
    <font>
      <b/>
      <sz val="10.0"/>
      <color rgb="FFA4C2F4"/>
    </font>
    <font>
      <name val="Arial"/>
    </font>
    <font>
      <b/>
      <name val="Arial"/>
    </font>
    <font>
      <b/>
      <sz val="10.0"/>
      <color rgb="FFFFFFFF"/>
    </font>
    <font>
      <b/>
      <sz val="18.0"/>
      <color rgb="FFFFFFFF"/>
    </font>
    <font>
      <sz val="32.0"/>
    </font>
    <font>
      <sz val="31.0"/>
      <name val="Arial"/>
    </font>
    <font>
      <b/>
      <color rgb="FFFFFFFF"/>
      <name val="Arial"/>
    </font>
    <font>
      <b/>
      <sz val="14.0"/>
      <name val="Arial"/>
    </font>
    <font>
      <sz val="14.0"/>
      <color rgb="FFFF0000"/>
      <name val="Arial"/>
    </font>
    <font>
      <sz val="14.0"/>
      <name val="Arial"/>
    </font>
    <font>
      <sz val="36.0"/>
      <color rgb="FFFFFFFF"/>
    </font>
    <font>
      <b/>
      <color rgb="FFFFFFFF"/>
    </font>
    <font>
      <color rgb="FF000000"/>
    </font>
    <font>
      <sz val="10.0"/>
      <color rgb="FF000000"/>
    </font>
    <font>
      <color rgb="FFFFFFFF"/>
    </font>
    <font>
      <b/>
      <color rgb="FF000000"/>
    </font>
    <font>
      <sz val="6.0"/>
      <color rgb="FF073763"/>
    </font>
    <font>
      <sz val="10.0"/>
      <color rgb="FFFFFFFF"/>
    </font>
    <font>
      <b/>
      <sz val="10.0"/>
      <color rgb="FF000000"/>
    </font>
    <font>
      <sz val="6.0"/>
      <color rgb="FF073763"/>
      <name val="Arial"/>
    </font>
    <font>
      <color rgb="FFFFFFFF"/>
      <name val="Arial"/>
    </font>
    <font>
      <b/>
      <color rgb="FF000000"/>
      <name val="Arial"/>
    </font>
    <font>
      <color rgb="FF000000"/>
      <name val="Arial"/>
    </font>
  </fonts>
  <fills count="13">
    <fill>
      <patternFill patternType="none"/>
    </fill>
    <fill>
      <patternFill patternType="lightGray"/>
    </fill>
    <fill>
      <patternFill patternType="solid">
        <fgColor rgb="FF9FC5E8"/>
        <bgColor rgb="FF9FC5E8"/>
      </patternFill>
    </fill>
    <fill>
      <patternFill patternType="solid">
        <fgColor rgb="FFFF0000"/>
        <bgColor rgb="FFFF0000"/>
      </patternFill>
    </fill>
    <fill>
      <patternFill patternType="solid">
        <fgColor rgb="FFA4C2F4"/>
        <bgColor rgb="FFA4C2F4"/>
      </patternFill>
    </fill>
    <fill>
      <patternFill patternType="solid">
        <fgColor rgb="FFCFE2F3"/>
        <bgColor rgb="FFCFE2F3"/>
      </patternFill>
    </fill>
    <fill>
      <patternFill patternType="solid">
        <fgColor rgb="FF073763"/>
        <bgColor rgb="FF073763"/>
      </patternFill>
    </fill>
    <fill>
      <patternFill patternType="solid">
        <fgColor rgb="FFCCCCCC"/>
        <bgColor rgb="FFCCCC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B7B7B7"/>
        <bgColor rgb="FFB7B7B7"/>
      </patternFill>
    </fill>
    <fill>
      <patternFill patternType="solid">
        <fgColor rgb="FFD9D9D9"/>
        <bgColor rgb="FFD9D9D9"/>
      </patternFill>
    </fill>
    <fill>
      <patternFill patternType="solid">
        <fgColor rgb="FF999999"/>
        <bgColor rgb="FF999999"/>
      </patternFill>
    </fill>
  </fills>
  <borders count="24">
    <border/>
    <border>
      <left style="thin">
        <color rgb="FF000000"/>
      </left>
    </border>
    <border>
      <left style="thin">
        <color rgb="FF073763"/>
      </left>
      <top style="thin">
        <color rgb="FF073763"/>
      </top>
    </border>
    <border>
      <right style="thin">
        <color rgb="FF073763"/>
      </right>
      <top style="thin">
        <color rgb="FF073763"/>
      </top>
    </border>
    <border>
      <left style="thin">
        <color rgb="FF073763"/>
      </left>
      <right style="thin">
        <color rgb="FF073763"/>
      </right>
      <top style="thin">
        <color rgb="FF073763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73763"/>
      </left>
    </border>
    <border>
      <left style="thin">
        <color rgb="FF073763"/>
      </left>
      <right style="thin">
        <color rgb="FF073763"/>
      </right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</border>
    <border>
      <left style="thin">
        <color rgb="FFD9D9D9"/>
      </left>
      <top style="thin">
        <color rgb="FFD9D9D9"/>
      </top>
      <bottom style="thin">
        <color rgb="FFD9D9D9"/>
      </bottom>
    </border>
    <border>
      <top style="thin">
        <color rgb="FFD9D9D9"/>
      </top>
      <bottom style="thin">
        <color rgb="FFD9D9D9"/>
      </bottom>
    </border>
    <border>
      <right style="thin">
        <color rgb="FFD9D9D9"/>
      </right>
      <top style="thin">
        <color rgb="FFD9D9D9"/>
      </top>
      <bottom style="thin">
        <color rgb="FFD9D9D9"/>
      </bottom>
    </border>
    <border>
      <left style="thin">
        <color rgb="FFD9D9D9"/>
      </left>
      <right style="thin">
        <color rgb="FFD9D9D9"/>
      </right>
      <top style="thin">
        <color rgb="FFD9D9D9"/>
      </top>
    </border>
    <border>
      <left style="thin">
        <color rgb="FFD9D9D9"/>
      </left>
      <right style="thin">
        <color rgb="FFD9D9D9"/>
      </right>
    </border>
    <border>
      <left style="thin">
        <color rgb="FFD9D9D9"/>
      </left>
      <right style="thin">
        <color rgb="FFD9D9D9"/>
      </right>
      <bottom style="thin">
        <color rgb="FFD9D9D9"/>
      </bottom>
    </border>
    <border>
      <bottom style="thin">
        <color rgb="FF000000"/>
      </bottom>
    </border>
  </borders>
  <cellStyleXfs count="1">
    <xf borderId="0" fillId="0" fontId="0" numFmtId="0" applyAlignment="1" applyFont="1"/>
  </cellStyleXfs>
  <cellXfs count="190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2" fontId="2" numFmtId="0" xfId="0" applyAlignment="1" applyFill="1" applyFont="1">
      <alignment horizontal="center" vertical="bottom"/>
    </xf>
    <xf borderId="0" fillId="2" fontId="3" numFmtId="0" xfId="0" applyAlignment="1" applyFont="1">
      <alignment vertical="bottom"/>
    </xf>
    <xf borderId="0" fillId="0" fontId="1" numFmtId="0" xfId="0" applyAlignment="1" applyFont="1">
      <alignment readingOrder="0"/>
    </xf>
    <xf borderId="0" fillId="3" fontId="4" numFmtId="0" xfId="0" applyAlignment="1" applyFill="1" applyFont="1">
      <alignment horizontal="center" shrinkToFit="0" wrapText="1"/>
    </xf>
    <xf borderId="0" fillId="3" fontId="5" numFmtId="0" xfId="0" applyAlignment="1" applyFont="1">
      <alignment horizontal="center" readingOrder="0" shrinkToFit="0" vertical="center" wrapText="1"/>
    </xf>
    <xf borderId="0" fillId="4" fontId="3" numFmtId="0" xfId="0" applyAlignment="1" applyFill="1" applyFont="1">
      <alignment vertical="bottom"/>
    </xf>
    <xf borderId="0" fillId="4" fontId="6" numFmtId="0" xfId="0" applyAlignment="1" applyFont="1">
      <alignment horizontal="center" readingOrder="0" shrinkToFit="0" vertical="center" wrapText="1"/>
    </xf>
    <xf borderId="0" fillId="4" fontId="6" numFmtId="0" xfId="0" applyAlignment="1" applyFont="1">
      <alignment horizontal="left" readingOrder="0" shrinkToFit="0" vertical="center" wrapText="1"/>
    </xf>
    <xf borderId="0" fillId="0" fontId="3" numFmtId="0" xfId="0" applyAlignment="1" applyFont="1">
      <alignment vertical="bottom"/>
    </xf>
    <xf borderId="0" fillId="5" fontId="7" numFmtId="0" xfId="0" applyAlignment="1" applyFill="1" applyFont="1">
      <alignment horizontal="center" readingOrder="0" vertical="center"/>
    </xf>
    <xf borderId="0" fillId="5" fontId="8" numFmtId="0" xfId="0" applyAlignment="1" applyFont="1">
      <alignment horizontal="center"/>
    </xf>
    <xf borderId="0" fillId="0" fontId="3" numFmtId="0" xfId="0" applyAlignment="1" applyFont="1">
      <alignment vertical="bottom"/>
    </xf>
    <xf borderId="0" fillId="6" fontId="5" numFmtId="0" xfId="0" applyAlignment="1" applyFill="1" applyFont="1">
      <alignment horizontal="center" vertical="bottom"/>
    </xf>
    <xf borderId="0" fillId="4" fontId="3" numFmtId="0" xfId="0" applyAlignment="1" applyFont="1">
      <alignment horizontal="center" shrinkToFit="0" wrapText="1"/>
    </xf>
    <xf borderId="0" fillId="6" fontId="5" numFmtId="0" xfId="0" applyAlignment="1" applyFont="1">
      <alignment horizontal="center" readingOrder="0" shrinkToFit="0" vertical="center" wrapText="1"/>
    </xf>
    <xf borderId="0" fillId="3" fontId="3" numFmtId="0" xfId="0" applyAlignment="1" applyFont="1">
      <alignment horizontal="center" shrinkToFit="0" wrapText="1"/>
    </xf>
    <xf borderId="0" fillId="6" fontId="5" numFmtId="0" xfId="0" applyAlignment="1" applyFont="1">
      <alignment horizontal="left" readingOrder="0" vertical="center"/>
    </xf>
    <xf borderId="0" fillId="6" fontId="5" numFmtId="0" xfId="0" applyAlignment="1" applyFont="1">
      <alignment horizontal="right" readingOrder="0" vertical="center"/>
    </xf>
    <xf borderId="0" fillId="3" fontId="3" numFmtId="0" xfId="0" applyAlignment="1" applyFont="1">
      <alignment horizontal="center" vertical="bottom"/>
    </xf>
    <xf borderId="0" fillId="6" fontId="5" numFmtId="0" xfId="0" applyAlignment="1" applyFont="1">
      <alignment horizontal="left" readingOrder="0" vertical="center"/>
    </xf>
    <xf borderId="0" fillId="6" fontId="3" numFmtId="0" xfId="0" applyAlignment="1" applyFont="1">
      <alignment vertical="bottom"/>
    </xf>
    <xf borderId="0" fillId="0" fontId="1" numFmtId="0" xfId="0" applyAlignment="1" applyFont="1">
      <alignment readingOrder="0"/>
    </xf>
    <xf borderId="0" fillId="6" fontId="9" numFmtId="0" xfId="0" applyAlignment="1" applyFont="1">
      <alignment horizontal="center" vertical="bottom"/>
    </xf>
    <xf borderId="0" fillId="6" fontId="9" numFmtId="0" xfId="0" applyAlignment="1" applyFont="1">
      <alignment horizontal="center"/>
    </xf>
    <xf borderId="0" fillId="6" fontId="9" numFmtId="0" xfId="0" applyAlignment="1" applyFont="1">
      <alignment horizontal="center"/>
    </xf>
    <xf borderId="0" fillId="6" fontId="9" numFmtId="0" xfId="0" applyAlignment="1" applyFont="1">
      <alignment horizontal="left"/>
    </xf>
    <xf borderId="0" fillId="6" fontId="9" numFmtId="0" xfId="0" applyAlignment="1" applyFont="1">
      <alignment horizontal="left"/>
    </xf>
    <xf borderId="0" fillId="6" fontId="9" numFmtId="0" xfId="0" applyAlignment="1" applyFont="1">
      <alignment horizontal="center" shrinkToFit="0" wrapText="1"/>
    </xf>
    <xf borderId="0" fillId="6" fontId="9" numFmtId="0" xfId="0" applyAlignment="1" applyFont="1">
      <alignment horizontal="center" shrinkToFit="0" wrapText="1"/>
    </xf>
    <xf borderId="0" fillId="7" fontId="10" numFmtId="0" xfId="0" applyAlignment="1" applyFill="1" applyFont="1">
      <alignment vertical="bottom"/>
    </xf>
    <xf borderId="0" fillId="7" fontId="10" numFmtId="0" xfId="0" applyAlignment="1" applyFont="1">
      <alignment horizontal="center" vertical="bottom"/>
    </xf>
    <xf borderId="0" fillId="3" fontId="1" numFmtId="0" xfId="0" applyAlignment="1" applyFont="1">
      <alignment horizontal="center" readingOrder="0"/>
    </xf>
    <xf borderId="0" fillId="0" fontId="11" numFmtId="0" xfId="0" applyAlignment="1" applyFont="1">
      <alignment horizontal="center" readingOrder="0" vertical="bottom"/>
    </xf>
    <xf borderId="0" fillId="0" fontId="1" numFmtId="0" xfId="0" applyAlignment="1" applyFont="1">
      <alignment horizontal="center" readingOrder="0"/>
    </xf>
    <xf borderId="0" fillId="0" fontId="1" numFmtId="0" xfId="0" applyAlignment="1" applyFont="1">
      <alignment horizontal="right" readingOrder="0"/>
    </xf>
    <xf borderId="0" fillId="0" fontId="3" numFmtId="0" xfId="0" applyAlignment="1" applyFont="1">
      <alignment horizontal="right" vertical="bottom"/>
    </xf>
    <xf borderId="0" fillId="7" fontId="10" numFmtId="0" xfId="0" applyAlignment="1" applyFont="1">
      <alignment horizontal="center" readingOrder="0" vertical="bottom"/>
    </xf>
    <xf borderId="0" fillId="0" fontId="12" numFmtId="0" xfId="0" applyAlignment="1" applyFont="1">
      <alignment vertical="bottom"/>
    </xf>
    <xf borderId="0" fillId="0" fontId="3" numFmtId="0" xfId="0" applyAlignment="1" applyFont="1">
      <alignment horizontal="center" vertical="bottom"/>
    </xf>
    <xf borderId="0" fillId="0" fontId="3" numFmtId="0" xfId="0" applyAlignment="1" applyFont="1">
      <alignment horizontal="right" vertical="bottom"/>
    </xf>
    <xf borderId="0" fillId="0" fontId="3" numFmtId="0" xfId="0" applyAlignment="1" applyFont="1">
      <alignment horizontal="center" readingOrder="0" vertical="bottom"/>
    </xf>
    <xf borderId="0" fillId="0" fontId="3" numFmtId="0" xfId="0" applyAlignment="1" applyFont="1">
      <alignment readingOrder="0" vertical="bottom"/>
    </xf>
    <xf borderId="0" fillId="0" fontId="3" numFmtId="0" xfId="0" applyAlignment="1" applyFont="1">
      <alignment horizontal="right" readingOrder="0" vertical="bottom"/>
    </xf>
    <xf borderId="0" fillId="0" fontId="3" numFmtId="0" xfId="0" applyAlignment="1" applyFont="1">
      <alignment readingOrder="0" vertical="bottom"/>
    </xf>
    <xf borderId="0" fillId="0" fontId="10" numFmtId="0" xfId="0" applyAlignment="1" applyFont="1">
      <alignment vertical="bottom"/>
    </xf>
    <xf borderId="0" fillId="0" fontId="10" numFmtId="0" xfId="0" applyAlignment="1" applyFont="1">
      <alignment horizontal="center" vertical="bottom"/>
    </xf>
    <xf borderId="0" fillId="0" fontId="10" numFmtId="0" xfId="0" applyAlignment="1" applyFont="1">
      <alignment horizontal="center" readingOrder="0" vertical="bottom"/>
    </xf>
    <xf borderId="0" fillId="0" fontId="3" numFmtId="0" xfId="0" applyAlignment="1" applyFont="1">
      <alignment horizontal="center" readingOrder="0" vertical="bottom"/>
    </xf>
    <xf borderId="0" fillId="3" fontId="3" numFmtId="0" xfId="0" applyAlignment="1" applyFont="1">
      <alignment shrinkToFit="0" wrapText="1"/>
    </xf>
    <xf borderId="0" fillId="8" fontId="4" numFmtId="0" xfId="0" applyAlignment="1" applyFill="1" applyFont="1">
      <alignment horizontal="center" vertical="bottom"/>
    </xf>
    <xf borderId="0" fillId="8" fontId="3" numFmtId="0" xfId="0" applyAlignment="1" applyFont="1">
      <alignment vertical="bottom"/>
    </xf>
    <xf borderId="0" fillId="3" fontId="3" numFmtId="0" xfId="0" applyAlignment="1" applyFont="1">
      <alignment vertical="bottom"/>
    </xf>
    <xf borderId="0" fillId="0" fontId="3" numFmtId="0" xfId="0" applyAlignment="1" applyFont="1">
      <alignment horizontal="left" vertical="bottom"/>
    </xf>
    <xf borderId="0" fillId="0" fontId="3" numFmtId="0" xfId="0" applyAlignment="1" applyFont="1">
      <alignment horizontal="center" vertical="bottom"/>
    </xf>
    <xf borderId="0" fillId="6" fontId="13" numFmtId="0" xfId="0" applyAlignment="1" applyFont="1">
      <alignment horizontal="center" readingOrder="0" vertical="center"/>
    </xf>
    <xf borderId="0" fillId="6" fontId="5" numFmtId="0" xfId="0" applyAlignment="1" applyFont="1">
      <alignment horizontal="center" readingOrder="0" vertical="center"/>
    </xf>
    <xf borderId="0" fillId="6" fontId="14" numFmtId="0" xfId="0" applyAlignment="1" applyFont="1">
      <alignment horizontal="center" readingOrder="0" vertical="center"/>
    </xf>
    <xf borderId="0" fillId="0" fontId="15" numFmtId="0" xfId="0" applyAlignment="1" applyFont="1">
      <alignment horizontal="center" readingOrder="0"/>
    </xf>
    <xf borderId="0" fillId="9" fontId="16" numFmtId="0" xfId="0" applyAlignment="1" applyFill="1" applyFont="1">
      <alignment horizontal="center" readingOrder="0" vertical="center"/>
    </xf>
    <xf borderId="0" fillId="0" fontId="15" numFmtId="0" xfId="0" applyAlignment="1" applyFont="1">
      <alignment horizontal="center"/>
    </xf>
    <xf borderId="0" fillId="0" fontId="15" numFmtId="0" xfId="0" applyAlignment="1" applyFont="1">
      <alignment horizontal="left"/>
    </xf>
    <xf borderId="1" fillId="0" fontId="15" numFmtId="0" xfId="0" applyAlignment="1" applyBorder="1" applyFont="1">
      <alignment horizontal="center"/>
    </xf>
    <xf borderId="0" fillId="6" fontId="17" numFmtId="0" xfId="0" applyAlignment="1" applyFont="1">
      <alignment horizontal="center"/>
    </xf>
    <xf borderId="0" fillId="0" fontId="1" numFmtId="0" xfId="0" applyAlignment="1" applyFont="1">
      <alignment horizontal="center"/>
    </xf>
    <xf borderId="0" fillId="8" fontId="1" numFmtId="0" xfId="0" applyAlignment="1" applyFont="1">
      <alignment horizontal="center"/>
    </xf>
    <xf borderId="0" fillId="7" fontId="18" numFmtId="0" xfId="0" applyAlignment="1" applyFont="1">
      <alignment horizontal="center" readingOrder="0" vertical="center"/>
    </xf>
    <xf borderId="0" fillId="7" fontId="15" numFmtId="0" xfId="0" applyAlignment="1" applyFont="1">
      <alignment horizontal="center" readingOrder="0"/>
    </xf>
    <xf borderId="0" fillId="7" fontId="15" numFmtId="0" xfId="0" applyAlignment="1" applyFont="1">
      <alignment horizontal="center"/>
    </xf>
    <xf borderId="0" fillId="7" fontId="15" numFmtId="0" xfId="0" applyAlignment="1" applyFont="1">
      <alignment horizontal="left"/>
    </xf>
    <xf borderId="1" fillId="7" fontId="15" numFmtId="0" xfId="0" applyAlignment="1" applyBorder="1" applyFont="1">
      <alignment horizontal="center"/>
    </xf>
    <xf borderId="0" fillId="7" fontId="1" numFmtId="0" xfId="0" applyAlignment="1" applyFont="1">
      <alignment horizontal="center"/>
    </xf>
    <xf borderId="0" fillId="10" fontId="18" numFmtId="0" xfId="0" applyAlignment="1" applyFill="1" applyFont="1">
      <alignment horizontal="center" readingOrder="0" vertical="center"/>
    </xf>
    <xf borderId="0" fillId="0" fontId="1" numFmtId="0" xfId="0" applyAlignment="1" applyFont="1">
      <alignment horizontal="right"/>
    </xf>
    <xf borderId="0" fillId="8" fontId="1" numFmtId="0" xfId="0" applyAlignment="1" applyFont="1">
      <alignment horizontal="center" readingOrder="0"/>
    </xf>
    <xf borderId="0" fillId="0" fontId="1" numFmtId="0" xfId="0" applyAlignment="1" applyFont="1">
      <alignment horizontal="left"/>
    </xf>
    <xf borderId="0" fillId="6" fontId="15" numFmtId="0" xfId="0" applyAlignment="1" applyFont="1">
      <alignment horizontal="center"/>
    </xf>
    <xf borderId="0" fillId="0" fontId="1" numFmtId="164" xfId="0" applyAlignment="1" applyFont="1" applyNumberFormat="1">
      <alignment horizontal="center"/>
    </xf>
    <xf borderId="0" fillId="7" fontId="1" numFmtId="164" xfId="0" applyAlignment="1" applyFont="1" applyNumberFormat="1">
      <alignment horizontal="center"/>
    </xf>
    <xf borderId="0" fillId="6" fontId="5" numFmtId="0" xfId="0" applyAlignment="1" applyFont="1">
      <alignment horizontal="center" readingOrder="0" vertical="bottom"/>
    </xf>
    <xf borderId="0" fillId="6" fontId="19" numFmtId="0" xfId="0" applyFont="1"/>
    <xf borderId="0" fillId="6" fontId="19" numFmtId="0" xfId="0" applyAlignment="1" applyFont="1">
      <alignment horizontal="center" readingOrder="0"/>
    </xf>
    <xf borderId="0" fillId="6" fontId="19" numFmtId="0" xfId="0" applyAlignment="1" applyFont="1">
      <alignment readingOrder="0"/>
    </xf>
    <xf borderId="0" fillId="6" fontId="19" numFmtId="0" xfId="0" applyAlignment="1" applyFont="1">
      <alignment horizontal="center" readingOrder="0" vertical="bottom"/>
    </xf>
    <xf borderId="0" fillId="0" fontId="1" numFmtId="0" xfId="0" applyAlignment="1" applyFont="1">
      <alignment horizontal="center" readingOrder="0" vertical="bottom"/>
    </xf>
    <xf borderId="0" fillId="0" fontId="1" numFmtId="0" xfId="0" applyAlignment="1" applyFont="1">
      <alignment horizontal="left" readingOrder="0"/>
    </xf>
    <xf borderId="0" fillId="6" fontId="20" numFmtId="0" xfId="0" applyAlignment="1" applyFont="1">
      <alignment horizontal="center" vertical="bottom"/>
    </xf>
    <xf borderId="0" fillId="9" fontId="1" numFmtId="0" xfId="0" applyAlignment="1" applyFont="1">
      <alignment horizontal="center" readingOrder="0" vertical="bottom"/>
    </xf>
    <xf borderId="0" fillId="9" fontId="15" numFmtId="0" xfId="0" applyAlignment="1" applyFont="1">
      <alignment horizontal="center" readingOrder="0" vertical="bottom"/>
    </xf>
    <xf borderId="0" fillId="8" fontId="21" numFmtId="0" xfId="0" applyAlignment="1" applyFont="1">
      <alignment horizontal="center" vertical="bottom"/>
    </xf>
    <xf borderId="0" fillId="0" fontId="1" numFmtId="164" xfId="0" applyAlignment="1" applyFont="1" applyNumberFormat="1">
      <alignment horizontal="center" vertical="bottom"/>
    </xf>
    <xf borderId="0" fillId="0" fontId="3" numFmtId="0" xfId="0" applyAlignment="1" applyFont="1">
      <alignment horizontal="left" readingOrder="0" vertical="bottom"/>
    </xf>
    <xf borderId="0" fillId="0" fontId="1" numFmtId="0" xfId="0" applyAlignment="1" applyFont="1">
      <alignment horizontal="center" vertical="bottom"/>
    </xf>
    <xf borderId="0" fillId="0" fontId="3" numFmtId="0" xfId="0" applyAlignment="1" applyFont="1">
      <alignment horizontal="left" vertical="bottom"/>
    </xf>
    <xf borderId="0" fillId="6" fontId="9" numFmtId="0" xfId="0" applyAlignment="1" applyFont="1">
      <alignment horizontal="center"/>
    </xf>
    <xf borderId="0" fillId="6" fontId="9" numFmtId="0" xfId="0" applyAlignment="1" applyFont="1">
      <alignment horizontal="center"/>
    </xf>
    <xf borderId="0" fillId="6" fontId="22" numFmtId="0" xfId="0" applyAlignment="1" applyFont="1">
      <alignment vertical="bottom"/>
    </xf>
    <xf borderId="0" fillId="6" fontId="22" numFmtId="0" xfId="0" applyAlignment="1" applyFont="1">
      <alignment horizontal="center" vertical="bottom"/>
    </xf>
    <xf borderId="0" fillId="6" fontId="3" numFmtId="0" xfId="0" applyAlignment="1" applyFont="1">
      <alignment vertical="bottom"/>
    </xf>
    <xf borderId="0" fillId="6" fontId="13" numFmtId="0" xfId="0" applyAlignment="1" applyFont="1">
      <alignment horizontal="center" readingOrder="0"/>
    </xf>
    <xf borderId="2" fillId="6" fontId="17" numFmtId="0" xfId="0" applyBorder="1" applyFont="1"/>
    <xf borderId="2" fillId="6" fontId="14" numFmtId="0" xfId="0" applyAlignment="1" applyBorder="1" applyFont="1">
      <alignment horizontal="center" readingOrder="0"/>
    </xf>
    <xf borderId="3" fillId="0" fontId="1" numFmtId="0" xfId="0" applyBorder="1" applyFont="1"/>
    <xf borderId="4" fillId="6" fontId="14" numFmtId="0" xfId="0" applyAlignment="1" applyBorder="1" applyFont="1">
      <alignment horizontal="center" readingOrder="0"/>
    </xf>
    <xf borderId="5" fillId="9" fontId="1" numFmtId="0" xfId="0" applyBorder="1" applyFont="1"/>
    <xf borderId="6" fillId="9" fontId="1" numFmtId="0" xfId="0" applyAlignment="1" applyBorder="1" applyFont="1">
      <alignment horizontal="center" readingOrder="0"/>
    </xf>
    <xf borderId="7" fillId="9" fontId="1" numFmtId="0" xfId="0" applyAlignment="1" applyBorder="1" applyFont="1">
      <alignment horizontal="center"/>
    </xf>
    <xf borderId="6" fillId="9" fontId="1" numFmtId="0" xfId="0" applyAlignment="1" applyBorder="1" applyFont="1">
      <alignment horizontal="center"/>
    </xf>
    <xf borderId="8" fillId="9" fontId="1" numFmtId="0" xfId="0" applyAlignment="1" applyBorder="1" applyFont="1">
      <alignment horizontal="center"/>
    </xf>
    <xf borderId="7" fillId="9" fontId="1" numFmtId="0" xfId="0" applyAlignment="1" applyBorder="1" applyFont="1">
      <alignment horizontal="center" readingOrder="0"/>
    </xf>
    <xf borderId="5" fillId="9" fontId="1" numFmtId="0" xfId="0" applyAlignment="1" applyBorder="1" applyFont="1">
      <alignment horizontal="center"/>
    </xf>
    <xf borderId="9" fillId="11" fontId="1" numFmtId="0" xfId="0" applyBorder="1" applyFill="1" applyFont="1"/>
    <xf borderId="1" fillId="11" fontId="1" numFmtId="0" xfId="0" applyAlignment="1" applyBorder="1" applyFont="1">
      <alignment horizontal="center" readingOrder="0"/>
    </xf>
    <xf borderId="0" fillId="11" fontId="1" numFmtId="0" xfId="0" applyAlignment="1" applyFont="1">
      <alignment horizontal="center"/>
    </xf>
    <xf borderId="1" fillId="11" fontId="1" numFmtId="0" xfId="0" applyAlignment="1" applyBorder="1" applyFont="1">
      <alignment horizontal="center"/>
    </xf>
    <xf borderId="10" fillId="11" fontId="1" numFmtId="0" xfId="0" applyAlignment="1" applyBorder="1" applyFont="1">
      <alignment horizontal="center"/>
    </xf>
    <xf borderId="0" fillId="11" fontId="1" numFmtId="0" xfId="0" applyAlignment="1" applyFont="1">
      <alignment horizontal="center" readingOrder="0"/>
    </xf>
    <xf borderId="9" fillId="11" fontId="1" numFmtId="0" xfId="0" applyAlignment="1" applyBorder="1" applyFont="1">
      <alignment horizontal="center"/>
    </xf>
    <xf borderId="9" fillId="9" fontId="1" numFmtId="0" xfId="0" applyBorder="1" applyFont="1"/>
    <xf borderId="1" fillId="9" fontId="1" numFmtId="0" xfId="0" applyAlignment="1" applyBorder="1" applyFont="1">
      <alignment horizontal="center" readingOrder="0"/>
    </xf>
    <xf borderId="0" fillId="9" fontId="1" numFmtId="0" xfId="0" applyAlignment="1" applyFont="1">
      <alignment horizontal="center"/>
    </xf>
    <xf borderId="1" fillId="9" fontId="1" numFmtId="0" xfId="0" applyAlignment="1" applyBorder="1" applyFont="1">
      <alignment horizontal="center"/>
    </xf>
    <xf borderId="10" fillId="9" fontId="1" numFmtId="0" xfId="0" applyAlignment="1" applyBorder="1" applyFont="1">
      <alignment horizontal="center"/>
    </xf>
    <xf borderId="0" fillId="9" fontId="1" numFmtId="0" xfId="0" applyAlignment="1" applyFont="1">
      <alignment horizontal="center" readingOrder="0"/>
    </xf>
    <xf borderId="9" fillId="9" fontId="1" numFmtId="0" xfId="0" applyAlignment="1" applyBorder="1" applyFont="1">
      <alignment horizontal="center"/>
    </xf>
    <xf borderId="10" fillId="11" fontId="1" numFmtId="0" xfId="0" applyAlignment="1" applyBorder="1" applyFont="1">
      <alignment horizontal="center" readingOrder="0"/>
    </xf>
    <xf borderId="1" fillId="11" fontId="1" numFmtId="0" xfId="0" applyAlignment="1" applyBorder="1" applyFont="1">
      <alignment readingOrder="0"/>
    </xf>
    <xf borderId="10" fillId="11" fontId="1" numFmtId="0" xfId="0" applyBorder="1" applyFont="1"/>
    <xf borderId="1" fillId="11" fontId="1" numFmtId="0" xfId="0" applyBorder="1" applyFont="1"/>
    <xf borderId="9" fillId="0" fontId="1" numFmtId="0" xfId="0" applyBorder="1" applyFont="1"/>
    <xf borderId="1" fillId="0" fontId="1" numFmtId="0" xfId="0" applyBorder="1" applyFont="1"/>
    <xf borderId="10" fillId="0" fontId="1" numFmtId="0" xfId="0" applyBorder="1" applyFont="1"/>
    <xf borderId="9" fillId="0" fontId="1" numFmtId="0" xfId="0" applyAlignment="1" applyBorder="1" applyFont="1">
      <alignment horizontal="center"/>
    </xf>
    <xf borderId="11" fillId="0" fontId="1" numFmtId="0" xfId="0" applyBorder="1" applyFont="1"/>
    <xf borderId="12" fillId="0" fontId="1" numFmtId="0" xfId="0" applyBorder="1" applyFont="1"/>
    <xf borderId="13" fillId="0" fontId="1" numFmtId="0" xfId="0" applyBorder="1" applyFont="1"/>
    <xf borderId="12" fillId="9" fontId="1" numFmtId="0" xfId="0" applyBorder="1" applyFont="1"/>
    <xf borderId="11" fillId="0" fontId="1" numFmtId="0" xfId="0" applyAlignment="1" applyBorder="1" applyFont="1">
      <alignment horizontal="center"/>
    </xf>
    <xf borderId="14" fillId="6" fontId="14" numFmtId="0" xfId="0" applyAlignment="1" applyBorder="1" applyFont="1">
      <alignment horizontal="center" readingOrder="0"/>
    </xf>
    <xf borderId="15" fillId="6" fontId="14" numFmtId="0" xfId="0" applyAlignment="1" applyBorder="1" applyFont="1">
      <alignment horizontal="center" readingOrder="0"/>
    </xf>
    <xf borderId="0" fillId="0" fontId="15" numFmtId="0" xfId="0" applyFont="1"/>
    <xf borderId="16" fillId="6" fontId="5" numFmtId="0" xfId="0" applyAlignment="1" applyBorder="1" applyFont="1">
      <alignment horizontal="center" vertical="bottom"/>
    </xf>
    <xf borderId="16" fillId="6" fontId="5" numFmtId="0" xfId="0" applyAlignment="1" applyBorder="1" applyFont="1">
      <alignment horizontal="center" readingOrder="0" shrinkToFit="0" vertical="center" wrapText="1"/>
    </xf>
    <xf borderId="16" fillId="6" fontId="5" numFmtId="0" xfId="0" applyAlignment="1" applyBorder="1" applyFont="1">
      <alignment horizontal="left" readingOrder="0" vertical="center"/>
    </xf>
    <xf borderId="16" fillId="6" fontId="5" numFmtId="0" xfId="0" applyAlignment="1" applyBorder="1" applyFont="1">
      <alignment horizontal="center" readingOrder="0" vertical="center"/>
    </xf>
    <xf borderId="17" fillId="6" fontId="5" numFmtId="0" xfId="0" applyAlignment="1" applyBorder="1" applyFont="1">
      <alignment horizontal="center" readingOrder="0" vertical="center"/>
    </xf>
    <xf borderId="18" fillId="0" fontId="1" numFmtId="0" xfId="0" applyBorder="1" applyFont="1"/>
    <xf borderId="19" fillId="0" fontId="1" numFmtId="0" xfId="0" applyBorder="1" applyFont="1"/>
    <xf borderId="16" fillId="6" fontId="5" numFmtId="0" xfId="0" applyAlignment="1" applyBorder="1" applyFont="1">
      <alignment horizontal="center" readingOrder="0" shrinkToFit="0" vertical="center" wrapText="1"/>
    </xf>
    <xf borderId="20" fillId="6" fontId="14" numFmtId="0" xfId="0" applyAlignment="1" applyBorder="1" applyFont="1">
      <alignment horizontal="center" readingOrder="0" vertical="center"/>
    </xf>
    <xf borderId="16" fillId="6" fontId="17" numFmtId="0" xfId="0" applyAlignment="1" applyBorder="1" applyFont="1">
      <alignment horizontal="center" readingOrder="0"/>
    </xf>
    <xf borderId="16" fillId="6" fontId="17" numFmtId="0" xfId="0" applyAlignment="1" applyBorder="1" applyFont="1">
      <alignment horizontal="center"/>
    </xf>
    <xf borderId="16" fillId="6" fontId="17" numFmtId="0" xfId="0" applyAlignment="1" applyBorder="1" applyFont="1">
      <alignment horizontal="left"/>
    </xf>
    <xf borderId="21" fillId="0" fontId="1" numFmtId="0" xfId="0" applyBorder="1" applyFont="1"/>
    <xf borderId="22" fillId="0" fontId="1" numFmtId="0" xfId="0" applyBorder="1" applyFont="1"/>
    <xf borderId="0" fillId="7" fontId="21" numFmtId="0" xfId="0" applyAlignment="1" applyFont="1">
      <alignment horizontal="center" readingOrder="0" vertical="center"/>
    </xf>
    <xf borderId="0" fillId="6" fontId="17" numFmtId="0" xfId="0" applyAlignment="1" applyFont="1">
      <alignment horizontal="center" readingOrder="0"/>
    </xf>
    <xf borderId="0" fillId="6" fontId="17" numFmtId="0" xfId="0" applyAlignment="1" applyFont="1">
      <alignment horizontal="left"/>
    </xf>
    <xf borderId="1" fillId="6" fontId="17" numFmtId="0" xfId="0" applyAlignment="1" applyBorder="1" applyFont="1">
      <alignment horizontal="center"/>
    </xf>
    <xf borderId="0" fillId="6" fontId="5" numFmtId="0" xfId="0" applyAlignment="1" applyFont="1">
      <alignment horizontal="center" readingOrder="0" vertical="center"/>
    </xf>
    <xf borderId="0" fillId="7" fontId="21" numFmtId="0" xfId="0" applyAlignment="1" applyFont="1">
      <alignment horizontal="center" readingOrder="0" vertical="center"/>
    </xf>
    <xf borderId="0" fillId="6" fontId="9" numFmtId="0" xfId="0" applyAlignment="1" applyFont="1">
      <alignment horizontal="center" readingOrder="0" vertical="center"/>
    </xf>
    <xf borderId="0" fillId="6" fontId="23" numFmtId="0" xfId="0" applyAlignment="1" applyFont="1">
      <alignment horizontal="center" vertical="bottom"/>
    </xf>
    <xf borderId="10" fillId="6" fontId="3" numFmtId="0" xfId="0" applyAlignment="1" applyBorder="1" applyFont="1">
      <alignment vertical="bottom"/>
    </xf>
    <xf borderId="6" fillId="6" fontId="17" numFmtId="0" xfId="0" applyAlignment="1" applyBorder="1" applyFont="1">
      <alignment horizontal="center" readingOrder="0"/>
    </xf>
    <xf borderId="7" fillId="6" fontId="17" numFmtId="0" xfId="0" applyAlignment="1" applyBorder="1" applyFont="1">
      <alignment horizontal="center" readingOrder="0"/>
    </xf>
    <xf borderId="7" fillId="6" fontId="17" numFmtId="0" xfId="0" applyAlignment="1" applyBorder="1" applyFont="1">
      <alignment horizontal="center"/>
    </xf>
    <xf borderId="7" fillId="6" fontId="17" numFmtId="0" xfId="0" applyAlignment="1" applyBorder="1" applyFont="1">
      <alignment horizontal="left"/>
    </xf>
    <xf borderId="6" fillId="6" fontId="17" numFmtId="0" xfId="0" applyAlignment="1" applyBorder="1" applyFont="1">
      <alignment horizontal="center"/>
    </xf>
    <xf borderId="8" fillId="6" fontId="17" numFmtId="0" xfId="0" applyAlignment="1" applyBorder="1" applyFont="1">
      <alignment horizontal="center"/>
    </xf>
    <xf borderId="12" fillId="7" fontId="15" numFmtId="0" xfId="0" applyAlignment="1" applyBorder="1" applyFont="1">
      <alignment horizontal="center" readingOrder="0"/>
    </xf>
    <xf borderId="23" fillId="7" fontId="15" numFmtId="0" xfId="0" applyAlignment="1" applyBorder="1" applyFont="1">
      <alignment horizontal="center" readingOrder="0"/>
    </xf>
    <xf borderId="23" fillId="7" fontId="15" numFmtId="0" xfId="0" applyAlignment="1" applyBorder="1" applyFont="1">
      <alignment horizontal="center"/>
    </xf>
    <xf borderId="23" fillId="7" fontId="15" numFmtId="0" xfId="0" applyAlignment="1" applyBorder="1" applyFont="1">
      <alignment horizontal="left"/>
    </xf>
    <xf borderId="13" fillId="7" fontId="15" numFmtId="0" xfId="0" applyAlignment="1" applyBorder="1" applyFont="1">
      <alignment horizontal="center"/>
    </xf>
    <xf borderId="0" fillId="7" fontId="24" numFmtId="0" xfId="0" applyAlignment="1" applyFont="1">
      <alignment horizontal="center" readingOrder="0" vertical="center"/>
    </xf>
    <xf borderId="0" fillId="7" fontId="25" numFmtId="0" xfId="0" applyAlignment="1" applyFont="1">
      <alignment horizontal="center" vertical="bottom"/>
    </xf>
    <xf borderId="0" fillId="7" fontId="3" numFmtId="0" xfId="0" applyAlignment="1" applyFont="1">
      <alignment vertical="bottom"/>
    </xf>
    <xf borderId="0" fillId="7" fontId="3" numFmtId="0" xfId="0" applyAlignment="1" applyFont="1">
      <alignment vertical="bottom"/>
    </xf>
    <xf borderId="10" fillId="7" fontId="3" numFmtId="0" xfId="0" applyAlignment="1" applyBorder="1" applyFont="1">
      <alignment vertical="bottom"/>
    </xf>
    <xf borderId="16" fillId="6" fontId="17" numFmtId="164" xfId="0" applyAlignment="1" applyBorder="1" applyFont="1" applyNumberFormat="1">
      <alignment horizontal="center"/>
    </xf>
    <xf borderId="0" fillId="6" fontId="17" numFmtId="164" xfId="0" applyAlignment="1" applyFont="1" applyNumberFormat="1">
      <alignment horizontal="center"/>
    </xf>
    <xf borderId="0" fillId="7" fontId="15" numFmtId="164" xfId="0" applyAlignment="1" applyFont="1" applyNumberFormat="1">
      <alignment horizontal="center"/>
    </xf>
    <xf borderId="0" fillId="9" fontId="15" numFmtId="0" xfId="0" applyAlignment="1" applyFont="1">
      <alignment horizontal="center"/>
    </xf>
    <xf borderId="0" fillId="9" fontId="15" numFmtId="0" xfId="0" applyFont="1"/>
    <xf borderId="0" fillId="9" fontId="15" numFmtId="164" xfId="0" applyAlignment="1" applyFont="1" applyNumberFormat="1">
      <alignment horizontal="center"/>
    </xf>
    <xf borderId="0" fillId="6" fontId="3" numFmtId="164" xfId="0" applyAlignment="1" applyFont="1" applyNumberFormat="1">
      <alignment vertical="bottom"/>
    </xf>
    <xf borderId="0" fillId="10" fontId="1" numFmtId="0" xfId="0" applyAlignment="1" applyFont="1">
      <alignment horizontal="center" readingOrder="0"/>
    </xf>
    <xf borderId="0" fillId="12" fontId="1" numFmtId="0" xfId="0" applyAlignment="1" applyFill="1" applyFont="1">
      <alignment horizontal="center" readingOrder="0"/>
    </xf>
  </cellXfs>
  <cellStyles count="1">
    <cellStyle xfId="0" name="Normal" builtinId="0"/>
  </cellStyles>
  <dxfs count="3">
    <dxf>
      <font>
        <color rgb="FFFFFFFF"/>
      </font>
      <fill>
        <patternFill patternType="solid">
          <fgColor rgb="FFFF0000"/>
          <bgColor rgb="FFFF0000"/>
        </patternFill>
      </fill>
      <border/>
    </dxf>
    <dxf>
      <font/>
      <fill>
        <patternFill patternType="solid">
          <fgColor rgb="FFF4C7C3"/>
          <bgColor rgb="FFF4C7C3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40" Type="http://schemas.openxmlformats.org/officeDocument/2006/relationships/worksheet" Target="worksheets/sheet38.xml"/><Relationship Id="rId20" Type="http://schemas.openxmlformats.org/officeDocument/2006/relationships/worksheet" Target="worksheets/sheet18.xml"/><Relationship Id="rId42" Type="http://schemas.openxmlformats.org/officeDocument/2006/relationships/worksheet" Target="worksheets/sheet40.xml"/><Relationship Id="rId41" Type="http://schemas.openxmlformats.org/officeDocument/2006/relationships/worksheet" Target="worksheets/sheet39.xml"/><Relationship Id="rId22" Type="http://schemas.openxmlformats.org/officeDocument/2006/relationships/worksheet" Target="worksheets/sheet20.xml"/><Relationship Id="rId44" Type="http://schemas.openxmlformats.org/officeDocument/2006/relationships/worksheet" Target="worksheets/sheet42.xml"/><Relationship Id="rId21" Type="http://schemas.openxmlformats.org/officeDocument/2006/relationships/worksheet" Target="worksheets/sheet19.xml"/><Relationship Id="rId43" Type="http://schemas.openxmlformats.org/officeDocument/2006/relationships/worksheet" Target="worksheets/sheet41.xml"/><Relationship Id="rId24" Type="http://schemas.openxmlformats.org/officeDocument/2006/relationships/worksheet" Target="worksheets/sheet22.xml"/><Relationship Id="rId46" Type="http://schemas.openxmlformats.org/officeDocument/2006/relationships/worksheet" Target="worksheets/sheet44.xml"/><Relationship Id="rId23" Type="http://schemas.openxmlformats.org/officeDocument/2006/relationships/worksheet" Target="worksheets/sheet21.xml"/><Relationship Id="rId45" Type="http://schemas.openxmlformats.org/officeDocument/2006/relationships/worksheet" Target="worksheets/sheet43.xml"/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9" Type="http://schemas.openxmlformats.org/officeDocument/2006/relationships/worksheet" Target="worksheets/sheet7.xml"/><Relationship Id="rId26" Type="http://schemas.openxmlformats.org/officeDocument/2006/relationships/worksheet" Target="worksheets/sheet24.xml"/><Relationship Id="rId25" Type="http://schemas.openxmlformats.org/officeDocument/2006/relationships/worksheet" Target="worksheets/sheet23.xml"/><Relationship Id="rId28" Type="http://schemas.openxmlformats.org/officeDocument/2006/relationships/worksheet" Target="worksheets/sheet26.xml"/><Relationship Id="rId27" Type="http://schemas.openxmlformats.org/officeDocument/2006/relationships/worksheet" Target="worksheets/sheet25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29" Type="http://schemas.openxmlformats.org/officeDocument/2006/relationships/worksheet" Target="worksheets/sheet27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31" Type="http://schemas.openxmlformats.org/officeDocument/2006/relationships/worksheet" Target="worksheets/sheet29.xml"/><Relationship Id="rId30" Type="http://schemas.openxmlformats.org/officeDocument/2006/relationships/worksheet" Target="worksheets/sheet28.xml"/><Relationship Id="rId11" Type="http://schemas.openxmlformats.org/officeDocument/2006/relationships/worksheet" Target="worksheets/sheet9.xml"/><Relationship Id="rId33" Type="http://schemas.openxmlformats.org/officeDocument/2006/relationships/worksheet" Target="worksheets/sheet31.xml"/><Relationship Id="rId10" Type="http://schemas.openxmlformats.org/officeDocument/2006/relationships/worksheet" Target="worksheets/sheet8.xml"/><Relationship Id="rId32" Type="http://schemas.openxmlformats.org/officeDocument/2006/relationships/worksheet" Target="worksheets/sheet30.xml"/><Relationship Id="rId13" Type="http://schemas.openxmlformats.org/officeDocument/2006/relationships/worksheet" Target="worksheets/sheet11.xml"/><Relationship Id="rId35" Type="http://schemas.openxmlformats.org/officeDocument/2006/relationships/worksheet" Target="worksheets/sheet33.xml"/><Relationship Id="rId12" Type="http://schemas.openxmlformats.org/officeDocument/2006/relationships/worksheet" Target="worksheets/sheet10.xml"/><Relationship Id="rId34" Type="http://schemas.openxmlformats.org/officeDocument/2006/relationships/worksheet" Target="worksheets/sheet32.xml"/><Relationship Id="rId15" Type="http://schemas.openxmlformats.org/officeDocument/2006/relationships/worksheet" Target="worksheets/sheet13.xml"/><Relationship Id="rId37" Type="http://schemas.openxmlformats.org/officeDocument/2006/relationships/worksheet" Target="worksheets/sheet35.xml"/><Relationship Id="rId14" Type="http://schemas.openxmlformats.org/officeDocument/2006/relationships/worksheet" Target="worksheets/sheet12.xml"/><Relationship Id="rId36" Type="http://schemas.openxmlformats.org/officeDocument/2006/relationships/worksheet" Target="worksheets/sheet34.xml"/><Relationship Id="rId17" Type="http://schemas.openxmlformats.org/officeDocument/2006/relationships/worksheet" Target="worksheets/sheet15.xml"/><Relationship Id="rId39" Type="http://schemas.openxmlformats.org/officeDocument/2006/relationships/worksheet" Target="worksheets/sheet37.xml"/><Relationship Id="rId16" Type="http://schemas.openxmlformats.org/officeDocument/2006/relationships/worksheet" Target="worksheets/sheet14.xml"/><Relationship Id="rId38" Type="http://schemas.openxmlformats.org/officeDocument/2006/relationships/worksheet" Target="worksheets/sheet36.xml"/><Relationship Id="rId19" Type="http://schemas.openxmlformats.org/officeDocument/2006/relationships/worksheet" Target="worksheets/sheet17.xml"/><Relationship Id="rId18" Type="http://schemas.openxmlformats.org/officeDocument/2006/relationships/worksheet" Target="worksheets/sheet1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2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2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3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3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3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3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3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3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3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3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3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3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4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4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4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4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4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3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3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3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6.xml"/></Relationships>
</file>

<file path=xl/worksheets/_rels/sheet3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3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8.xml"/></Relationships>
</file>

<file path=xl/worksheets/_rels/sheet3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9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4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1.xml"/></Relationships>
</file>

<file path=xl/worksheets/_rels/sheet4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2.xml"/></Relationships>
</file>

<file path=xl/worksheets/_rels/sheet4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3.xml"/></Relationships>
</file>

<file path=xl/worksheets/_rels/sheet4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5.14"/>
    <col customWidth="1" min="2" max="2" width="19.14"/>
    <col customWidth="1" min="3" max="3" width="18.29"/>
    <col customWidth="1" min="4" max="4" width="31.57"/>
    <col customWidth="1" min="6" max="6" width="29.71"/>
    <col customWidth="1" min="7" max="7" width="16.57"/>
    <col customWidth="1" min="8" max="8" width="16.0"/>
    <col customWidth="1" min="9" max="9" width="16.71"/>
    <col hidden="1" min="10" max="16" width="14.43"/>
  </cols>
  <sheetData>
    <row r="1">
      <c r="A1" s="2"/>
      <c r="B1" s="6" t="s">
        <v>13</v>
      </c>
      <c r="C1" s="8" t="s">
        <v>15</v>
      </c>
      <c r="G1" s="9" t="s">
        <v>16</v>
      </c>
      <c r="K1" s="11" t="s">
        <v>17</v>
      </c>
    </row>
    <row r="2">
      <c r="A2" s="14"/>
      <c r="B2" s="6" t="s">
        <v>19</v>
      </c>
      <c r="C2" s="16" t="s">
        <v>20</v>
      </c>
      <c r="D2" s="18" t="s">
        <v>22</v>
      </c>
      <c r="E2" s="19" t="s">
        <v>23</v>
      </c>
      <c r="F2" s="18" t="s">
        <v>25</v>
      </c>
      <c r="G2" s="21" t="s">
        <v>26</v>
      </c>
      <c r="H2" s="21" t="s">
        <v>27</v>
      </c>
      <c r="I2" s="21" t="s">
        <v>28</v>
      </c>
      <c r="K2" s="23" t="s">
        <v>29</v>
      </c>
      <c r="M2" s="23" t="s">
        <v>31</v>
      </c>
      <c r="O2" s="4" t="s">
        <v>32</v>
      </c>
      <c r="P2" s="4" t="s">
        <v>33</v>
      </c>
    </row>
    <row r="3">
      <c r="A3" s="4">
        <v>1.0</v>
      </c>
      <c r="B3" s="33" t="str">
        <f>if(isblank(C3),,if(C3="wjv",vlookup(ceiling(E3),Class!$J$2:$K$501,2,true),if(C3="w",vlookup(ceiling(E3),Class!$G$2:$H$501,2,true),if(C3="jv",vlookup(ceiling(E3),Class!$A$2:$B$501,2,true),vlookup(ceiling(E3),Class!$D$2:$E$501,2,true)))))</f>
        <v>105 W</v>
      </c>
      <c r="C3" s="35" t="s">
        <v>35</v>
      </c>
      <c r="D3" s="4" t="s">
        <v>36</v>
      </c>
      <c r="E3" s="36">
        <v>98.0</v>
      </c>
      <c r="F3" s="4" t="s">
        <v>37</v>
      </c>
      <c r="G3" s="4">
        <v>125.0</v>
      </c>
      <c r="H3" s="4">
        <v>150.0</v>
      </c>
      <c r="I3" s="4">
        <v>320.0</v>
      </c>
      <c r="K3" s="23" t="s">
        <v>38</v>
      </c>
      <c r="M3" s="23" t="s">
        <v>39</v>
      </c>
      <c r="O3" s="4" t="s">
        <v>40</v>
      </c>
      <c r="P3" s="4" t="s">
        <v>41</v>
      </c>
    </row>
    <row r="4">
      <c r="A4" s="4">
        <v>2.0</v>
      </c>
      <c r="B4" s="33" t="str">
        <f>if(isblank(C4),,if(C4="wjv",vlookup(ceiling(E4),Class!$J$2:$K$501,2,true),if(C4="w",vlookup(ceiling(E4),Class!$G$2:$H$501,2,true),if(C4="jv",vlookup(ceiling(E4),Class!$A$2:$B$501,2,true),vlookup(ceiling(E4),Class!$D$2:$E$501,2,true)))))</f>
        <v/>
      </c>
      <c r="C4" s="35"/>
      <c r="E4" s="36"/>
      <c r="K4" s="23" t="s">
        <v>44</v>
      </c>
      <c r="M4" s="23" t="s">
        <v>45</v>
      </c>
      <c r="O4" s="4" t="s">
        <v>46</v>
      </c>
      <c r="P4" s="4" t="s">
        <v>47</v>
      </c>
    </row>
    <row r="5">
      <c r="A5" s="4">
        <v>3.0</v>
      </c>
      <c r="B5" s="33" t="str">
        <f>if(isblank(C5),,if(C5="wjv",vlookup(ceiling(E5),Class!$J$2:$K$501,2,true),if(C5="w",vlookup(ceiling(E5),Class!$G$2:$H$501,2,true),if(C5="jv",vlookup(ceiling(E5),Class!$A$2:$B$501,2,true),vlookup(ceiling(E5),Class!$D$2:$E$501,2,true)))))</f>
        <v/>
      </c>
      <c r="C5" s="35"/>
      <c r="E5" s="36"/>
      <c r="K5" s="23" t="s">
        <v>48</v>
      </c>
      <c r="M5" s="23" t="s">
        <v>49</v>
      </c>
      <c r="O5" s="4" t="s">
        <v>50</v>
      </c>
      <c r="P5" s="4" t="s">
        <v>51</v>
      </c>
    </row>
    <row r="6">
      <c r="A6" s="4">
        <v>4.0</v>
      </c>
      <c r="B6" s="33" t="str">
        <f>if(isblank(C6),,if(C6="wjv",vlookup(ceiling(E6),Class!$J$2:$K$501,2,true),if(C6="w",vlookup(ceiling(E6),Class!$G$2:$H$501,2,true),if(C6="jv",vlookup(ceiling(E6),Class!$A$2:$B$501,2,true),vlookup(ceiling(E6),Class!$D$2:$E$501,2,true)))))</f>
        <v/>
      </c>
      <c r="C6" s="35"/>
      <c r="E6" s="36"/>
      <c r="K6" s="23" t="s">
        <v>54</v>
      </c>
      <c r="M6" s="23" t="s">
        <v>55</v>
      </c>
      <c r="O6" s="4" t="s">
        <v>56</v>
      </c>
      <c r="P6" s="4" t="s">
        <v>57</v>
      </c>
    </row>
    <row r="7">
      <c r="A7" s="4">
        <v>5.0</v>
      </c>
      <c r="B7" s="33" t="str">
        <f>if(isblank(C7),,if(C7="wjv",vlookup(ceiling(E7),Class!$J$2:$K$501,2,true),if(C7="w",vlookup(ceiling(E7),Class!$G$2:$H$501,2,true),if(C7="jv",vlookup(ceiling(E7),Class!$A$2:$B$501,2,true),vlookup(ceiling(E7),Class!$D$2:$E$501,2,true)))))</f>
        <v/>
      </c>
      <c r="C7" s="35"/>
      <c r="E7" s="36"/>
      <c r="K7" s="23" t="s">
        <v>60</v>
      </c>
      <c r="M7" s="23" t="s">
        <v>61</v>
      </c>
      <c r="O7" s="4" t="s">
        <v>62</v>
      </c>
      <c r="P7" s="4" t="s">
        <v>63</v>
      </c>
    </row>
    <row r="8">
      <c r="A8" s="4">
        <v>6.0</v>
      </c>
      <c r="B8" s="33" t="str">
        <f>if(isblank(C8),,if(C8="wjv",vlookup(ceiling(E8),Class!$J$2:$K$501,2,true),if(C8="w",vlookup(ceiling(E8),Class!$G$2:$H$501,2,true),if(C8="jv",vlookup(ceiling(E8),Class!$A$2:$B$501,2,true),vlookup(ceiling(E8),Class!$D$2:$E$501,2,true)))))</f>
        <v/>
      </c>
      <c r="C8" s="35"/>
      <c r="E8" s="36"/>
      <c r="K8" s="23" t="s">
        <v>65</v>
      </c>
      <c r="M8" s="23" t="s">
        <v>66</v>
      </c>
      <c r="O8" s="4" t="s">
        <v>67</v>
      </c>
      <c r="P8" s="4" t="s">
        <v>68</v>
      </c>
    </row>
    <row r="9">
      <c r="A9" s="4">
        <v>7.0</v>
      </c>
      <c r="B9" s="33" t="str">
        <f>if(isblank(C9),,if(C9="wjv",vlookup(ceiling(E9),Class!$J$2:$K$501,2,true),if(C9="w",vlookup(ceiling(E9),Class!$G$2:$H$501,2,true),if(C9="jv",vlookup(ceiling(E9),Class!$A$2:$B$501,2,true),vlookup(ceiling(E9),Class!$D$2:$E$501,2,true)))))</f>
        <v/>
      </c>
      <c r="C9" s="35"/>
      <c r="E9" s="36"/>
      <c r="K9" s="23" t="s">
        <v>71</v>
      </c>
      <c r="M9" s="23" t="s">
        <v>72</v>
      </c>
      <c r="O9" s="4" t="s">
        <v>73</v>
      </c>
      <c r="P9" s="4" t="s">
        <v>74</v>
      </c>
    </row>
    <row r="10">
      <c r="A10" s="4">
        <v>8.0</v>
      </c>
      <c r="B10" s="33" t="str">
        <f>if(isblank(C10),,if(C10="wjv",vlookup(ceiling(E10),Class!$J$2:$K$501,2,true),if(C10="w",vlookup(ceiling(E10),Class!$G$2:$H$501,2,true),if(C10="jv",vlookup(ceiling(E10),Class!$A$2:$B$501,2,true),vlookup(ceiling(E10),Class!$D$2:$E$501,2,true)))))</f>
        <v/>
      </c>
      <c r="C10" s="35"/>
      <c r="E10" s="36"/>
      <c r="K10" s="23" t="s">
        <v>76</v>
      </c>
      <c r="M10" s="23" t="s">
        <v>77</v>
      </c>
      <c r="O10" s="4" t="s">
        <v>79</v>
      </c>
      <c r="P10" s="4" t="s">
        <v>78</v>
      </c>
    </row>
    <row r="11">
      <c r="A11" s="4">
        <v>9.0</v>
      </c>
      <c r="B11" s="33" t="str">
        <f>if(isblank(C11),,if(C11="wjv",vlookup(ceiling(E11),Class!$J$2:$K$501,2,true),if(C11="w",vlookup(ceiling(E11),Class!$G$2:$H$501,2,true),if(C11="jv",vlookup(ceiling(E11),Class!$A$2:$B$501,2,true),vlookup(ceiling(E11),Class!$D$2:$E$501,2,true)))))</f>
        <v/>
      </c>
      <c r="C11" s="35"/>
      <c r="E11" s="36"/>
      <c r="K11" s="23" t="s">
        <v>81</v>
      </c>
      <c r="M11" s="23" t="s">
        <v>82</v>
      </c>
      <c r="O11" s="4" t="s">
        <v>83</v>
      </c>
      <c r="P11" s="4" t="s">
        <v>84</v>
      </c>
    </row>
    <row r="12">
      <c r="A12" s="4">
        <v>10.0</v>
      </c>
      <c r="B12" s="33" t="str">
        <f>if(isblank(C12),,if(C12="wjv",vlookup(ceiling(E12),Class!$J$2:$K$501,2,true),if(C12="w",vlookup(ceiling(E12),Class!$G$2:$H$501,2,true),if(C12="jv",vlookup(ceiling(E12),Class!$A$2:$B$501,2,true),vlookup(ceiling(E12),Class!$D$2:$E$501,2,true)))))</f>
        <v/>
      </c>
      <c r="C12" s="35"/>
      <c r="E12" s="36"/>
      <c r="K12" s="23" t="s">
        <v>87</v>
      </c>
      <c r="M12" s="23" t="s">
        <v>88</v>
      </c>
      <c r="O12" s="4" t="s">
        <v>89</v>
      </c>
      <c r="P12" s="4" t="s">
        <v>90</v>
      </c>
    </row>
    <row r="13">
      <c r="A13" s="4">
        <v>11.0</v>
      </c>
      <c r="B13" s="33" t="str">
        <f>if(isblank(C13),,if(C13="wjv",vlookup(ceiling(E13),Class!$J$2:$K$501,2,true),if(C13="w",vlookup(ceiling(E13),Class!$G$2:$H$501,2,true),if(C13="jv",vlookup(ceiling(E13),Class!$A$2:$B$501,2,true),vlookup(ceiling(E13),Class!$D$2:$E$501,2,true)))))</f>
        <v/>
      </c>
      <c r="C13" s="35"/>
      <c r="E13" s="36"/>
      <c r="K13" s="23" t="s">
        <v>91</v>
      </c>
      <c r="M13" s="23" t="s">
        <v>92</v>
      </c>
      <c r="O13" s="4" t="s">
        <v>94</v>
      </c>
      <c r="P13" s="4" t="s">
        <v>95</v>
      </c>
    </row>
    <row r="14">
      <c r="A14" s="4">
        <v>12.0</v>
      </c>
      <c r="B14" s="33" t="str">
        <f>if(isblank(C14),,if(C14="wjv",vlookup(ceiling(E14),Class!$J$2:$K$501,2,true),if(C14="w",vlookup(ceiling(E14),Class!$G$2:$H$501,2,true),if(C14="jv",vlookup(ceiling(E14),Class!$A$2:$B$501,2,true),vlookup(ceiling(E14),Class!$D$2:$E$501,2,true)))))</f>
        <v/>
      </c>
      <c r="C14" s="35"/>
      <c r="E14" s="36"/>
      <c r="K14" s="23" t="s">
        <v>96</v>
      </c>
      <c r="M14" s="23" t="s">
        <v>97</v>
      </c>
      <c r="O14" s="4" t="s">
        <v>98</v>
      </c>
      <c r="P14" s="4" t="s">
        <v>99</v>
      </c>
    </row>
    <row r="15">
      <c r="A15" s="4">
        <v>13.0</v>
      </c>
      <c r="B15" s="33" t="str">
        <f>if(isblank(C15),,if(C15="wjv",vlookup(ceiling(E15),Class!$J$2:$K$501,2,true),if(C15="w",vlookup(ceiling(E15),Class!$G$2:$H$501,2,true),if(C15="jv",vlookup(ceiling(E15),Class!$A$2:$B$501,2,true),vlookup(ceiling(E15),Class!$D$2:$E$501,2,true)))))</f>
        <v/>
      </c>
      <c r="C15" s="35"/>
      <c r="E15" s="36"/>
      <c r="K15" s="23"/>
    </row>
    <row r="16">
      <c r="A16" s="4">
        <v>14.0</v>
      </c>
      <c r="B16" s="33" t="str">
        <f>if(isblank(C16),,if(C16="wjv",vlookup(ceiling(E16),Class!$J$2:$K$501,2,true),if(C16="w",vlookup(ceiling(E16),Class!$G$2:$H$501,2,true),if(C16="jv",vlookup(ceiling(E16),Class!$A$2:$B$501,2,true),vlookup(ceiling(E16),Class!$D$2:$E$501,2,true)))))</f>
        <v/>
      </c>
      <c r="C16" s="35"/>
      <c r="E16" s="36"/>
      <c r="K16" s="4" t="s">
        <v>102</v>
      </c>
    </row>
    <row r="17">
      <c r="A17" s="4">
        <v>15.0</v>
      </c>
      <c r="B17" s="33" t="str">
        <f>if(isblank(C17),,if(C17="wjv",vlookup(ceiling(E17),Class!$J$2:$K$501,2,true),if(C17="w",vlookup(ceiling(E17),Class!$G$2:$H$501,2,true),if(C17="jv",vlookup(ceiling(E17),Class!$A$2:$B$501,2,true),vlookup(ceiling(E17),Class!$D$2:$E$501,2,true)))))</f>
        <v/>
      </c>
      <c r="C17" s="35"/>
      <c r="E17" s="36"/>
      <c r="K17" s="4" t="s">
        <v>105</v>
      </c>
    </row>
    <row r="18">
      <c r="A18" s="4">
        <v>16.0</v>
      </c>
      <c r="B18" s="33" t="str">
        <f>if(isblank(C18),,if(C18="wjv",vlookup(ceiling(E18),Class!$J$2:$K$501,2,true),if(C18="w",vlookup(ceiling(E18),Class!$G$2:$H$501,2,true),if(C18="jv",vlookup(ceiling(E18),Class!$A$2:$B$501,2,true),vlookup(ceiling(E18),Class!$D$2:$E$501,2,true)))))</f>
        <v/>
      </c>
      <c r="C18" s="35"/>
      <c r="E18" s="36"/>
      <c r="K18" s="4" t="s">
        <v>35</v>
      </c>
    </row>
    <row r="19">
      <c r="A19" s="4">
        <v>17.0</v>
      </c>
      <c r="B19" s="33" t="str">
        <f>if(isblank(C19),,if(C19="wjv",vlookup(ceiling(E19),Class!$J$2:$K$501,2,true),if(C19="w",vlookup(ceiling(E19),Class!$G$2:$H$501,2,true),if(C19="jv",vlookup(ceiling(E19),Class!$A$2:$B$501,2,true),vlookup(ceiling(E19),Class!$D$2:$E$501,2,true)))))</f>
        <v/>
      </c>
      <c r="C19" s="35"/>
      <c r="E19" s="36"/>
      <c r="K19" s="4" t="s">
        <v>109</v>
      </c>
    </row>
    <row r="20">
      <c r="A20" s="4">
        <v>18.0</v>
      </c>
      <c r="B20" s="33" t="str">
        <f>if(isblank(C20),,if(C20="wjv",vlookup(ceiling(E20),Class!$J$2:$K$501,2,true),if(C20="w",vlookup(ceiling(E20),Class!$G$2:$H$501,2,true),if(C20="jv",vlookup(ceiling(E20),Class!$A$2:$B$501,2,true),vlookup(ceiling(E20),Class!$D$2:$E$501,2,true)))))</f>
        <v/>
      </c>
      <c r="C20" s="35"/>
      <c r="E20" s="36"/>
      <c r="K20" s="23"/>
    </row>
    <row r="21">
      <c r="A21" s="4">
        <v>19.0</v>
      </c>
      <c r="B21" s="33" t="str">
        <f>if(isblank(C21),,if(C21="wjv",vlookup(ceiling(E21),Class!$J$2:$K$501,2,true),if(C21="w",vlookup(ceiling(E21),Class!$G$2:$H$501,2,true),if(C21="jv",vlookup(ceiling(E21),Class!$A$2:$B$501,2,true),vlookup(ceiling(E21),Class!$D$2:$E$501,2,true)))))</f>
        <v/>
      </c>
      <c r="C21" s="35"/>
      <c r="E21" s="36"/>
      <c r="K21" s="23"/>
    </row>
    <row r="22">
      <c r="A22" s="4">
        <v>20.0</v>
      </c>
      <c r="B22" s="33" t="str">
        <f>if(isblank(C22),,if(C22="wjv",vlookup(ceiling(E22),Class!$J$2:$K$501,2,true),if(C22="w",vlookup(ceiling(E22),Class!$G$2:$H$501,2,true),if(C22="jv",vlookup(ceiling(E22),Class!$A$2:$B$501,2,true),vlookup(ceiling(E22),Class!$D$2:$E$501,2,true)))))</f>
        <v/>
      </c>
      <c r="C22" s="35"/>
      <c r="E22" s="36"/>
      <c r="K22" s="23"/>
    </row>
    <row r="23">
      <c r="A23" s="4">
        <v>21.0</v>
      </c>
      <c r="B23" s="33" t="str">
        <f>if(isblank(C23),,if(C23="wjv",vlookup(ceiling(E23),Class!$J$2:$K$501,2,true),if(C23="w",vlookup(ceiling(E23),Class!$G$2:$H$501,2,true),if(C23="jv",vlookup(ceiling(E23),Class!$A$2:$B$501,2,true),vlookup(ceiling(E23),Class!$D$2:$E$501,2,true)))))</f>
        <v/>
      </c>
      <c r="C23" s="35"/>
      <c r="E23" s="36"/>
      <c r="K23" s="23"/>
    </row>
    <row r="24">
      <c r="A24" s="4">
        <v>22.0</v>
      </c>
      <c r="B24" s="33" t="str">
        <f>if(isblank(C24),,if(C24="wjv",vlookup(ceiling(E24),Class!$J$2:$K$501,2,true),if(C24="w",vlookup(ceiling(E24),Class!$G$2:$H$501,2,true),if(C24="jv",vlookup(ceiling(E24),Class!$A$2:$B$501,2,true),vlookup(ceiling(E24),Class!$D$2:$E$501,2,true)))))</f>
        <v/>
      </c>
      <c r="C24" s="35"/>
      <c r="E24" s="36"/>
      <c r="K24" s="23"/>
    </row>
    <row r="25">
      <c r="A25" s="4">
        <v>23.0</v>
      </c>
      <c r="B25" s="33" t="str">
        <f>if(isblank(C25),,if(C25="wjv",vlookup(ceiling(E25),Class!$J$2:$K$501,2,true),if(C25="w",vlookup(ceiling(E25),Class!$G$2:$H$501,2,true),if(C25="jv",vlookup(ceiling(E25),Class!$A$2:$B$501,2,true),vlookup(ceiling(E25),Class!$D$2:$E$501,2,true)))))</f>
        <v/>
      </c>
      <c r="C25" s="35"/>
      <c r="E25" s="36"/>
      <c r="K25" s="23"/>
    </row>
    <row r="26">
      <c r="A26" s="4">
        <v>24.0</v>
      </c>
      <c r="B26" s="33" t="str">
        <f>if(isblank(C26),,if(C26="wjv",vlookup(ceiling(E26),Class!$J$2:$K$501,2,true),if(C26="w",vlookup(ceiling(E26),Class!$G$2:$H$501,2,true),if(C26="jv",vlookup(ceiling(E26),Class!$A$2:$B$501,2,true),vlookup(ceiling(E26),Class!$D$2:$E$501,2,true)))))</f>
        <v/>
      </c>
      <c r="C26" s="35"/>
      <c r="E26" s="36"/>
      <c r="K26" s="23"/>
    </row>
    <row r="27">
      <c r="A27" s="4">
        <v>25.0</v>
      </c>
      <c r="B27" s="33" t="str">
        <f>if(isblank(C27),,if(C27="wjv",vlookup(ceiling(E27),Class!$J$2:$K$501,2,true),if(C27="w",vlookup(ceiling(E27),Class!$G$2:$H$501,2,true),if(C27="jv",vlookup(ceiling(E27),Class!$A$2:$B$501,2,true),vlookup(ceiling(E27),Class!$D$2:$E$501,2,true)))))</f>
        <v/>
      </c>
      <c r="C27" s="35"/>
      <c r="E27" s="36"/>
      <c r="K27" s="23"/>
    </row>
    <row r="28">
      <c r="A28" s="4">
        <v>26.0</v>
      </c>
      <c r="B28" s="33" t="str">
        <f>if(isblank(C28),,if(C28="wjv",vlookup(ceiling(E28),Class!$J$2:$K$501,2,true),if(C28="w",vlookup(ceiling(E28),Class!$G$2:$H$501,2,true),if(C28="jv",vlookup(ceiling(E28),Class!$A$2:$B$501,2,true),vlookup(ceiling(E28),Class!$D$2:$E$501,2,true)))))</f>
        <v/>
      </c>
      <c r="C28" s="35"/>
      <c r="E28" s="36"/>
      <c r="K28" s="23"/>
    </row>
    <row r="29">
      <c r="A29" s="4">
        <v>27.0</v>
      </c>
      <c r="B29" s="33" t="str">
        <f>if(isblank(C29),,if(C29="wjv",vlookup(ceiling(E29),Class!$J$2:$K$501,2,true),if(C29="w",vlookup(ceiling(E29),Class!$G$2:$H$501,2,true),if(C29="jv",vlookup(ceiling(E29),Class!$A$2:$B$501,2,true),vlookup(ceiling(E29),Class!$D$2:$E$501,2,true)))))</f>
        <v/>
      </c>
      <c r="C29" s="35"/>
      <c r="E29" s="36"/>
      <c r="K29" s="23"/>
    </row>
    <row r="30">
      <c r="A30" s="4">
        <v>28.0</v>
      </c>
      <c r="B30" s="33" t="str">
        <f>if(isblank(C30),,if(C30="wjv",vlookup(ceiling(E30),Class!$J$2:$K$501,2,true),if(C30="w",vlookup(ceiling(E30),Class!$G$2:$H$501,2,true),if(C30="jv",vlookup(ceiling(E30),Class!$A$2:$B$501,2,true),vlookup(ceiling(E30),Class!$D$2:$E$501,2,true)))))</f>
        <v/>
      </c>
      <c r="C30" s="35"/>
      <c r="E30" s="36"/>
      <c r="K30" s="23"/>
    </row>
    <row r="31">
      <c r="A31" s="4">
        <v>29.0</v>
      </c>
      <c r="B31" s="33" t="str">
        <f>if(isblank(C31),,if(C31="wjv",vlookup(ceiling(E31),Class!$J$2:$K$501,2,true),if(C31="w",vlookup(ceiling(E31),Class!$G$2:$H$501,2,true),if(C31="jv",vlookup(ceiling(E31),Class!$A$2:$B$501,2,true),vlookup(ceiling(E31),Class!$D$2:$E$501,2,true)))))</f>
        <v/>
      </c>
      <c r="C31" s="35"/>
      <c r="E31" s="36"/>
      <c r="K31" s="23"/>
    </row>
    <row r="32">
      <c r="A32" s="4">
        <v>30.0</v>
      </c>
      <c r="B32" s="33" t="str">
        <f>if(isblank(C32),,if(C32="wjv",vlookup(ceiling(E32),Class!$J$2:$K$501,2,true),if(C32="w",vlookup(ceiling(E32),Class!$G$2:$H$501,2,true),if(C32="jv",vlookup(ceiling(E32),Class!$A$2:$B$501,2,true),vlookup(ceiling(E32),Class!$D$2:$E$501,2,true)))))</f>
        <v/>
      </c>
      <c r="C32" s="35"/>
      <c r="E32" s="36"/>
      <c r="K32" s="23"/>
    </row>
    <row r="33">
      <c r="A33" s="4">
        <v>31.0</v>
      </c>
      <c r="B33" s="33" t="str">
        <f>if(isblank(C33),,if(C33="wjv",vlookup(ceiling(E33),Class!$J$2:$K$501,2,true),if(C33="w",vlookup(ceiling(E33),Class!$G$2:$H$501,2,true),if(C33="jv",vlookup(ceiling(E33),Class!$A$2:$B$501,2,true),vlookup(ceiling(E33),Class!$D$2:$E$501,2,true)))))</f>
        <v/>
      </c>
      <c r="C33" s="35"/>
      <c r="E33" s="36"/>
      <c r="K33" s="23"/>
    </row>
    <row r="34">
      <c r="A34" s="4">
        <v>32.0</v>
      </c>
      <c r="B34" s="33" t="str">
        <f>if(isblank(C34),,if(C34="wjv",vlookup(ceiling(E34),Class!$J$2:$K$501,2,true),if(C34="w",vlookup(ceiling(E34),Class!$G$2:$H$501,2,true),if(C34="jv",vlookup(ceiling(E34),Class!$A$2:$B$501,2,true),vlookup(ceiling(E34),Class!$D$2:$E$501,2,true)))))</f>
        <v/>
      </c>
      <c r="C34" s="35"/>
      <c r="E34" s="36"/>
      <c r="K34" s="23"/>
    </row>
    <row r="35">
      <c r="A35" s="4">
        <v>33.0</v>
      </c>
      <c r="B35" s="33" t="str">
        <f>if(isblank(C35),,if(C35="wjv",vlookup(ceiling(E35),Class!$J$2:$K$501,2,true),if(C35="w",vlookup(ceiling(E35),Class!$G$2:$H$501,2,true),if(C35="jv",vlookup(ceiling(E35),Class!$A$2:$B$501,2,true),vlookup(ceiling(E35),Class!$D$2:$E$501,2,true)))))</f>
        <v/>
      </c>
      <c r="C35" s="35"/>
      <c r="E35" s="36"/>
      <c r="K35" s="23"/>
    </row>
    <row r="36">
      <c r="A36" s="4">
        <v>34.0</v>
      </c>
      <c r="B36" s="33" t="str">
        <f>if(isblank(C36),,if(C36="wjv",vlookup(ceiling(E36),Class!$J$2:$K$501,2,true),if(C36="w",vlookup(ceiling(E36),Class!$G$2:$H$501,2,true),if(C36="jv",vlookup(ceiling(E36),Class!$A$2:$B$501,2,true),vlookup(ceiling(E36),Class!$D$2:$E$501,2,true)))))</f>
        <v/>
      </c>
      <c r="C36" s="35"/>
      <c r="E36" s="36"/>
      <c r="K36" s="23"/>
    </row>
    <row r="37">
      <c r="A37" s="4">
        <v>35.0</v>
      </c>
      <c r="B37" s="33" t="str">
        <f>if(isblank(C37),,if(C37="wjv",vlookup(ceiling(E37),Class!$J$2:$K$501,2,true),if(C37="w",vlookup(ceiling(E37),Class!$G$2:$H$501,2,true),if(C37="jv",vlookup(ceiling(E37),Class!$A$2:$B$501,2,true),vlookup(ceiling(E37),Class!$D$2:$E$501,2,true)))))</f>
        <v/>
      </c>
      <c r="C37" s="35"/>
      <c r="E37" s="36"/>
      <c r="K37" s="23"/>
    </row>
    <row r="38">
      <c r="A38" s="4">
        <v>36.0</v>
      </c>
      <c r="B38" s="33" t="str">
        <f>if(isblank(C38),,if(C38="wjv",vlookup(ceiling(E38),Class!$J$2:$K$501,2,true),if(C38="w",vlookup(ceiling(E38),Class!$G$2:$H$501,2,true),if(C38="jv",vlookup(ceiling(E38),Class!$A$2:$B$501,2,true),vlookup(ceiling(E38),Class!$D$2:$E$501,2,true)))))</f>
        <v/>
      </c>
      <c r="C38" s="35"/>
      <c r="E38" s="36"/>
      <c r="K38" s="23"/>
    </row>
    <row r="39">
      <c r="A39" s="4">
        <v>37.0</v>
      </c>
      <c r="B39" s="33" t="str">
        <f>if(isblank(C39),,if(C39="wjv",vlookup(ceiling(E39),Class!$J$2:$K$501,2,true),if(C39="w",vlookup(ceiling(E39),Class!$G$2:$H$501,2,true),if(C39="jv",vlookup(ceiling(E39),Class!$A$2:$B$501,2,true),vlookup(ceiling(E39),Class!$D$2:$E$501,2,true)))))</f>
        <v/>
      </c>
      <c r="C39" s="35"/>
      <c r="E39" s="36"/>
      <c r="K39" s="23"/>
    </row>
    <row r="40">
      <c r="A40" s="4">
        <v>38.0</v>
      </c>
      <c r="B40" s="33" t="str">
        <f>if(isblank(C40),,if(C40="wjv",vlookup(ceiling(E40),Class!$J$2:$K$501,2,true),if(C40="w",vlookup(ceiling(E40),Class!$G$2:$H$501,2,true),if(C40="jv",vlookup(ceiling(E40),Class!$A$2:$B$501,2,true),vlookup(ceiling(E40),Class!$D$2:$E$501,2,true)))))</f>
        <v/>
      </c>
      <c r="C40" s="35"/>
      <c r="E40" s="36"/>
      <c r="K40" s="23"/>
    </row>
    <row r="41">
      <c r="A41" s="4">
        <v>39.0</v>
      </c>
      <c r="B41" s="33" t="str">
        <f>if(isblank(C41),,if(C41="wjv",vlookup(ceiling(E41),Class!$J$2:$K$501,2,true),if(C41="w",vlookup(ceiling(E41),Class!$G$2:$H$501,2,true),if(C41="jv",vlookup(ceiling(E41),Class!$A$2:$B$501,2,true),vlookup(ceiling(E41),Class!$D$2:$E$501,2,true)))))</f>
        <v/>
      </c>
      <c r="C41" s="35"/>
      <c r="E41" s="36"/>
      <c r="K41" s="4"/>
    </row>
    <row r="42">
      <c r="A42" s="4">
        <v>40.0</v>
      </c>
      <c r="B42" s="33" t="str">
        <f>if(isblank(C42),,if(C42="wjv",vlookup(ceiling(E42),Class!$J$2:$K$501,2,true),if(C42="w",vlookup(ceiling(E42),Class!$G$2:$H$501,2,true),if(C42="jv",vlookup(ceiling(E42),Class!$A$2:$B$501,2,true),vlookup(ceiling(E42),Class!$D$2:$E$501,2,true)))))</f>
        <v/>
      </c>
      <c r="C42" s="35"/>
      <c r="E42" s="36"/>
      <c r="K42" s="4"/>
    </row>
    <row r="43">
      <c r="A43" s="4">
        <v>41.0</v>
      </c>
      <c r="B43" s="33" t="str">
        <f>if(isblank(C43),,if(C43="wjv",vlookup(ceiling(E43),Class!$J$2:$K$501,2,true),if(C43="w",vlookup(ceiling(E43),Class!$G$2:$H$501,2,true),if(C43="jv",vlookup(ceiling(E43),Class!$A$2:$B$501,2,true),vlookup(ceiling(E43),Class!$D$2:$E$501,2,true)))))</f>
        <v/>
      </c>
      <c r="C43" s="35"/>
      <c r="E43" s="36"/>
      <c r="K43" s="4"/>
    </row>
    <row r="44">
      <c r="A44" s="4">
        <v>42.0</v>
      </c>
      <c r="B44" s="33" t="str">
        <f>if(isblank(C44),,if(C44="wjv",vlookup(ceiling(E44),Class!$J$2:$K$501,2,true),if(C44="w",vlookup(ceiling(E44),Class!$G$2:$H$501,2,true),if(C44="jv",vlookup(ceiling(E44),Class!$A$2:$B$501,2,true),vlookup(ceiling(E44),Class!$D$2:$E$501,2,true)))))</f>
        <v/>
      </c>
      <c r="C44" s="35"/>
      <c r="E44" s="36"/>
      <c r="K44" s="4"/>
    </row>
    <row r="45">
      <c r="A45" s="4">
        <v>43.0</v>
      </c>
      <c r="B45" s="33" t="str">
        <f>if(isblank(C45),,if(C45="wjv",vlookup(ceiling(E45),Class!$J$2:$K$501,2,true),if(C45="w",vlookup(ceiling(E45),Class!$G$2:$H$501,2,true),if(C45="jv",vlookup(ceiling(E45),Class!$A$2:$B$501,2,true),vlookup(ceiling(E45),Class!$D$2:$E$501,2,true)))))</f>
        <v/>
      </c>
      <c r="C45" s="35"/>
      <c r="E45" s="36"/>
      <c r="K45" s="4"/>
    </row>
    <row r="46">
      <c r="A46" s="4">
        <v>44.0</v>
      </c>
      <c r="B46" s="33" t="str">
        <f>if(isblank(C46),,if(C46="wjv",vlookup(ceiling(E46),Class!$J$2:$K$501,2,true),if(C46="w",vlookup(ceiling(E46),Class!$G$2:$H$501,2,true),if(C46="jv",vlookup(ceiling(E46),Class!$A$2:$B$501,2,true),vlookup(ceiling(E46),Class!$D$2:$E$501,2,true)))))</f>
        <v/>
      </c>
      <c r="C46" s="35"/>
      <c r="E46" s="36"/>
      <c r="K46" s="4"/>
    </row>
    <row r="47">
      <c r="A47" s="4">
        <v>45.0</v>
      </c>
      <c r="B47" s="33" t="str">
        <f>if(isblank(C47),,if(C47="wjv",vlookup(ceiling(E47),Class!$J$2:$K$501,2,true),if(C47="w",vlookup(ceiling(E47),Class!$G$2:$H$501,2,true),if(C47="jv",vlookup(ceiling(E47),Class!$A$2:$B$501,2,true),vlookup(ceiling(E47),Class!$D$2:$E$501,2,true)))))</f>
        <v/>
      </c>
      <c r="C47" s="35"/>
      <c r="E47" s="36"/>
      <c r="K47" s="4"/>
    </row>
    <row r="48">
      <c r="A48" s="4">
        <v>46.0</v>
      </c>
      <c r="B48" s="33" t="str">
        <f>if(isblank(C48),,if(C48="wjv",vlookup(ceiling(E48),Class!$J$2:$K$501,2,true),if(C48="w",vlookup(ceiling(E48),Class!$G$2:$H$501,2,true),if(C48="jv",vlookup(ceiling(E48),Class!$A$2:$B$501,2,true),vlookup(ceiling(E48),Class!$D$2:$E$501,2,true)))))</f>
        <v/>
      </c>
      <c r="C48" s="35"/>
      <c r="E48" s="36"/>
      <c r="K48" s="4"/>
    </row>
    <row r="49">
      <c r="A49" s="4">
        <v>47.0</v>
      </c>
      <c r="B49" s="33" t="str">
        <f>if(isblank(C49),,if(C49="wjv",vlookup(ceiling(E49),Class!$J$2:$K$501,2,true),if(C49="w",vlookup(ceiling(E49),Class!$G$2:$H$501,2,true),if(C49="jv",vlookup(ceiling(E49),Class!$A$2:$B$501,2,true),vlookup(ceiling(E49),Class!$D$2:$E$501,2,true)))))</f>
        <v/>
      </c>
      <c r="C49" s="35"/>
      <c r="E49" s="36"/>
      <c r="K49" s="4"/>
    </row>
    <row r="50">
      <c r="A50" s="4">
        <v>48.0</v>
      </c>
      <c r="B50" s="33" t="str">
        <f>if(isblank(C50),,if(C50="wjv",vlookup(ceiling(E50),Class!$J$2:$K$501,2,true),if(C50="w",vlookup(ceiling(E50),Class!$G$2:$H$501,2,true),if(C50="jv",vlookup(ceiling(E50),Class!$A$2:$B$501,2,true),vlookup(ceiling(E50),Class!$D$2:$E$501,2,true)))))</f>
        <v/>
      </c>
      <c r="C50" s="35"/>
      <c r="E50" s="36"/>
      <c r="K50" s="4"/>
    </row>
    <row r="51">
      <c r="A51" s="4">
        <v>49.0</v>
      </c>
      <c r="B51" s="33" t="str">
        <f>if(isblank(C51),,if(C51="wjv",vlookup(ceiling(E51),Class!$J$2:$K$501,2,true),if(C51="w",vlookup(ceiling(E51),Class!$G$2:$H$501,2,true),if(C51="jv",vlookup(ceiling(E51),Class!$A$2:$B$501,2,true),vlookup(ceiling(E51),Class!$D$2:$E$501,2,true)))))</f>
        <v/>
      </c>
      <c r="C51" s="35"/>
      <c r="E51" s="36"/>
      <c r="K51" s="4"/>
    </row>
    <row r="52">
      <c r="A52" s="4">
        <v>50.0</v>
      </c>
      <c r="B52" s="33" t="str">
        <f>if(isblank(C52),,if(C52="wjv",vlookup(ceiling(E52),Class!$J$2:$K$501,2,true),if(C52="w",vlookup(ceiling(E52),Class!$G$2:$H$501,2,true),if(C52="jv",vlookup(ceiling(E52),Class!$A$2:$B$501,2,true),vlookup(ceiling(E52),Class!$D$2:$E$501,2,true)))))</f>
        <v/>
      </c>
      <c r="C52" s="35"/>
      <c r="E52" s="36"/>
      <c r="K52" s="4"/>
    </row>
    <row r="53">
      <c r="A53" s="4">
        <v>51.0</v>
      </c>
      <c r="B53" s="33" t="str">
        <f>if(isblank(C53),,if(C53="wjv",vlookup(ceiling(E53),Class!$J$2:$K$501,2,true),if(C53="w",vlookup(ceiling(E53),Class!$G$2:$H$501,2,true),if(C53="jv",vlookup(ceiling(E53),Class!$A$2:$B$501,2,true),vlookup(ceiling(E53),Class!$D$2:$E$501,2,true)))))</f>
        <v/>
      </c>
      <c r="C53" s="35"/>
      <c r="E53" s="36"/>
      <c r="K53" s="4"/>
    </row>
    <row r="54">
      <c r="A54" s="4">
        <v>52.0</v>
      </c>
      <c r="B54" s="33" t="str">
        <f>if(isblank(C54),,if(C54="wjv",vlookup(ceiling(E54),Class!$J$2:$K$501,2,true),if(C54="w",vlookup(ceiling(E54),Class!$G$2:$H$501,2,true),if(C54="jv",vlookup(ceiling(E54),Class!$A$2:$B$501,2,true),vlookup(ceiling(E54),Class!$D$2:$E$501,2,true)))))</f>
        <v/>
      </c>
      <c r="C54" s="35"/>
      <c r="E54" s="36"/>
    </row>
    <row r="55">
      <c r="A55" s="4">
        <v>53.0</v>
      </c>
      <c r="B55" s="33" t="str">
        <f>if(isblank(C55),,if(C55="wjv",vlookup(ceiling(E55),Class!$J$2:$K$501,2,true),if(C55="w",vlookup(ceiling(E55),Class!$G$2:$H$501,2,true),if(C55="jv",vlookup(ceiling(E55),Class!$A$2:$B$501,2,true),vlookup(ceiling(E55),Class!$D$2:$E$501,2,true)))))</f>
        <v/>
      </c>
      <c r="C55" s="35"/>
      <c r="E55" s="36"/>
    </row>
    <row r="56">
      <c r="A56" s="4">
        <v>54.0</v>
      </c>
      <c r="B56" s="33" t="str">
        <f>if(isblank(C56),,if(C56="wjv",vlookup(ceiling(E56),Class!$J$2:$K$501,2,true),if(C56="w",vlookup(ceiling(E56),Class!$G$2:$H$501,2,true),if(C56="jv",vlookup(ceiling(E56),Class!$A$2:$B$501,2,true),vlookup(ceiling(E56),Class!$D$2:$E$501,2,true)))))</f>
        <v/>
      </c>
      <c r="C56" s="35"/>
      <c r="E56" s="36"/>
    </row>
    <row r="57">
      <c r="A57" s="4">
        <v>55.0</v>
      </c>
      <c r="B57" s="33" t="str">
        <f>if(isblank(C57),,if(C57="wjv",vlookup(ceiling(E57),Class!$J$2:$K$501,2,true),if(C57="w",vlookup(ceiling(E57),Class!$G$2:$H$501,2,true),if(C57="jv",vlookup(ceiling(E57),Class!$A$2:$B$501,2,true),vlookup(ceiling(E57),Class!$D$2:$E$501,2,true)))))</f>
        <v/>
      </c>
      <c r="C57" s="35"/>
      <c r="E57" s="36"/>
    </row>
    <row r="58">
      <c r="A58" s="4">
        <v>56.0</v>
      </c>
      <c r="B58" s="33" t="str">
        <f>if(isblank(C58),,if(C58="wjv",vlookup(ceiling(E58),Class!$J$2:$K$501,2,true),if(C58="w",vlookup(ceiling(E58),Class!$G$2:$H$501,2,true),if(C58="jv",vlookup(ceiling(E58),Class!$A$2:$B$501,2,true),vlookup(ceiling(E58),Class!$D$2:$E$501,2,true)))))</f>
        <v/>
      </c>
      <c r="C58" s="35"/>
      <c r="E58" s="36"/>
    </row>
    <row r="59">
      <c r="A59" s="4">
        <v>57.0</v>
      </c>
      <c r="B59" s="33" t="str">
        <f>if(isblank(C59),,if(C59="wjv",vlookup(ceiling(E59),Class!$J$2:$K$501,2,true),if(C59="w",vlookup(ceiling(E59),Class!$G$2:$H$501,2,true),if(C59="jv",vlookup(ceiling(E59),Class!$A$2:$B$501,2,true),vlookup(ceiling(E59),Class!$D$2:$E$501,2,true)))))</f>
        <v/>
      </c>
      <c r="C59" s="35"/>
      <c r="E59" s="36"/>
    </row>
    <row r="60">
      <c r="A60" s="4">
        <v>58.0</v>
      </c>
      <c r="B60" s="33" t="str">
        <f>if(isblank(C60),,if(C60="wjv",vlookup(ceiling(E60),Class!$J$2:$K$501,2,true),if(C60="w",vlookup(ceiling(E60),Class!$G$2:$H$501,2,true),if(C60="jv",vlookup(ceiling(E60),Class!$A$2:$B$501,2,true),vlookup(ceiling(E60),Class!$D$2:$E$501,2,true)))))</f>
        <v/>
      </c>
      <c r="C60" s="35"/>
      <c r="E60" s="36"/>
    </row>
    <row r="61">
      <c r="A61" s="4">
        <v>59.0</v>
      </c>
      <c r="B61" s="33" t="str">
        <f>if(isblank(C61),,if(C61="wjv",vlookup(ceiling(E61),Class!$J$2:$K$501,2,true),if(C61="w",vlookup(ceiling(E61),Class!$G$2:$H$501,2,true),if(C61="jv",vlookup(ceiling(E61),Class!$A$2:$B$501,2,true),vlookup(ceiling(E61),Class!$D$2:$E$501,2,true)))))</f>
        <v/>
      </c>
      <c r="C61" s="35"/>
      <c r="E61" s="36"/>
    </row>
    <row r="62">
      <c r="A62" s="4">
        <v>60.0</v>
      </c>
      <c r="B62" s="33" t="str">
        <f>if(isblank(C62),,if(C62="wjv",vlookup(ceiling(E62),Class!$J$2:$K$501,2,true),if(C62="w",vlookup(ceiling(E62),Class!$G$2:$H$501,2,true),if(C62="jv",vlookup(ceiling(E62),Class!$A$2:$B$501,2,true),vlookup(ceiling(E62),Class!$D$2:$E$501,2,true)))))</f>
        <v/>
      </c>
      <c r="C62" s="35"/>
      <c r="E62" s="36"/>
    </row>
    <row r="63">
      <c r="A63" s="4">
        <v>61.0</v>
      </c>
      <c r="B63" s="33" t="str">
        <f>if(isblank(C63),,if(C63="wjv",vlookup(ceiling(E63),Class!$J$2:$K$501,2,true),if(C63="w",vlookup(ceiling(E63),Class!$G$2:$H$501,2,true),if(C63="jv",vlookup(ceiling(E63),Class!$A$2:$B$501,2,true),vlookup(ceiling(E63),Class!$D$2:$E$501,2,true)))))</f>
        <v/>
      </c>
      <c r="C63" s="35"/>
      <c r="E63" s="36"/>
    </row>
    <row r="64">
      <c r="A64" s="4">
        <v>62.0</v>
      </c>
      <c r="B64" s="33" t="str">
        <f>if(isblank(C64),,if(C64="wjv",vlookup(ceiling(E64),Class!$J$2:$K$501,2,true),if(C64="w",vlookup(ceiling(E64),Class!$G$2:$H$501,2,true),if(C64="jv",vlookup(ceiling(E64),Class!$A$2:$B$501,2,true),vlookup(ceiling(E64),Class!$D$2:$E$501,2,true)))))</f>
        <v/>
      </c>
      <c r="C64" s="35"/>
      <c r="E64" s="36"/>
    </row>
    <row r="65">
      <c r="A65" s="4">
        <v>63.0</v>
      </c>
      <c r="B65" s="33" t="str">
        <f>if(isblank(C65),,if(C65="wjv",vlookup(ceiling(E65),Class!$J$2:$K$501,2,true),if(C65="w",vlookup(ceiling(E65),Class!$G$2:$H$501,2,true),if(C65="jv",vlookup(ceiling(E65),Class!$A$2:$B$501,2,true),vlookup(ceiling(E65),Class!$D$2:$E$501,2,true)))))</f>
        <v/>
      </c>
      <c r="C65" s="35"/>
      <c r="E65" s="36"/>
    </row>
    <row r="66">
      <c r="A66" s="4">
        <v>64.0</v>
      </c>
      <c r="B66" s="33" t="str">
        <f>if(isblank(C66),,if(C66="wjv",vlookup(ceiling(E66),Class!$J$2:$K$501,2,true),if(C66="w",vlookup(ceiling(E66),Class!$G$2:$H$501,2,true),if(C66="jv",vlookup(ceiling(E66),Class!$A$2:$B$501,2,true),vlookup(ceiling(E66),Class!$D$2:$E$501,2,true)))))</f>
        <v/>
      </c>
      <c r="C66" s="35"/>
      <c r="E66" s="36"/>
    </row>
    <row r="67">
      <c r="A67" s="4">
        <v>65.0</v>
      </c>
      <c r="B67" s="33" t="str">
        <f>if(isblank(C67),,if(C67="wjv",vlookup(ceiling(E67),Class!$J$2:$K$501,2,true),if(C67="w",vlookup(ceiling(E67),Class!$G$2:$H$501,2,true),if(C67="jv",vlookup(ceiling(E67),Class!$A$2:$B$501,2,true),vlookup(ceiling(E67),Class!$D$2:$E$501,2,true)))))</f>
        <v/>
      </c>
      <c r="C67" s="35"/>
      <c r="E67" s="36"/>
    </row>
    <row r="68">
      <c r="A68" s="4">
        <v>66.0</v>
      </c>
      <c r="B68" s="33" t="str">
        <f>if(isblank(C68),,if(C68="wjv",vlookup(ceiling(E68),Class!$J$2:$K$501,2,true),if(C68="w",vlookup(ceiling(E68),Class!$G$2:$H$501,2,true),if(C68="jv",vlookup(ceiling(E68),Class!$A$2:$B$501,2,true),vlookup(ceiling(E68),Class!$D$2:$E$501,2,true)))))</f>
        <v/>
      </c>
      <c r="C68" s="35"/>
      <c r="E68" s="36"/>
    </row>
    <row r="69">
      <c r="A69" s="4">
        <v>67.0</v>
      </c>
      <c r="B69" s="33" t="str">
        <f>if(isblank(C69),,if(C69="wjv",vlookup(ceiling(E69),Class!$J$2:$K$501,2,true),if(C69="w",vlookup(ceiling(E69),Class!$G$2:$H$501,2,true),if(C69="jv",vlookup(ceiling(E69),Class!$A$2:$B$501,2,true),vlookup(ceiling(E69),Class!$D$2:$E$501,2,true)))))</f>
        <v/>
      </c>
      <c r="C69" s="35"/>
      <c r="E69" s="36"/>
    </row>
    <row r="70">
      <c r="A70" s="4">
        <v>68.0</v>
      </c>
      <c r="B70" s="33" t="str">
        <f>if(isblank(C70),,if(C70="wjv",vlookup(ceiling(E70),Class!$J$2:$K$501,2,true),if(C70="w",vlookup(ceiling(E70),Class!$G$2:$H$501,2,true),if(C70="jv",vlookup(ceiling(E70),Class!$A$2:$B$501,2,true),vlookup(ceiling(E70),Class!$D$2:$E$501,2,true)))))</f>
        <v/>
      </c>
      <c r="C70" s="35"/>
      <c r="E70" s="36"/>
    </row>
    <row r="71">
      <c r="A71" s="4">
        <v>69.0</v>
      </c>
      <c r="B71" s="33" t="str">
        <f>if(isblank(C71),,if(C71="wjv",vlookup(ceiling(E71),Class!$J$2:$K$501,2,true),if(C71="w",vlookup(ceiling(E71),Class!$G$2:$H$501,2,true),if(C71="jv",vlookup(ceiling(E71),Class!$A$2:$B$501,2,true),vlookup(ceiling(E71),Class!$D$2:$E$501,2,true)))))</f>
        <v/>
      </c>
      <c r="C71" s="35"/>
      <c r="E71" s="36"/>
    </row>
    <row r="72">
      <c r="A72" s="4">
        <v>70.0</v>
      </c>
      <c r="B72" s="33" t="str">
        <f>if(isblank(C72),,if(C72="wjv",vlookup(ceiling(E72),Class!$J$2:$K$501,2,true),if(C72="w",vlookup(ceiling(E72),Class!$G$2:$H$501,2,true),if(C72="jv",vlookup(ceiling(E72),Class!$A$2:$B$501,2,true),vlookup(ceiling(E72),Class!$D$2:$E$501,2,true)))))</f>
        <v/>
      </c>
      <c r="C72" s="35"/>
      <c r="E72" s="36"/>
    </row>
    <row r="73">
      <c r="A73" s="4">
        <v>71.0</v>
      </c>
      <c r="B73" s="33" t="str">
        <f>if(isblank(C73),,if(C73="wjv",vlookup(ceiling(E73),Class!$J$2:$K$501,2,true),if(C73="w",vlookup(ceiling(E73),Class!$G$2:$H$501,2,true),if(C73="jv",vlookup(ceiling(E73),Class!$A$2:$B$501,2,true),vlookup(ceiling(E73),Class!$D$2:$E$501,2,true)))))</f>
        <v/>
      </c>
      <c r="C73" s="35"/>
      <c r="E73" s="36"/>
    </row>
    <row r="74">
      <c r="A74" s="4">
        <v>72.0</v>
      </c>
      <c r="B74" s="33" t="str">
        <f>if(isblank(C74),,if(C74="wjv",vlookup(ceiling(E74),Class!$J$2:$K$501,2,true),if(C74="w",vlookup(ceiling(E74),Class!$G$2:$H$501,2,true),if(C74="jv",vlookup(ceiling(E74),Class!$A$2:$B$501,2,true),vlookup(ceiling(E74),Class!$D$2:$E$501,2,true)))))</f>
        <v/>
      </c>
      <c r="C74" s="35"/>
      <c r="E74" s="36"/>
    </row>
    <row r="75">
      <c r="A75" s="4">
        <v>73.0</v>
      </c>
      <c r="B75" s="33" t="str">
        <f>if(isblank(C75),,if(C75="wjv",vlookup(ceiling(E75),Class!$J$2:$K$501,2,true),if(C75="w",vlookup(ceiling(E75),Class!$G$2:$H$501,2,true),if(C75="jv",vlookup(ceiling(E75),Class!$A$2:$B$501,2,true),vlookup(ceiling(E75),Class!$D$2:$E$501,2,true)))))</f>
        <v/>
      </c>
      <c r="C75" s="35"/>
      <c r="E75" s="36"/>
    </row>
    <row r="76">
      <c r="A76" s="4">
        <v>74.0</v>
      </c>
      <c r="B76" s="33" t="str">
        <f>if(isblank(C76),,if(C76="wjv",vlookup(ceiling(E76),Class!$J$2:$K$501,2,true),if(C76="w",vlookup(ceiling(E76),Class!$G$2:$H$501,2,true),if(C76="jv",vlookup(ceiling(E76),Class!$A$2:$B$501,2,true),vlookup(ceiling(E76),Class!$D$2:$E$501,2,true)))))</f>
        <v/>
      </c>
      <c r="C76" s="35"/>
      <c r="E76" s="36"/>
    </row>
    <row r="77">
      <c r="A77" s="4">
        <v>75.0</v>
      </c>
      <c r="B77" s="33" t="str">
        <f>if(isblank(C77),,if(C77="wjv",vlookup(ceiling(E77),Class!$J$2:$K$501,2,true),if(C77="w",vlookup(ceiling(E77),Class!$G$2:$H$501,2,true),if(C77="jv",vlookup(ceiling(E77),Class!$A$2:$B$501,2,true),vlookup(ceiling(E77),Class!$D$2:$E$501,2,true)))))</f>
        <v/>
      </c>
      <c r="C77" s="35"/>
      <c r="E77" s="36"/>
    </row>
    <row r="78">
      <c r="A78" s="4">
        <v>76.0</v>
      </c>
      <c r="B78" s="33" t="str">
        <f>if(isblank(C78),,if(C78="wjv",vlookup(ceiling(E78),Class!$J$2:$K$501,2,true),if(C78="w",vlookup(ceiling(E78),Class!$G$2:$H$501,2,true),if(C78="jv",vlookup(ceiling(E78),Class!$A$2:$B$501,2,true),vlookup(ceiling(E78),Class!$D$2:$E$501,2,true)))))</f>
        <v/>
      </c>
      <c r="C78" s="35"/>
      <c r="E78" s="36"/>
    </row>
    <row r="79">
      <c r="A79" s="4">
        <v>77.0</v>
      </c>
      <c r="B79" s="33" t="str">
        <f>if(isblank(C79),,if(C79="wjv",vlookup(ceiling(E79),Class!$J$2:$K$501,2,true),if(C79="w",vlookup(ceiling(E79),Class!$G$2:$H$501,2,true),if(C79="jv",vlookup(ceiling(E79),Class!$A$2:$B$501,2,true),vlookup(ceiling(E79),Class!$D$2:$E$501,2,true)))))</f>
        <v/>
      </c>
      <c r="C79" s="35"/>
      <c r="E79" s="36"/>
    </row>
    <row r="80">
      <c r="A80" s="4">
        <v>78.0</v>
      </c>
      <c r="B80" s="33" t="str">
        <f>if(isblank(C80),,if(C80="wjv",vlookup(ceiling(E80),Class!$J$2:$K$501,2,true),if(C80="w",vlookup(ceiling(E80),Class!$G$2:$H$501,2,true),if(C80="jv",vlookup(ceiling(E80),Class!$A$2:$B$501,2,true),vlookup(ceiling(E80),Class!$D$2:$E$501,2,true)))))</f>
        <v/>
      </c>
      <c r="C80" s="35"/>
      <c r="E80" s="36"/>
    </row>
    <row r="81">
      <c r="A81" s="4">
        <v>79.0</v>
      </c>
      <c r="B81" s="33" t="str">
        <f>if(isblank(C81),,if(C81="wjv",vlookup(ceiling(E81),Class!$J$2:$K$501,2,true),if(C81="w",vlookup(ceiling(E81),Class!$G$2:$H$501,2,true),if(C81="jv",vlookup(ceiling(E81),Class!$A$2:$B$501,2,true),vlookup(ceiling(E81),Class!$D$2:$E$501,2,true)))))</f>
        <v/>
      </c>
      <c r="C81" s="35"/>
      <c r="E81" s="36"/>
    </row>
    <row r="82">
      <c r="A82" s="4">
        <v>80.0</v>
      </c>
      <c r="B82" s="33" t="str">
        <f>if(isblank(C82),,if(C82="wjv",vlookup(ceiling(E82),Class!$J$2:$K$501,2,true),if(C82="w",vlookup(ceiling(E82),Class!$G$2:$H$501,2,true),if(C82="jv",vlookup(ceiling(E82),Class!$A$2:$B$501,2,true),vlookup(ceiling(E82),Class!$D$2:$E$501,2,true)))))</f>
        <v/>
      </c>
      <c r="C82" s="35"/>
      <c r="E82" s="36"/>
    </row>
    <row r="83">
      <c r="A83" s="4">
        <v>81.0</v>
      </c>
      <c r="B83" s="33" t="str">
        <f>if(isblank(C83),,if(C83="wjv",vlookup(ceiling(E83),Class!$J$2:$K$501,2,true),if(C83="w",vlookup(ceiling(E83),Class!$G$2:$H$501,2,true),if(C83="jv",vlookup(ceiling(E83),Class!$A$2:$B$501,2,true),vlookup(ceiling(E83),Class!$D$2:$E$501,2,true)))))</f>
        <v/>
      </c>
      <c r="C83" s="35"/>
      <c r="E83" s="36"/>
    </row>
    <row r="84">
      <c r="A84" s="4">
        <v>82.0</v>
      </c>
      <c r="B84" s="33" t="str">
        <f>if(isblank(C84),,if(C84="wjv",vlookup(ceiling(E84),Class!$J$2:$K$501,2,true),if(C84="w",vlookup(ceiling(E84),Class!$G$2:$H$501,2,true),if(C84="jv",vlookup(ceiling(E84),Class!$A$2:$B$501,2,true),vlookup(ceiling(E84),Class!$D$2:$E$501,2,true)))))</f>
        <v/>
      </c>
      <c r="C84" s="35"/>
      <c r="E84" s="36"/>
    </row>
    <row r="85">
      <c r="A85" s="4">
        <v>83.0</v>
      </c>
      <c r="B85" s="33" t="str">
        <f>if(isblank(C85),,if(C85="wjv",vlookup(ceiling(E85),Class!$J$2:$K$501,2,true),if(C85="w",vlookup(ceiling(E85),Class!$G$2:$H$501,2,true),if(C85="jv",vlookup(ceiling(E85),Class!$A$2:$B$501,2,true),vlookup(ceiling(E85),Class!$D$2:$E$501,2,true)))))</f>
        <v/>
      </c>
      <c r="C85" s="35"/>
      <c r="E85" s="36"/>
    </row>
    <row r="86">
      <c r="A86" s="4">
        <v>84.0</v>
      </c>
      <c r="B86" s="33" t="str">
        <f>if(isblank(C86),,if(C86="wjv",vlookup(ceiling(E86),Class!$J$2:$K$501,2,true),if(C86="w",vlookup(ceiling(E86),Class!$G$2:$H$501,2,true),if(C86="jv",vlookup(ceiling(E86),Class!$A$2:$B$501,2,true),vlookup(ceiling(E86),Class!$D$2:$E$501,2,true)))))</f>
        <v/>
      </c>
      <c r="C86" s="35"/>
      <c r="E86" s="36"/>
    </row>
    <row r="87">
      <c r="A87" s="4">
        <v>85.0</v>
      </c>
      <c r="B87" s="33" t="str">
        <f>if(isblank(C87),,if(C87="wjv",vlookup(ceiling(E87),Class!$J$2:$K$501,2,true),if(C87="w",vlookup(ceiling(E87),Class!$G$2:$H$501,2,true),if(C87="jv",vlookup(ceiling(E87),Class!$A$2:$B$501,2,true),vlookup(ceiling(E87),Class!$D$2:$E$501,2,true)))))</f>
        <v/>
      </c>
      <c r="C87" s="35"/>
      <c r="E87" s="36"/>
    </row>
    <row r="88">
      <c r="A88" s="4">
        <v>86.0</v>
      </c>
      <c r="B88" s="33" t="str">
        <f>if(isblank(C88),,if(C88="wjv",vlookup(ceiling(E88),Class!$J$2:$K$501,2,true),if(C88="w",vlookup(ceiling(E88),Class!$G$2:$H$501,2,true),if(C88="jv",vlookup(ceiling(E88),Class!$A$2:$B$501,2,true),vlookup(ceiling(E88),Class!$D$2:$E$501,2,true)))))</f>
        <v/>
      </c>
      <c r="C88" s="35"/>
      <c r="E88" s="36"/>
    </row>
    <row r="89">
      <c r="A89" s="4">
        <v>87.0</v>
      </c>
      <c r="B89" s="33" t="str">
        <f>if(isblank(C89),,if(C89="wjv",vlookup(ceiling(E89),Class!$J$2:$K$501,2,true),if(C89="w",vlookup(ceiling(E89),Class!$G$2:$H$501,2,true),if(C89="jv",vlookup(ceiling(E89),Class!$A$2:$B$501,2,true),vlookup(ceiling(E89),Class!$D$2:$E$501,2,true)))))</f>
        <v/>
      </c>
      <c r="C89" s="35"/>
      <c r="E89" s="36"/>
    </row>
    <row r="90">
      <c r="A90" s="4">
        <v>88.0</v>
      </c>
      <c r="B90" s="33" t="str">
        <f>if(isblank(C90),,if(C90="wjv",vlookup(ceiling(E90),Class!$J$2:$K$501,2,true),if(C90="w",vlookup(ceiling(E90),Class!$G$2:$H$501,2,true),if(C90="jv",vlookup(ceiling(E90),Class!$A$2:$B$501,2,true),vlookup(ceiling(E90),Class!$D$2:$E$501,2,true)))))</f>
        <v/>
      </c>
      <c r="C90" s="35"/>
      <c r="E90" s="36"/>
    </row>
    <row r="91">
      <c r="A91" s="4">
        <v>89.0</v>
      </c>
      <c r="B91" s="33" t="str">
        <f>if(isblank(C91),,if(C91="wjv",vlookup(ceiling(E91),Class!$J$2:$K$501,2,true),if(C91="w",vlookup(ceiling(E91),Class!$G$2:$H$501,2,true),if(C91="jv",vlookup(ceiling(E91),Class!$A$2:$B$501,2,true),vlookup(ceiling(E91),Class!$D$2:$E$501,2,true)))))</f>
        <v/>
      </c>
      <c r="C91" s="35"/>
      <c r="E91" s="36"/>
    </row>
    <row r="92">
      <c r="A92" s="4">
        <v>90.0</v>
      </c>
      <c r="B92" s="33" t="str">
        <f>if(isblank(C92),,if(C92="wjv",vlookup(ceiling(E92),Class!$J$2:$K$501,2,true),if(C92="w",vlookup(ceiling(E92),Class!$G$2:$H$501,2,true),if(C92="jv",vlookup(ceiling(E92),Class!$A$2:$B$501,2,true),vlookup(ceiling(E92),Class!$D$2:$E$501,2,true)))))</f>
        <v/>
      </c>
      <c r="C92" s="35"/>
      <c r="E92" s="36"/>
    </row>
    <row r="93">
      <c r="A93" s="4">
        <v>91.0</v>
      </c>
      <c r="B93" s="33" t="str">
        <f>if(isblank(C93),,if(C93="wjv",vlookup(ceiling(E93),Class!$J$2:$K$501,2,true),if(C93="w",vlookup(ceiling(E93),Class!$G$2:$H$501,2,true),if(C93="jv",vlookup(ceiling(E93),Class!$A$2:$B$501,2,true),vlookup(ceiling(E93),Class!$D$2:$E$501,2,true)))))</f>
        <v/>
      </c>
      <c r="C93" s="35"/>
      <c r="E93" s="36"/>
    </row>
    <row r="94">
      <c r="A94" s="4">
        <v>92.0</v>
      </c>
      <c r="B94" s="33" t="str">
        <f>if(isblank(C94),,if(C94="wjv",vlookup(ceiling(E94),Class!$J$2:$K$501,2,true),if(C94="w",vlookup(ceiling(E94),Class!$G$2:$H$501,2,true),if(C94="jv",vlookup(ceiling(E94),Class!$A$2:$B$501,2,true),vlookup(ceiling(E94),Class!$D$2:$E$501,2,true)))))</f>
        <v/>
      </c>
      <c r="C94" s="35"/>
      <c r="E94" s="36"/>
    </row>
    <row r="95">
      <c r="A95" s="4">
        <v>93.0</v>
      </c>
      <c r="B95" s="33" t="str">
        <f>if(isblank(C95),,if(C95="wjv",vlookup(ceiling(E95),Class!$J$2:$K$501,2,true),if(C95="w",vlookup(ceiling(E95),Class!$G$2:$H$501,2,true),if(C95="jv",vlookup(ceiling(E95),Class!$A$2:$B$501,2,true),vlookup(ceiling(E95),Class!$D$2:$E$501,2,true)))))</f>
        <v/>
      </c>
      <c r="C95" s="35"/>
      <c r="E95" s="36"/>
    </row>
    <row r="96">
      <c r="A96" s="4">
        <v>94.0</v>
      </c>
      <c r="B96" s="33" t="str">
        <f>if(isblank(C96),,if(C96="wjv",vlookup(ceiling(E96),Class!$J$2:$K$501,2,true),if(C96="w",vlookup(ceiling(E96),Class!$G$2:$H$501,2,true),if(C96="jv",vlookup(ceiling(E96),Class!$A$2:$B$501,2,true),vlookup(ceiling(E96),Class!$D$2:$E$501,2,true)))))</f>
        <v/>
      </c>
      <c r="C96" s="35"/>
      <c r="E96" s="36"/>
    </row>
    <row r="97">
      <c r="A97" s="4">
        <v>95.0</v>
      </c>
      <c r="B97" s="33" t="str">
        <f>if(isblank(C97),,if(C97="wjv",vlookup(ceiling(E97),Class!$J$2:$K$501,2,true),if(C97="w",vlookup(ceiling(E97),Class!$G$2:$H$501,2,true),if(C97="jv",vlookup(ceiling(E97),Class!$A$2:$B$501,2,true),vlookup(ceiling(E97),Class!$D$2:$E$501,2,true)))))</f>
        <v/>
      </c>
      <c r="C97" s="35"/>
      <c r="E97" s="36"/>
    </row>
    <row r="98">
      <c r="A98" s="4">
        <v>96.0</v>
      </c>
      <c r="B98" s="33" t="str">
        <f>if(isblank(C98),,if(C98="wjv",vlookup(ceiling(E98),Class!$J$2:$K$501,2,true),if(C98="w",vlookup(ceiling(E98),Class!$G$2:$H$501,2,true),if(C98="jv",vlookup(ceiling(E98),Class!$A$2:$B$501,2,true),vlookup(ceiling(E98),Class!$D$2:$E$501,2,true)))))</f>
        <v/>
      </c>
      <c r="C98" s="35"/>
      <c r="E98" s="36"/>
    </row>
    <row r="99">
      <c r="A99" s="4">
        <v>97.0</v>
      </c>
      <c r="B99" s="33" t="str">
        <f>if(isblank(C99),,if(C99="wjv",vlookup(ceiling(E99),Class!$J$2:$K$501,2,true),if(C99="w",vlookup(ceiling(E99),Class!$G$2:$H$501,2,true),if(C99="jv",vlookup(ceiling(E99),Class!$A$2:$B$501,2,true),vlookup(ceiling(E99),Class!$D$2:$E$501,2,true)))))</f>
        <v/>
      </c>
      <c r="C99" s="35"/>
      <c r="E99" s="36"/>
    </row>
    <row r="100">
      <c r="A100" s="4">
        <v>98.0</v>
      </c>
      <c r="B100" s="33" t="str">
        <f>if(isblank(C100),,if(C100="wjv",vlookup(ceiling(E100),Class!$J$2:$K$501,2,true),if(C100="w",vlookup(ceiling(E100),Class!$G$2:$H$501,2,true),if(C100="jv",vlookup(ceiling(E100),Class!$A$2:$B$501,2,true),vlookup(ceiling(E100),Class!$D$2:$E$501,2,true)))))</f>
        <v/>
      </c>
      <c r="C100" s="35"/>
      <c r="E100" s="36"/>
    </row>
    <row r="101">
      <c r="A101" s="4">
        <v>99.0</v>
      </c>
      <c r="B101" s="33" t="str">
        <f>if(isblank(C101),,if(C101="wjv",vlookup(ceiling(E101),Class!$J$2:$K$501,2,true),if(C101="w",vlookup(ceiling(E101),Class!$G$2:$H$501,2,true),if(C101="jv",vlookup(ceiling(E101),Class!$A$2:$B$501,2,true),vlookup(ceiling(E101),Class!$D$2:$E$501,2,true)))))</f>
        <v/>
      </c>
      <c r="C101" s="35"/>
      <c r="E101" s="36"/>
    </row>
    <row r="102">
      <c r="A102" s="4">
        <v>100.0</v>
      </c>
      <c r="B102" s="33" t="str">
        <f>if(isblank(C102),,if(C102="wjv",vlookup(ceiling(E102),Class!$J$2:$K$501,2,true),if(C102="w",vlookup(ceiling(E102),Class!$G$2:$H$501,2,true),if(C102="jv",vlookup(ceiling(E102),Class!$A$2:$B$501,2,true),vlookup(ceiling(E102),Class!$D$2:$E$501,2,true)))))</f>
        <v/>
      </c>
      <c r="C102" s="35"/>
      <c r="E102" s="36"/>
    </row>
    <row r="103">
      <c r="A103" s="4">
        <v>101.0</v>
      </c>
      <c r="B103" s="33" t="str">
        <f>if(isblank(C103),,if(C103="wjv",vlookup(ceiling(E103),Class!$J$2:$K$501,2,true),if(C103="w",vlookup(ceiling(E103),Class!$G$2:$H$501,2,true),if(C103="jv",vlookup(ceiling(E103),Class!$A$2:$B$501,2,true),vlookup(ceiling(E103),Class!$D$2:$E$501,2,true)))))</f>
        <v/>
      </c>
      <c r="C103" s="35"/>
      <c r="E103" s="36"/>
    </row>
    <row r="104">
      <c r="A104" s="4">
        <v>102.0</v>
      </c>
      <c r="B104" s="33" t="str">
        <f>if(isblank(C104),,if(C104="wjv",vlookup(ceiling(E104),Class!$J$2:$K$501,2,true),if(C104="w",vlookup(ceiling(E104),Class!$G$2:$H$501,2,true),if(C104="jv",vlookup(ceiling(E104),Class!$A$2:$B$501,2,true),vlookup(ceiling(E104),Class!$D$2:$E$501,2,true)))))</f>
        <v/>
      </c>
      <c r="C104" s="35"/>
      <c r="E104" s="36"/>
    </row>
    <row r="105">
      <c r="A105" s="4">
        <v>103.0</v>
      </c>
      <c r="B105" s="33" t="str">
        <f>if(isblank(C105),,if(C105="wjv",vlookup(ceiling(E105),Class!$J$2:$K$501,2,true),if(C105="w",vlookup(ceiling(E105),Class!$G$2:$H$501,2,true),if(C105="jv",vlookup(ceiling(E105),Class!$A$2:$B$501,2,true),vlookup(ceiling(E105),Class!$D$2:$E$501,2,true)))))</f>
        <v/>
      </c>
      <c r="C105" s="35"/>
      <c r="E105" s="36"/>
    </row>
    <row r="106">
      <c r="A106" s="4">
        <v>104.0</v>
      </c>
      <c r="B106" s="33" t="str">
        <f>if(isblank(C106),,if(C106="wjv",vlookup(ceiling(E106),Class!$J$2:$K$501,2,true),if(C106="w",vlookup(ceiling(E106),Class!$G$2:$H$501,2,true),if(C106="jv",vlookup(ceiling(E106),Class!$A$2:$B$501,2,true),vlookup(ceiling(E106),Class!$D$2:$E$501,2,true)))))</f>
        <v/>
      </c>
      <c r="C106" s="35"/>
      <c r="E106" s="36"/>
    </row>
    <row r="107">
      <c r="A107" s="4">
        <v>105.0</v>
      </c>
      <c r="B107" s="33" t="str">
        <f>if(isblank(C107),,if(C107="wjv",vlookup(ceiling(E107),Class!$J$2:$K$501,2,true),if(C107="w",vlookup(ceiling(E107),Class!$G$2:$H$501,2,true),if(C107="jv",vlookup(ceiling(E107),Class!$A$2:$B$501,2,true),vlookup(ceiling(E107),Class!$D$2:$E$501,2,true)))))</f>
        <v/>
      </c>
      <c r="C107" s="35"/>
      <c r="E107" s="36"/>
    </row>
    <row r="108">
      <c r="A108" s="4">
        <v>106.0</v>
      </c>
      <c r="B108" s="33" t="str">
        <f>if(isblank(C108),,if(C108="wjv",vlookup(ceiling(E108),Class!$J$2:$K$501,2,true),if(C108="w",vlookup(ceiling(E108),Class!$G$2:$H$501,2,true),if(C108="jv",vlookup(ceiling(E108),Class!$A$2:$B$501,2,true),vlookup(ceiling(E108),Class!$D$2:$E$501,2,true)))))</f>
        <v/>
      </c>
      <c r="C108" s="35"/>
      <c r="E108" s="36"/>
    </row>
    <row r="109">
      <c r="A109" s="4">
        <v>107.0</v>
      </c>
      <c r="B109" s="33" t="str">
        <f>if(isblank(C109),,if(C109="wjv",vlookup(ceiling(E109),Class!$J$2:$K$501,2,true),if(C109="w",vlookup(ceiling(E109),Class!$G$2:$H$501,2,true),if(C109="jv",vlookup(ceiling(E109),Class!$A$2:$B$501,2,true),vlookup(ceiling(E109),Class!$D$2:$E$501,2,true)))))</f>
        <v/>
      </c>
      <c r="C109" s="35"/>
      <c r="E109" s="36"/>
    </row>
    <row r="110">
      <c r="A110" s="4">
        <v>108.0</v>
      </c>
      <c r="B110" s="33" t="str">
        <f>if(isblank(C110),,if(C110="wjv",vlookup(ceiling(E110),Class!$J$2:$K$501,2,true),if(C110="w",vlookup(ceiling(E110),Class!$G$2:$H$501,2,true),if(C110="jv",vlookup(ceiling(E110),Class!$A$2:$B$501,2,true),vlookup(ceiling(E110),Class!$D$2:$E$501,2,true)))))</f>
        <v/>
      </c>
      <c r="C110" s="35"/>
      <c r="E110" s="36"/>
    </row>
    <row r="111">
      <c r="A111" s="4">
        <v>109.0</v>
      </c>
      <c r="B111" s="33" t="str">
        <f>if(isblank(C111),,if(C111="wjv",vlookup(ceiling(E111),Class!$J$2:$K$501,2,true),if(C111="w",vlookup(ceiling(E111),Class!$G$2:$H$501,2,true),if(C111="jv",vlookup(ceiling(E111),Class!$A$2:$B$501,2,true),vlookup(ceiling(E111),Class!$D$2:$E$501,2,true)))))</f>
        <v/>
      </c>
      <c r="C111" s="35"/>
      <c r="E111" s="36"/>
    </row>
    <row r="112">
      <c r="A112" s="4">
        <v>110.0</v>
      </c>
      <c r="B112" s="33" t="str">
        <f>if(isblank(C112),,if(C112="wjv",vlookup(ceiling(E112),Class!$J$2:$K$501,2,true),if(C112="w",vlookup(ceiling(E112),Class!$G$2:$H$501,2,true),if(C112="jv",vlookup(ceiling(E112),Class!$A$2:$B$501,2,true),vlookup(ceiling(E112),Class!$D$2:$E$501,2,true)))))</f>
        <v/>
      </c>
      <c r="C112" s="35"/>
      <c r="E112" s="36"/>
    </row>
    <row r="113">
      <c r="A113" s="4">
        <v>111.0</v>
      </c>
      <c r="B113" s="33" t="str">
        <f>if(isblank(C113),,if(C113="wjv",vlookup(ceiling(E113),Class!$J$2:$K$501,2,true),if(C113="w",vlookup(ceiling(E113),Class!$G$2:$H$501,2,true),if(C113="jv",vlookup(ceiling(E113),Class!$A$2:$B$501,2,true),vlookup(ceiling(E113),Class!$D$2:$E$501,2,true)))))</f>
        <v/>
      </c>
      <c r="C113" s="35"/>
      <c r="E113" s="36"/>
    </row>
    <row r="114">
      <c r="A114" s="4">
        <v>112.0</v>
      </c>
      <c r="B114" s="33" t="str">
        <f>if(isblank(C114),,if(C114="wjv",vlookup(ceiling(E114),Class!$J$2:$K$501,2,true),if(C114="w",vlookup(ceiling(E114),Class!$G$2:$H$501,2,true),if(C114="jv",vlookup(ceiling(E114),Class!$A$2:$B$501,2,true),vlookup(ceiling(E114),Class!$D$2:$E$501,2,true)))))</f>
        <v/>
      </c>
      <c r="C114" s="35"/>
      <c r="E114" s="36"/>
    </row>
    <row r="115">
      <c r="A115" s="4">
        <v>113.0</v>
      </c>
      <c r="B115" s="33" t="str">
        <f>if(isblank(C115),,if(C115="wjv",vlookup(ceiling(E115),Class!$J$2:$K$501,2,true),if(C115="w",vlookup(ceiling(E115),Class!$G$2:$H$501,2,true),if(C115="jv",vlookup(ceiling(E115),Class!$A$2:$B$501,2,true),vlookup(ceiling(E115),Class!$D$2:$E$501,2,true)))))</f>
        <v/>
      </c>
      <c r="C115" s="35"/>
      <c r="E115" s="36"/>
    </row>
    <row r="116">
      <c r="A116" s="4">
        <v>114.0</v>
      </c>
      <c r="B116" s="33" t="str">
        <f>if(isblank(C116),,if(C116="wjv",vlookup(ceiling(E116),Class!$J$2:$K$501,2,true),if(C116="w",vlookup(ceiling(E116),Class!$G$2:$H$501,2,true),if(C116="jv",vlookup(ceiling(E116),Class!$A$2:$B$501,2,true),vlookup(ceiling(E116),Class!$D$2:$E$501,2,true)))))</f>
        <v/>
      </c>
      <c r="C116" s="65"/>
      <c r="E116" s="74"/>
    </row>
    <row r="117">
      <c r="A117" s="4">
        <v>115.0</v>
      </c>
      <c r="B117" s="33" t="str">
        <f>if(isblank(C117),,if(C117="wjv",vlookup(ceiling(E117),Class!$J$2:$K$501,2,true),if(C117="w",vlookup(ceiling(E117),Class!$G$2:$H$501,2,true),if(C117="jv",vlookup(ceiling(E117),Class!$A$2:$B$501,2,true),vlookup(ceiling(E117),Class!$D$2:$E$501,2,true)))))</f>
        <v/>
      </c>
      <c r="C117" s="65"/>
      <c r="E117" s="74"/>
    </row>
    <row r="118">
      <c r="A118" s="4">
        <v>116.0</v>
      </c>
      <c r="B118" s="33" t="str">
        <f>if(isblank(C118),,if(C118="wjv",vlookup(ceiling(E118),Class!$J$2:$K$501,2,true),if(C118="w",vlookup(ceiling(E118),Class!$G$2:$H$501,2,true),if(C118="jv",vlookup(ceiling(E118),Class!$A$2:$B$501,2,true),vlookup(ceiling(E118),Class!$D$2:$E$501,2,true)))))</f>
        <v/>
      </c>
      <c r="C118" s="65"/>
      <c r="E118" s="74"/>
    </row>
    <row r="119">
      <c r="A119" s="4">
        <v>117.0</v>
      </c>
      <c r="B119" s="33" t="str">
        <f>if(isblank(C119),,if(C119="wjv",vlookup(ceiling(E119),Class!$J$2:$K$501,2,true),if(C119="w",vlookup(ceiling(E119),Class!$G$2:$H$501,2,true),if(C119="jv",vlookup(ceiling(E119),Class!$A$2:$B$501,2,true),vlookup(ceiling(E119),Class!$D$2:$E$501,2,true)))))</f>
        <v/>
      </c>
      <c r="C119" s="65"/>
      <c r="E119" s="74"/>
    </row>
    <row r="120">
      <c r="A120" s="4">
        <v>118.0</v>
      </c>
      <c r="B120" s="33" t="str">
        <f>if(isblank(C120),,if(C120="wjv",vlookup(ceiling(E120),Class!$J$2:$K$501,2,true),if(C120="w",vlookup(ceiling(E120),Class!$G$2:$H$501,2,true),if(C120="jv",vlookup(ceiling(E120),Class!$A$2:$B$501,2,true),vlookup(ceiling(E120),Class!$D$2:$E$501,2,true)))))</f>
        <v/>
      </c>
      <c r="C120" s="65"/>
      <c r="E120" s="74"/>
    </row>
    <row r="121">
      <c r="A121" s="4">
        <v>119.0</v>
      </c>
      <c r="B121" s="33" t="str">
        <f>if(isblank(C121),,if(C121="wjv",vlookup(ceiling(E121),Class!$J$2:$K$501,2,true),if(C121="w",vlookup(ceiling(E121),Class!$G$2:$H$501,2,true),if(C121="jv",vlookup(ceiling(E121),Class!$A$2:$B$501,2,true),vlookup(ceiling(E121),Class!$D$2:$E$501,2,true)))))</f>
        <v/>
      </c>
      <c r="C121" s="65"/>
      <c r="E121" s="74"/>
    </row>
    <row r="122">
      <c r="A122" s="4">
        <v>120.0</v>
      </c>
      <c r="B122" s="33" t="str">
        <f>if(isblank(C122),,if(C122="wjv",vlookup(ceiling(E122),Class!$J$2:$K$501,2,true),if(C122="w",vlookup(ceiling(E122),Class!$G$2:$H$501,2,true),if(C122="jv",vlookup(ceiling(E122),Class!$A$2:$B$501,2,true),vlookup(ceiling(E122),Class!$D$2:$E$501,2,true)))))</f>
        <v/>
      </c>
      <c r="C122" s="65"/>
      <c r="E122" s="74"/>
    </row>
    <row r="123">
      <c r="A123" s="4">
        <v>121.0</v>
      </c>
      <c r="B123" s="33" t="str">
        <f>if(isblank(C123),,if(C123="wjv",vlookup(ceiling(E123),Class!$J$2:$K$501,2,true),if(C123="w",vlookup(ceiling(E123),Class!$G$2:$H$501,2,true),if(C123="jv",vlookup(ceiling(E123),Class!$A$2:$B$501,2,true),vlookup(ceiling(E123),Class!$D$2:$E$501,2,true)))))</f>
        <v/>
      </c>
      <c r="C123" s="65"/>
      <c r="E123" s="74"/>
    </row>
    <row r="124">
      <c r="A124" s="4">
        <v>122.0</v>
      </c>
      <c r="B124" s="33" t="str">
        <f>if(isblank(C124),,if(C124="wjv",vlookup(ceiling(E124),Class!$J$2:$K$501,2,true),if(C124="w",vlookup(ceiling(E124),Class!$G$2:$H$501,2,true),if(C124="jv",vlookup(ceiling(E124),Class!$A$2:$B$501,2,true),vlookup(ceiling(E124),Class!$D$2:$E$501,2,true)))))</f>
        <v/>
      </c>
      <c r="C124" s="65"/>
      <c r="E124" s="74"/>
    </row>
    <row r="125">
      <c r="A125" s="4">
        <v>123.0</v>
      </c>
      <c r="B125" s="33" t="str">
        <f>if(isblank(C125),,if(C125="wjv",vlookup(ceiling(E125),Class!$J$2:$K$501,2,true),if(C125="w",vlookup(ceiling(E125),Class!$G$2:$H$501,2,true),if(C125="jv",vlookup(ceiling(E125),Class!$A$2:$B$501,2,true),vlookup(ceiling(E125),Class!$D$2:$E$501,2,true)))))</f>
        <v/>
      </c>
      <c r="C125" s="65"/>
      <c r="E125" s="74"/>
    </row>
    <row r="126">
      <c r="A126" s="4">
        <v>124.0</v>
      </c>
      <c r="B126" s="33" t="str">
        <f>if(isblank(C126),,if(C126="wjv",vlookup(ceiling(E126),Class!$J$2:$K$501,2,true),if(C126="w",vlookup(ceiling(E126),Class!$G$2:$H$501,2,true),if(C126="jv",vlookup(ceiling(E126),Class!$A$2:$B$501,2,true),vlookup(ceiling(E126),Class!$D$2:$E$501,2,true)))))</f>
        <v/>
      </c>
      <c r="C126" s="65"/>
      <c r="E126" s="74"/>
    </row>
    <row r="127">
      <c r="A127" s="4">
        <v>125.0</v>
      </c>
      <c r="B127" s="33" t="str">
        <f>if(isblank(C127),,if(C127="wjv",vlookup(ceiling(E127),Class!$J$2:$K$501,2,true),if(C127="w",vlookup(ceiling(E127),Class!$G$2:$H$501,2,true),if(C127="jv",vlookup(ceiling(E127),Class!$A$2:$B$501,2,true),vlookup(ceiling(E127),Class!$D$2:$E$501,2,true)))))</f>
        <v/>
      </c>
      <c r="C127" s="65"/>
      <c r="E127" s="74"/>
    </row>
    <row r="128">
      <c r="A128" s="4">
        <v>126.0</v>
      </c>
      <c r="B128" s="33" t="str">
        <f>if(isblank(C128),,if(C128="wjv",vlookup(ceiling(E128),Class!$J$2:$K$501,2,true),if(C128="w",vlookup(ceiling(E128),Class!$G$2:$H$501,2,true),if(C128="jv",vlookup(ceiling(E128),Class!$A$2:$B$501,2,true),vlookup(ceiling(E128),Class!$D$2:$E$501,2,true)))))</f>
        <v/>
      </c>
      <c r="C128" s="65"/>
      <c r="E128" s="74"/>
    </row>
    <row r="129">
      <c r="A129" s="4">
        <v>127.0</v>
      </c>
      <c r="B129" s="33" t="str">
        <f>if(isblank(C129),,if(C129="wjv",vlookup(ceiling(E129),Class!$J$2:$K$501,2,true),if(C129="w",vlookup(ceiling(E129),Class!$G$2:$H$501,2,true),if(C129="jv",vlookup(ceiling(E129),Class!$A$2:$B$501,2,true),vlookup(ceiling(E129),Class!$D$2:$E$501,2,true)))))</f>
        <v/>
      </c>
      <c r="C129" s="65"/>
      <c r="E129" s="74"/>
    </row>
    <row r="130">
      <c r="A130" s="4">
        <v>128.0</v>
      </c>
      <c r="B130" s="33" t="str">
        <f>if(isblank(C130),,if(C130="wjv",vlookup(ceiling(E130),Class!$J$2:$K$501,2,true),if(C130="w",vlookup(ceiling(E130),Class!$G$2:$H$501,2,true),if(C130="jv",vlookup(ceiling(E130),Class!$A$2:$B$501,2,true),vlookup(ceiling(E130),Class!$D$2:$E$501,2,true)))))</f>
        <v/>
      </c>
      <c r="C130" s="65"/>
      <c r="E130" s="74"/>
      <c r="G130" s="35"/>
    </row>
    <row r="131">
      <c r="A131" s="4">
        <v>129.0</v>
      </c>
      <c r="B131" s="33" t="str">
        <f>if(isblank(C131),,if(C131="wjv",vlookup(ceiling(E131),Class!$J$2:$K$501,2,true),if(C131="w",vlookup(ceiling(E131),Class!$G$2:$H$501,2,true),if(C131="jv",vlookup(ceiling(E131),Class!$A$2:$B$501,2,true),vlookup(ceiling(E131),Class!$D$2:$E$501,2,true)))))</f>
        <v/>
      </c>
      <c r="C131" s="65"/>
      <c r="E131" s="74"/>
      <c r="G131" s="35"/>
    </row>
    <row r="132">
      <c r="A132" s="4">
        <v>130.0</v>
      </c>
      <c r="B132" s="33" t="str">
        <f>if(isblank(C132),,if(C132="wjv",vlookup(ceiling(E132),Class!$J$2:$K$501,2,true),if(C132="w",vlookup(ceiling(E132),Class!$G$2:$H$501,2,true),if(C132="jv",vlookup(ceiling(E132),Class!$A$2:$B$501,2,true),vlookup(ceiling(E132),Class!$D$2:$E$501,2,true)))))</f>
        <v/>
      </c>
      <c r="C132" s="65"/>
      <c r="E132" s="74"/>
      <c r="G132" s="35"/>
    </row>
    <row r="133">
      <c r="A133" s="4">
        <v>131.0</v>
      </c>
      <c r="B133" s="33" t="str">
        <f>if(isblank(C133),,if(C133="wjv",vlookup(ceiling(E133),Class!$J$2:$K$501,2,true),if(C133="w",vlookup(ceiling(E133),Class!$G$2:$H$501,2,true),if(C133="jv",vlookup(ceiling(E133),Class!$A$2:$B$501,2,true),vlookup(ceiling(E133),Class!$D$2:$E$501,2,true)))))</f>
        <v/>
      </c>
      <c r="C133" s="65"/>
      <c r="E133" s="74"/>
      <c r="G133" s="35"/>
    </row>
    <row r="134">
      <c r="A134" s="4">
        <v>132.0</v>
      </c>
      <c r="B134" s="33" t="str">
        <f>if(isblank(C134),,if(C134="wjv",vlookup(ceiling(E134),Class!$J$2:$K$501,2,true),if(C134="w",vlookup(ceiling(E134),Class!$G$2:$H$501,2,true),if(C134="jv",vlookup(ceiling(E134),Class!$A$2:$B$501,2,true),vlookup(ceiling(E134),Class!$D$2:$E$501,2,true)))))</f>
        <v/>
      </c>
      <c r="C134" s="65"/>
      <c r="E134" s="74"/>
      <c r="G134" s="35"/>
    </row>
    <row r="135">
      <c r="A135" s="4">
        <v>133.0</v>
      </c>
      <c r="B135" s="33" t="str">
        <f>if(isblank(C135),,if(C135="wjv",vlookup(ceiling(E135),Class!$J$2:$K$501,2,true),if(C135="w",vlookup(ceiling(E135),Class!$G$2:$H$501,2,true),if(C135="jv",vlookup(ceiling(E135),Class!$A$2:$B$501,2,true),vlookup(ceiling(E135),Class!$D$2:$E$501,2,true)))))</f>
        <v/>
      </c>
      <c r="C135" s="65"/>
      <c r="E135" s="74"/>
      <c r="G135" s="35"/>
    </row>
    <row r="136">
      <c r="A136" s="4">
        <v>134.0</v>
      </c>
      <c r="B136" s="33" t="str">
        <f>if(isblank(C136),,if(C136="wjv",vlookup(ceiling(E136),Class!$J$2:$K$501,2,true),if(C136="w",vlookup(ceiling(E136),Class!$G$2:$H$501,2,true),if(C136="jv",vlookup(ceiling(E136),Class!$A$2:$B$501,2,true),vlookup(ceiling(E136),Class!$D$2:$E$501,2,true)))))</f>
        <v/>
      </c>
      <c r="C136" s="65"/>
      <c r="E136" s="74"/>
      <c r="G136" s="35"/>
    </row>
    <row r="137">
      <c r="A137" s="4">
        <v>135.0</v>
      </c>
      <c r="B137" s="33" t="str">
        <f>if(isblank(C137),,if(C137="wjv",vlookup(ceiling(E137),Class!$J$2:$K$501,2,true),if(C137="w",vlookup(ceiling(E137),Class!$G$2:$H$501,2,true),if(C137="jv",vlookup(ceiling(E137),Class!$A$2:$B$501,2,true),vlookup(ceiling(E137),Class!$D$2:$E$501,2,true)))))</f>
        <v/>
      </c>
      <c r="C137" s="65"/>
      <c r="E137" s="74"/>
      <c r="G137" s="35"/>
    </row>
    <row r="138">
      <c r="A138" s="4">
        <v>136.0</v>
      </c>
      <c r="B138" s="33" t="str">
        <f>if(isblank(C138),,if(C138="wjv",vlookup(ceiling(E138),Class!$J$2:$K$501,2,true),if(C138="w",vlookup(ceiling(E138),Class!$G$2:$H$501,2,true),if(C138="jv",vlookup(ceiling(E138),Class!$A$2:$B$501,2,true),vlookup(ceiling(E138),Class!$D$2:$E$501,2,true)))))</f>
        <v/>
      </c>
      <c r="C138" s="65"/>
      <c r="E138" s="74"/>
      <c r="G138" s="35"/>
    </row>
    <row r="139">
      <c r="A139" s="4">
        <v>137.0</v>
      </c>
      <c r="B139" s="33" t="str">
        <f>if(isblank(C139),,if(C139="wjv",vlookup(ceiling(E139),Class!$J$2:$K$501,2,true),if(C139="w",vlookup(ceiling(E139),Class!$G$2:$H$501,2,true),if(C139="jv",vlookup(ceiling(E139),Class!$A$2:$B$501,2,true),vlookup(ceiling(E139),Class!$D$2:$E$501,2,true)))))</f>
        <v/>
      </c>
      <c r="C139" s="65"/>
      <c r="E139" s="74"/>
      <c r="G139" s="35"/>
    </row>
    <row r="140">
      <c r="A140" s="4">
        <v>138.0</v>
      </c>
      <c r="B140" s="33" t="str">
        <f>if(isblank(C140),,if(C140="wjv",vlookup(ceiling(E140),Class!$J$2:$K$501,2,true),if(C140="w",vlookup(ceiling(E140),Class!$G$2:$H$501,2,true),if(C140="jv",vlookup(ceiling(E140),Class!$A$2:$B$501,2,true),vlookup(ceiling(E140),Class!$D$2:$E$501,2,true)))))</f>
        <v/>
      </c>
      <c r="C140" s="65"/>
      <c r="E140" s="74"/>
      <c r="G140" s="35"/>
    </row>
    <row r="141">
      <c r="A141" s="4">
        <v>139.0</v>
      </c>
      <c r="B141" s="33" t="str">
        <f>if(isblank(C141),,if(C141="wjv",vlookup(ceiling(E141),Class!$J$2:$K$501,2,true),if(C141="w",vlookup(ceiling(E141),Class!$G$2:$H$501,2,true),if(C141="jv",vlookup(ceiling(E141),Class!$A$2:$B$501,2,true),vlookup(ceiling(E141),Class!$D$2:$E$501,2,true)))))</f>
        <v/>
      </c>
      <c r="C141" s="65"/>
      <c r="E141" s="74"/>
      <c r="G141" s="35"/>
    </row>
    <row r="142">
      <c r="A142" s="4">
        <v>140.0</v>
      </c>
      <c r="B142" s="33" t="str">
        <f>if(isblank(C142),,if(C142="wjv",vlookup(ceiling(E142),Class!$J$2:$K$501,2,true),if(C142="w",vlookup(ceiling(E142),Class!$G$2:$H$501,2,true),if(C142="jv",vlookup(ceiling(E142),Class!$A$2:$B$501,2,true),vlookup(ceiling(E142),Class!$D$2:$E$501,2,true)))))</f>
        <v/>
      </c>
      <c r="C142" s="65"/>
      <c r="E142" s="74"/>
      <c r="G142" s="35"/>
    </row>
    <row r="143">
      <c r="A143" s="4">
        <v>141.0</v>
      </c>
      <c r="B143" s="33" t="str">
        <f>if(isblank(C143),,if(C143="wjv",vlookup(ceiling(E143),Class!$J$2:$K$501,2,true),if(C143="w",vlookup(ceiling(E143),Class!$G$2:$H$501,2,true),if(C143="jv",vlookup(ceiling(E143),Class!$A$2:$B$501,2,true),vlookup(ceiling(E143),Class!$D$2:$E$501,2,true)))))</f>
        <v/>
      </c>
      <c r="C143" s="65"/>
      <c r="E143" s="74"/>
      <c r="G143" s="35"/>
    </row>
    <row r="144">
      <c r="A144" s="4">
        <v>142.0</v>
      </c>
      <c r="B144" s="33" t="str">
        <f>if(isblank(C144),,if(C144="wjv",vlookup(ceiling(E144),Class!$J$2:$K$501,2,true),if(C144="w",vlookup(ceiling(E144),Class!$G$2:$H$501,2,true),if(C144="jv",vlookup(ceiling(E144),Class!$A$2:$B$501,2,true),vlookup(ceiling(E144),Class!$D$2:$E$501,2,true)))))</f>
        <v/>
      </c>
      <c r="C144" s="65"/>
      <c r="E144" s="74"/>
      <c r="G144" s="35"/>
    </row>
    <row r="145">
      <c r="A145" s="4">
        <v>143.0</v>
      </c>
      <c r="B145" s="33" t="str">
        <f>if(isblank(C145),,if(C145="wjv",vlookup(ceiling(E145),Class!$J$2:$K$501,2,true),if(C145="w",vlookup(ceiling(E145),Class!$G$2:$H$501,2,true),if(C145="jv",vlookup(ceiling(E145),Class!$A$2:$B$501,2,true),vlookup(ceiling(E145),Class!$D$2:$E$501,2,true)))))</f>
        <v/>
      </c>
      <c r="C145" s="65"/>
      <c r="E145" s="74"/>
      <c r="G145" s="35"/>
    </row>
    <row r="146">
      <c r="A146" s="4">
        <v>144.0</v>
      </c>
      <c r="B146" s="33" t="str">
        <f>if(isblank(C146),,if(C146="wjv",vlookup(ceiling(E146),Class!$J$2:$K$501,2,true),if(C146="w",vlookup(ceiling(E146),Class!$G$2:$H$501,2,true),if(C146="jv",vlookup(ceiling(E146),Class!$A$2:$B$501,2,true),vlookup(ceiling(E146),Class!$D$2:$E$501,2,true)))))</f>
        <v/>
      </c>
      <c r="C146" s="65"/>
      <c r="E146" s="74"/>
      <c r="G146" s="35"/>
    </row>
    <row r="147">
      <c r="A147" s="4">
        <v>145.0</v>
      </c>
      <c r="B147" s="33" t="str">
        <f>if(isblank(C147),,if(C147="wjv",vlookup(ceiling(E147),Class!$J$2:$K$501,2,true),if(C147="w",vlookup(ceiling(E147),Class!$G$2:$H$501,2,true),if(C147="jv",vlookup(ceiling(E147),Class!$A$2:$B$501,2,true),vlookup(ceiling(E147),Class!$D$2:$E$501,2,true)))))</f>
        <v/>
      </c>
      <c r="C147" s="65"/>
      <c r="E147" s="74"/>
      <c r="G147" s="65"/>
    </row>
    <row r="148">
      <c r="A148" s="4">
        <v>146.0</v>
      </c>
      <c r="B148" s="33" t="str">
        <f>if(isblank(C148),,if(C148="wjv",vlookup(ceiling(E148),Class!$J$2:$K$501,2,true),if(C148="w",vlookup(ceiling(E148),Class!$G$2:$H$501,2,true),if(C148="jv",vlookup(ceiling(E148),Class!$A$2:$B$501,2,true),vlookup(ceiling(E148),Class!$D$2:$E$501,2,true)))))</f>
        <v/>
      </c>
      <c r="C148" s="65"/>
      <c r="E148" s="74"/>
      <c r="G148" s="35"/>
    </row>
    <row r="149">
      <c r="A149" s="4">
        <v>147.0</v>
      </c>
      <c r="B149" s="33" t="str">
        <f>if(isblank(C149),,if(C149="wjv",vlookup(ceiling(E149),Class!$J$2:$K$501,2,true),if(C149="w",vlookup(ceiling(E149),Class!$G$2:$H$501,2,true),if(C149="jv",vlookup(ceiling(E149),Class!$A$2:$B$501,2,true),vlookup(ceiling(E149),Class!$D$2:$E$501,2,true)))))</f>
        <v/>
      </c>
      <c r="C149" s="65"/>
      <c r="E149" s="74"/>
      <c r="G149" s="35"/>
    </row>
    <row r="150">
      <c r="A150" s="4">
        <v>148.0</v>
      </c>
      <c r="B150" s="33" t="str">
        <f>if(isblank(C150),,if(C150="wjv",vlookup(ceiling(E150),Class!$J$2:$K$501,2,true),if(C150="w",vlookup(ceiling(E150),Class!$G$2:$H$501,2,true),if(C150="jv",vlookup(ceiling(E150),Class!$A$2:$B$501,2,true),vlookup(ceiling(E150),Class!$D$2:$E$501,2,true)))))</f>
        <v/>
      </c>
      <c r="C150" s="65"/>
      <c r="E150" s="74"/>
      <c r="G150" s="35"/>
    </row>
    <row r="151">
      <c r="A151" s="4">
        <v>149.0</v>
      </c>
      <c r="B151" s="33" t="str">
        <f>if(isblank(C151),,if(C151="wjv",vlookup(ceiling(E151),Class!$J$2:$K$501,2,true),if(C151="w",vlookup(ceiling(E151),Class!$G$2:$H$501,2,true),if(C151="jv",vlookup(ceiling(E151),Class!$A$2:$B$501,2,true),vlookup(ceiling(E151),Class!$D$2:$E$501,2,true)))))</f>
        <v/>
      </c>
      <c r="C151" s="65"/>
      <c r="E151" s="74"/>
      <c r="G151" s="35"/>
    </row>
    <row r="152">
      <c r="A152" s="4">
        <v>150.0</v>
      </c>
      <c r="B152" s="33" t="str">
        <f>if(isblank(C152),,if(C152="wjv",vlookup(ceiling(E152),Class!$J$2:$K$501,2,true),if(C152="w",vlookup(ceiling(E152),Class!$G$2:$H$501,2,true),if(C152="jv",vlookup(ceiling(E152),Class!$A$2:$B$501,2,true),vlookup(ceiling(E152),Class!$D$2:$E$501,2,true)))))</f>
        <v/>
      </c>
      <c r="C152" s="65"/>
      <c r="E152" s="74"/>
      <c r="G152" s="35"/>
    </row>
    <row r="153">
      <c r="A153" s="4">
        <v>151.0</v>
      </c>
      <c r="B153" s="33" t="str">
        <f>if(isblank(C153),,if(C153="wjv",vlookup(ceiling(E153),Class!$J$2:$K$501,2,true),if(C153="w",vlookup(ceiling(E153),Class!$G$2:$H$501,2,true),if(C153="jv",vlookup(ceiling(E153),Class!$A$2:$B$501,2,true),vlookup(ceiling(E153),Class!$D$2:$E$501,2,true)))))</f>
        <v/>
      </c>
      <c r="C153" s="65"/>
      <c r="E153" s="74"/>
      <c r="G153" s="35"/>
    </row>
    <row r="154">
      <c r="A154" s="4">
        <v>152.0</v>
      </c>
      <c r="B154" s="33" t="str">
        <f>if(isblank(C154),,if(C154="wjv",vlookup(ceiling(E154),Class!$J$2:$K$501,2,true),if(C154="w",vlookup(ceiling(E154),Class!$G$2:$H$501,2,true),if(C154="jv",vlookup(ceiling(E154),Class!$A$2:$B$501,2,true),vlookup(ceiling(E154),Class!$D$2:$E$501,2,true)))))</f>
        <v/>
      </c>
      <c r="C154" s="65"/>
      <c r="E154" s="74"/>
      <c r="G154" s="35"/>
    </row>
    <row r="155">
      <c r="A155" s="4">
        <v>153.0</v>
      </c>
      <c r="B155" s="33" t="str">
        <f>if(isblank(C155),,if(C155="wjv",vlookup(ceiling(E155),Class!$J$2:$K$501,2,true),if(C155="w",vlookup(ceiling(E155),Class!$G$2:$H$501,2,true),if(C155="jv",vlookup(ceiling(E155),Class!$A$2:$B$501,2,true),vlookup(ceiling(E155),Class!$D$2:$E$501,2,true)))))</f>
        <v/>
      </c>
      <c r="C155" s="65"/>
      <c r="E155" s="74"/>
      <c r="G155" s="35"/>
    </row>
    <row r="156">
      <c r="A156" s="4">
        <v>154.0</v>
      </c>
      <c r="B156" s="33" t="str">
        <f>if(isblank(C156),,if(C156="wjv",vlookup(ceiling(E156),Class!$J$2:$K$501,2,true),if(C156="w",vlookup(ceiling(E156),Class!$G$2:$H$501,2,true),if(C156="jv",vlookup(ceiling(E156),Class!$A$2:$B$501,2,true),vlookup(ceiling(E156),Class!$D$2:$E$501,2,true)))))</f>
        <v/>
      </c>
      <c r="C156" s="65"/>
      <c r="D156" s="76"/>
      <c r="E156" s="74"/>
      <c r="F156" s="76"/>
      <c r="G156" s="65"/>
      <c r="H156" s="65"/>
      <c r="I156" s="65"/>
    </row>
    <row r="157">
      <c r="A157" s="4">
        <v>155.0</v>
      </c>
      <c r="B157" s="33" t="str">
        <f>if(isblank(C157),,if(C157="wjv",vlookup(ceiling(E157),Class!$J$2:$K$501,2,true),if(C157="w",vlookup(ceiling(E157),Class!$G$2:$H$501,2,true),if(C157="jv",vlookup(ceiling(E157),Class!$A$2:$B$501,2,true),vlookup(ceiling(E157),Class!$D$2:$E$501,2,true)))))</f>
        <v/>
      </c>
      <c r="C157" s="65"/>
      <c r="D157" s="76"/>
      <c r="E157" s="74"/>
      <c r="F157" s="76"/>
      <c r="G157" s="65"/>
      <c r="H157" s="65"/>
      <c r="I157" s="65"/>
    </row>
    <row r="158">
      <c r="A158" s="4">
        <v>156.0</v>
      </c>
      <c r="B158" s="33" t="str">
        <f>if(isblank(C158),,if(C158="wjv",vlookup(ceiling(E158),Class!$J$2:$K$501,2,true),if(C158="w",vlookup(ceiling(E158),Class!$G$2:$H$501,2,true),if(C158="jv",vlookup(ceiling(E158),Class!$A$2:$B$501,2,true),vlookup(ceiling(E158),Class!$D$2:$E$501,2,true)))))</f>
        <v/>
      </c>
      <c r="C158" s="65"/>
      <c r="D158" s="76"/>
      <c r="E158" s="74"/>
      <c r="F158" s="76"/>
      <c r="G158" s="65"/>
      <c r="H158" s="65"/>
      <c r="I158" s="65"/>
    </row>
    <row r="159">
      <c r="A159" s="4">
        <v>157.0</v>
      </c>
      <c r="B159" s="33" t="str">
        <f>if(isblank(C159),,if(C159="wjv",vlookup(ceiling(E159),Class!$J$2:$K$501,2,true),if(C159="w",vlookup(ceiling(E159),Class!$G$2:$H$501,2,true),if(C159="jv",vlookup(ceiling(E159),Class!$A$2:$B$501,2,true),vlookup(ceiling(E159),Class!$D$2:$E$501,2,true)))))</f>
        <v/>
      </c>
      <c r="C159" s="65"/>
      <c r="D159" s="76"/>
      <c r="E159" s="74"/>
      <c r="F159" s="76"/>
      <c r="G159" s="65"/>
      <c r="H159" s="65"/>
      <c r="I159" s="65"/>
    </row>
    <row r="160">
      <c r="A160" s="4">
        <v>158.0</v>
      </c>
      <c r="B160" s="33" t="str">
        <f>if(isblank(C160),,if(C160="wjv",vlookup(ceiling(E160),Class!$J$2:$K$501,2,true),if(C160="w",vlookup(ceiling(E160),Class!$G$2:$H$501,2,true),if(C160="jv",vlookup(ceiling(E160),Class!$A$2:$B$501,2,true),vlookup(ceiling(E160),Class!$D$2:$E$501,2,true)))))</f>
        <v/>
      </c>
      <c r="C160" s="65"/>
      <c r="D160" s="76"/>
      <c r="E160" s="74"/>
      <c r="F160" s="76"/>
      <c r="G160" s="65"/>
      <c r="H160" s="65"/>
      <c r="I160" s="65"/>
    </row>
    <row r="161">
      <c r="A161" s="4">
        <v>159.0</v>
      </c>
      <c r="B161" s="33" t="str">
        <f>if(isblank(C161),,if(C161="wjv",vlookup(ceiling(E161),Class!$J$2:$K$501,2,true),if(C161="w",vlookup(ceiling(E161),Class!$G$2:$H$501,2,true),if(C161="jv",vlookup(ceiling(E161),Class!$A$2:$B$501,2,true),vlookup(ceiling(E161),Class!$D$2:$E$501,2,true)))))</f>
        <v/>
      </c>
      <c r="C161" s="65"/>
      <c r="D161" s="76"/>
      <c r="E161" s="74"/>
      <c r="F161" s="76"/>
      <c r="G161" s="65"/>
      <c r="H161" s="65"/>
      <c r="I161" s="65"/>
    </row>
    <row r="162">
      <c r="A162" s="4">
        <v>160.0</v>
      </c>
      <c r="B162" s="33" t="str">
        <f>if(isblank(C162),,if(C162="wjv",vlookup(ceiling(E162),Class!$J$2:$K$501,2,true),if(C162="w",vlookup(ceiling(E162),Class!$G$2:$H$501,2,true),if(C162="jv",vlookup(ceiling(E162),Class!$A$2:$B$501,2,true),vlookup(ceiling(E162),Class!$D$2:$E$501,2,true)))))</f>
        <v/>
      </c>
      <c r="C162" s="65"/>
      <c r="D162" s="76"/>
      <c r="E162" s="74"/>
      <c r="F162" s="76"/>
      <c r="G162" s="65"/>
      <c r="H162" s="65"/>
      <c r="I162" s="65"/>
    </row>
    <row r="163">
      <c r="A163" s="4">
        <v>161.0</v>
      </c>
      <c r="B163" s="33" t="str">
        <f>if(isblank(C163),,if(C163="wjv",vlookup(ceiling(E163),Class!$J$2:$K$501,2,true),if(C163="w",vlookup(ceiling(E163),Class!$G$2:$H$501,2,true),if(C163="jv",vlookup(ceiling(E163),Class!$A$2:$B$501,2,true),vlookup(ceiling(E163),Class!$D$2:$E$501,2,true)))))</f>
        <v/>
      </c>
      <c r="C163" s="65"/>
      <c r="D163" s="76"/>
      <c r="E163" s="74"/>
      <c r="F163" s="76"/>
      <c r="G163" s="65"/>
      <c r="H163" s="65"/>
      <c r="I163" s="65"/>
    </row>
    <row r="164">
      <c r="A164" s="4">
        <v>162.0</v>
      </c>
      <c r="B164" s="33" t="str">
        <f>if(isblank(C164),,if(C164="wjv",vlookup(ceiling(E164),Class!$J$2:$K$501,2,true),if(C164="w",vlookup(ceiling(E164),Class!$G$2:$H$501,2,true),if(C164="jv",vlookup(ceiling(E164),Class!$A$2:$B$501,2,true),vlookup(ceiling(E164),Class!$D$2:$E$501,2,true)))))</f>
        <v/>
      </c>
      <c r="C164" s="65"/>
      <c r="D164" s="76"/>
      <c r="E164" s="74"/>
      <c r="F164" s="76"/>
      <c r="G164" s="65"/>
      <c r="H164" s="65"/>
      <c r="I164" s="65"/>
    </row>
    <row r="165">
      <c r="A165" s="4">
        <v>163.0</v>
      </c>
      <c r="B165" s="33" t="str">
        <f>if(isblank(C165),,if(C165="wjv",vlookup(ceiling(E165),Class!$J$2:$K$501,2,true),if(C165="w",vlookup(ceiling(E165),Class!$G$2:$H$501,2,true),if(C165="jv",vlookup(ceiling(E165),Class!$A$2:$B$501,2,true),vlookup(ceiling(E165),Class!$D$2:$E$501,2,true)))))</f>
        <v/>
      </c>
      <c r="C165" s="65"/>
      <c r="D165" s="76"/>
      <c r="E165" s="74"/>
      <c r="F165" s="76"/>
      <c r="G165" s="65"/>
      <c r="H165" s="65"/>
      <c r="I165" s="65"/>
    </row>
    <row r="166">
      <c r="A166" s="4">
        <v>164.0</v>
      </c>
      <c r="B166" s="33" t="str">
        <f>if(isblank(C166),,if(C166="wjv",vlookup(ceiling(E166),Class!$J$2:$K$501,2,true),if(C166="w",vlookup(ceiling(E166),Class!$G$2:$H$501,2,true),if(C166="jv",vlookup(ceiling(E166),Class!$A$2:$B$501,2,true),vlookup(ceiling(E166),Class!$D$2:$E$501,2,true)))))</f>
        <v/>
      </c>
      <c r="C166" s="65"/>
      <c r="D166" s="76"/>
      <c r="E166" s="74"/>
      <c r="F166" s="76"/>
      <c r="G166" s="65"/>
      <c r="H166" s="65"/>
      <c r="I166" s="65"/>
    </row>
    <row r="167">
      <c r="A167" s="4">
        <v>165.0</v>
      </c>
      <c r="B167" s="33" t="str">
        <f>if(isblank(C167),,if(C167="wjv",vlookup(ceiling(E167),Class!$J$2:$K$501,2,true),if(C167="w",vlookup(ceiling(E167),Class!$G$2:$H$501,2,true),if(C167="jv",vlookup(ceiling(E167),Class!$A$2:$B$501,2,true),vlookup(ceiling(E167),Class!$D$2:$E$501,2,true)))))</f>
        <v/>
      </c>
      <c r="C167" s="65"/>
      <c r="D167" s="76"/>
      <c r="E167" s="74"/>
      <c r="F167" s="76"/>
      <c r="G167" s="65"/>
      <c r="H167" s="65"/>
      <c r="I167" s="65"/>
    </row>
    <row r="168">
      <c r="A168" s="4">
        <v>166.0</v>
      </c>
      <c r="B168" s="33" t="str">
        <f>if(isblank(C168),,if(C168="wjv",vlookup(ceiling(E168),Class!$J$2:$K$501,2,true),if(C168="w",vlookup(ceiling(E168),Class!$G$2:$H$501,2,true),if(C168="jv",vlookup(ceiling(E168),Class!$A$2:$B$501,2,true),vlookup(ceiling(E168),Class!$D$2:$E$501,2,true)))))</f>
        <v/>
      </c>
      <c r="C168" s="65"/>
      <c r="D168" s="76"/>
      <c r="E168" s="74"/>
      <c r="F168" s="76"/>
      <c r="G168" s="65"/>
      <c r="H168" s="65"/>
      <c r="I168" s="65"/>
    </row>
    <row r="169">
      <c r="A169" s="4">
        <v>167.0</v>
      </c>
      <c r="B169" s="33" t="str">
        <f>if(isblank(C169),,if(C169="wjv",vlookup(ceiling(E169),Class!$J$2:$K$501,2,true),if(C169="w",vlookup(ceiling(E169),Class!$G$2:$H$501,2,true),if(C169="jv",vlookup(ceiling(E169),Class!$A$2:$B$501,2,true),vlookup(ceiling(E169),Class!$D$2:$E$501,2,true)))))</f>
        <v/>
      </c>
      <c r="C169" s="65"/>
      <c r="D169" s="76"/>
      <c r="E169" s="74"/>
      <c r="F169" s="76"/>
      <c r="G169" s="65"/>
      <c r="H169" s="65"/>
      <c r="I169" s="65"/>
    </row>
    <row r="170">
      <c r="A170" s="4">
        <v>168.0</v>
      </c>
      <c r="B170" s="33" t="str">
        <f>if(isblank(C170),,if(C170="wjv",vlookup(ceiling(E170),Class!$J$2:$K$501,2,true),if(C170="w",vlookup(ceiling(E170),Class!$G$2:$H$501,2,true),if(C170="jv",vlookup(ceiling(E170),Class!$A$2:$B$501,2,true),vlookup(ceiling(E170),Class!$D$2:$E$501,2,true)))))</f>
        <v/>
      </c>
      <c r="C170" s="65"/>
      <c r="D170" s="76"/>
      <c r="E170" s="74"/>
      <c r="F170" s="76"/>
      <c r="G170" s="65"/>
      <c r="H170" s="65"/>
      <c r="I170" s="65"/>
    </row>
    <row r="171">
      <c r="A171" s="4">
        <v>169.0</v>
      </c>
      <c r="B171" s="33" t="str">
        <f>if(isblank(C171),,if(C171="wjv",vlookup(ceiling(E171),Class!$J$2:$K$501,2,true),if(C171="w",vlookup(ceiling(E171),Class!$G$2:$H$501,2,true),if(C171="jv",vlookup(ceiling(E171),Class!$A$2:$B$501,2,true),vlookup(ceiling(E171),Class!$D$2:$E$501,2,true)))))</f>
        <v/>
      </c>
      <c r="C171" s="65"/>
      <c r="D171" s="76"/>
      <c r="E171" s="74"/>
      <c r="F171" s="76"/>
      <c r="G171" s="65"/>
      <c r="H171" s="65"/>
      <c r="I171" s="65"/>
    </row>
    <row r="172">
      <c r="A172" s="4">
        <v>170.0</v>
      </c>
      <c r="B172" s="33" t="str">
        <f>if(isblank(C172),,if(C172="wjv",vlookup(ceiling(E172),Class!$J$2:$K$501,2,true),if(C172="w",vlookup(ceiling(E172),Class!$G$2:$H$501,2,true),if(C172="jv",vlookup(ceiling(E172),Class!$A$2:$B$501,2,true),vlookup(ceiling(E172),Class!$D$2:$E$501,2,true)))))</f>
        <v/>
      </c>
      <c r="C172" s="65"/>
      <c r="D172" s="76"/>
      <c r="E172" s="74"/>
      <c r="F172" s="76"/>
      <c r="G172" s="65"/>
      <c r="H172" s="65"/>
      <c r="I172" s="65"/>
    </row>
    <row r="173">
      <c r="A173" s="4">
        <v>171.0</v>
      </c>
      <c r="B173" s="33" t="str">
        <f>if(isblank(C173),,if(C173="wjv",vlookup(ceiling(E173),Class!$J$2:$K$501,2,true),if(C173="w",vlookup(ceiling(E173),Class!$G$2:$H$501,2,true),if(C173="jv",vlookup(ceiling(E173),Class!$A$2:$B$501,2,true),vlookup(ceiling(E173),Class!$D$2:$E$501,2,true)))))</f>
        <v/>
      </c>
      <c r="C173" s="65"/>
      <c r="D173" s="76"/>
      <c r="E173" s="74"/>
      <c r="F173" s="76"/>
      <c r="G173" s="65"/>
      <c r="H173" s="65"/>
      <c r="I173" s="65"/>
    </row>
    <row r="174">
      <c r="A174" s="4">
        <v>172.0</v>
      </c>
      <c r="B174" s="33" t="str">
        <f>if(isblank(C174),,if(C174="wjv",vlookup(ceiling(E174),Class!$J$2:$K$501,2,true),if(C174="w",vlookup(ceiling(E174),Class!$G$2:$H$501,2,true),if(C174="jv",vlookup(ceiling(E174),Class!$A$2:$B$501,2,true),vlookup(ceiling(E174),Class!$D$2:$E$501,2,true)))))</f>
        <v/>
      </c>
      <c r="C174" s="65"/>
      <c r="D174" s="76"/>
      <c r="E174" s="74"/>
      <c r="F174" s="76"/>
      <c r="G174" s="65"/>
      <c r="H174" s="65"/>
      <c r="I174" s="65"/>
    </row>
    <row r="175">
      <c r="A175" s="4">
        <v>173.0</v>
      </c>
      <c r="B175" s="33" t="str">
        <f>if(isblank(C175),,if(C175="wjv",vlookup(ceiling(E175),Class!$J$2:$K$501,2,true),if(C175="w",vlookup(ceiling(E175),Class!$G$2:$H$501,2,true),if(C175="jv",vlookup(ceiling(E175),Class!$A$2:$B$501,2,true),vlookup(ceiling(E175),Class!$D$2:$E$501,2,true)))))</f>
        <v/>
      </c>
      <c r="C175" s="65"/>
      <c r="D175" s="76"/>
      <c r="E175" s="74"/>
      <c r="F175" s="76"/>
      <c r="G175" s="65"/>
      <c r="H175" s="65"/>
      <c r="I175" s="65"/>
    </row>
    <row r="176">
      <c r="A176" s="4">
        <v>174.0</v>
      </c>
      <c r="B176" s="33" t="str">
        <f>if(isblank(C176),,if(C176="wjv",vlookup(ceiling(E176),Class!$J$2:$K$501,2,true),if(C176="w",vlookup(ceiling(E176),Class!$G$2:$H$501,2,true),if(C176="jv",vlookup(ceiling(E176),Class!$A$2:$B$501,2,true),vlookup(ceiling(E176),Class!$D$2:$E$501,2,true)))))</f>
        <v/>
      </c>
      <c r="C176" s="65"/>
      <c r="D176" s="76"/>
      <c r="E176" s="74"/>
      <c r="F176" s="76"/>
      <c r="G176" s="65"/>
      <c r="H176" s="65"/>
      <c r="I176" s="65"/>
    </row>
    <row r="177">
      <c r="A177" s="4">
        <v>175.0</v>
      </c>
      <c r="B177" s="33" t="str">
        <f>if(isblank(C177),,if(C177="wjv",vlookup(ceiling(E177),Class!$J$2:$K$501,2,true),if(C177="w",vlookup(ceiling(E177),Class!$G$2:$H$501,2,true),if(C177="jv",vlookup(ceiling(E177),Class!$A$2:$B$501,2,true),vlookup(ceiling(E177),Class!$D$2:$E$501,2,true)))))</f>
        <v/>
      </c>
      <c r="C177" s="65"/>
      <c r="D177" s="76"/>
      <c r="E177" s="74"/>
      <c r="F177" s="76"/>
      <c r="G177" s="65"/>
      <c r="H177" s="65"/>
      <c r="I177" s="65"/>
    </row>
    <row r="178">
      <c r="A178" s="4">
        <v>176.0</v>
      </c>
      <c r="B178" s="33" t="str">
        <f>if(isblank(C178),,if(C178="wjv",vlookup(ceiling(E178),Class!$J$2:$K$501,2,true),if(C178="w",vlookup(ceiling(E178),Class!$G$2:$H$501,2,true),if(C178="jv",vlookup(ceiling(E178),Class!$A$2:$B$501,2,true),vlookup(ceiling(E178),Class!$D$2:$E$501,2,true)))))</f>
        <v/>
      </c>
      <c r="C178" s="65"/>
      <c r="D178" s="76"/>
      <c r="E178" s="74"/>
      <c r="F178" s="76"/>
      <c r="G178" s="65"/>
      <c r="H178" s="65"/>
      <c r="I178" s="65"/>
    </row>
    <row r="179">
      <c r="A179" s="4">
        <v>177.0</v>
      </c>
      <c r="B179" s="33" t="str">
        <f>if(isblank(C179),,if(C179="wjv",vlookup(ceiling(E179),Class!$J$2:$K$501,2,true),if(C179="w",vlookup(ceiling(E179),Class!$G$2:$H$501,2,true),if(C179="jv",vlookup(ceiling(E179),Class!$A$2:$B$501,2,true),vlookup(ceiling(E179),Class!$D$2:$E$501,2,true)))))</f>
        <v/>
      </c>
      <c r="C179" s="65"/>
      <c r="D179" s="76"/>
      <c r="E179" s="74"/>
      <c r="F179" s="76"/>
      <c r="G179" s="65"/>
      <c r="H179" s="65"/>
      <c r="I179" s="65"/>
    </row>
    <row r="180">
      <c r="A180" s="4">
        <v>178.0</v>
      </c>
      <c r="B180" s="33" t="str">
        <f>if(isblank(C180),,if(C180="wjv",vlookup(ceiling(E180),Class!$J$2:$K$501,2,true),if(C180="w",vlookup(ceiling(E180),Class!$G$2:$H$501,2,true),if(C180="jv",vlookup(ceiling(E180),Class!$A$2:$B$501,2,true),vlookup(ceiling(E180),Class!$D$2:$E$501,2,true)))))</f>
        <v/>
      </c>
      <c r="C180" s="65"/>
      <c r="D180" s="76"/>
      <c r="E180" s="74"/>
      <c r="F180" s="76"/>
      <c r="G180" s="65"/>
      <c r="H180" s="65"/>
      <c r="I180" s="65"/>
    </row>
    <row r="181">
      <c r="A181" s="4">
        <v>179.0</v>
      </c>
      <c r="B181" s="33" t="str">
        <f>if(isblank(C181),,if(C181="wjv",vlookup(ceiling(E181),Class!$J$2:$K$501,2,true),if(C181="w",vlookup(ceiling(E181),Class!$G$2:$H$501,2,true),if(C181="jv",vlookup(ceiling(E181),Class!$A$2:$B$501,2,true),vlookup(ceiling(E181),Class!$D$2:$E$501,2,true)))))</f>
        <v/>
      </c>
      <c r="C181" s="65"/>
      <c r="D181" s="76"/>
      <c r="E181" s="74"/>
      <c r="F181" s="76"/>
      <c r="G181" s="65"/>
      <c r="H181" s="65"/>
      <c r="I181" s="65"/>
    </row>
    <row r="182">
      <c r="A182" s="4">
        <v>180.0</v>
      </c>
      <c r="B182" s="33" t="str">
        <f>if(isblank(C182),,if(C182="wjv",vlookup(ceiling(E182),Class!$J$2:$K$501,2,true),if(C182="w",vlookup(ceiling(E182),Class!$G$2:$H$501,2,true),if(C182="jv",vlookup(ceiling(E182),Class!$A$2:$B$501,2,true),vlookup(ceiling(E182),Class!$D$2:$E$501,2,true)))))</f>
        <v/>
      </c>
      <c r="C182" s="65"/>
      <c r="D182" s="76"/>
      <c r="E182" s="74"/>
      <c r="F182" s="76"/>
      <c r="G182" s="65"/>
      <c r="H182" s="65"/>
      <c r="I182" s="65"/>
    </row>
    <row r="183">
      <c r="A183" s="4">
        <v>181.0</v>
      </c>
      <c r="B183" s="33" t="str">
        <f>if(isblank(C183),,if(C183="wjv",vlookup(ceiling(E183),Class!$J$2:$K$501,2,true),if(C183="w",vlookup(ceiling(E183),Class!$G$2:$H$501,2,true),if(C183="jv",vlookup(ceiling(E183),Class!$A$2:$B$501,2,true),vlookup(ceiling(E183),Class!$D$2:$E$501,2,true)))))</f>
        <v/>
      </c>
      <c r="C183" s="65"/>
      <c r="D183" s="76"/>
      <c r="E183" s="74"/>
      <c r="F183" s="76"/>
      <c r="G183" s="65"/>
      <c r="H183" s="65"/>
      <c r="I183" s="65"/>
    </row>
    <row r="184">
      <c r="A184" s="4">
        <v>182.0</v>
      </c>
      <c r="B184" s="33" t="str">
        <f>if(isblank(C184),,if(C184="wjv",vlookup(ceiling(E184),Class!$J$2:$K$501,2,true),if(C184="w",vlookup(ceiling(E184),Class!$G$2:$H$501,2,true),if(C184="jv",vlookup(ceiling(E184),Class!$A$2:$B$501,2,true),vlookup(ceiling(E184),Class!$D$2:$E$501,2,true)))))</f>
        <v/>
      </c>
      <c r="C184" s="65"/>
      <c r="D184" s="76"/>
      <c r="E184" s="74"/>
      <c r="F184" s="76"/>
      <c r="G184" s="65"/>
      <c r="H184" s="65"/>
      <c r="I184" s="65"/>
    </row>
    <row r="185">
      <c r="A185" s="4">
        <v>183.0</v>
      </c>
      <c r="B185" s="33" t="str">
        <f>if(isblank(C185),,if(C185="wjv",vlookup(ceiling(E185),Class!$J$2:$K$501,2,true),if(C185="w",vlookup(ceiling(E185),Class!$G$2:$H$501,2,true),if(C185="jv",vlookup(ceiling(E185),Class!$A$2:$B$501,2,true),vlookup(ceiling(E185),Class!$D$2:$E$501,2,true)))))</f>
        <v/>
      </c>
      <c r="C185" s="65"/>
      <c r="D185" s="76"/>
      <c r="E185" s="74"/>
      <c r="F185" s="76"/>
      <c r="G185" s="65"/>
      <c r="H185" s="65"/>
      <c r="I185" s="65"/>
    </row>
    <row r="186">
      <c r="A186" s="4">
        <v>184.0</v>
      </c>
      <c r="B186" s="33" t="str">
        <f>if(isblank(C186),,if(C186="wjv",vlookup(ceiling(E186),Class!$J$2:$K$501,2,true),if(C186="w",vlookup(ceiling(E186),Class!$G$2:$H$501,2,true),if(C186="jv",vlookup(ceiling(E186),Class!$A$2:$B$501,2,true),vlookup(ceiling(E186),Class!$D$2:$E$501,2,true)))))</f>
        <v/>
      </c>
      <c r="C186" s="65"/>
      <c r="D186" s="76"/>
      <c r="E186" s="74"/>
      <c r="F186" s="76"/>
      <c r="G186" s="65"/>
      <c r="H186" s="65"/>
      <c r="I186" s="65"/>
    </row>
    <row r="187">
      <c r="A187" s="4">
        <v>185.0</v>
      </c>
      <c r="B187" s="33" t="str">
        <f>if(isblank(C187),,if(C187="wjv",vlookup(ceiling(E187),Class!$J$2:$K$501,2,true),if(C187="w",vlookup(ceiling(E187),Class!$G$2:$H$501,2,true),if(C187="jv",vlookup(ceiling(E187),Class!$A$2:$B$501,2,true),vlookup(ceiling(E187),Class!$D$2:$E$501,2,true)))))</f>
        <v/>
      </c>
      <c r="C187" s="65"/>
      <c r="D187" s="76"/>
      <c r="E187" s="74"/>
      <c r="F187" s="76"/>
      <c r="G187" s="65"/>
      <c r="H187" s="65"/>
      <c r="I187" s="65"/>
    </row>
    <row r="188">
      <c r="A188" s="4">
        <v>186.0</v>
      </c>
      <c r="B188" s="33" t="str">
        <f>if(isblank(C188),,if(C188="wjv",vlookup(ceiling(E188),Class!$J$2:$K$501,2,true),if(C188="w",vlookup(ceiling(E188),Class!$G$2:$H$501,2,true),if(C188="jv",vlookup(ceiling(E188),Class!$A$2:$B$501,2,true),vlookup(ceiling(E188),Class!$D$2:$E$501,2,true)))))</f>
        <v/>
      </c>
      <c r="C188" s="65"/>
      <c r="D188" s="76"/>
      <c r="E188" s="74"/>
      <c r="F188" s="76"/>
      <c r="G188" s="65"/>
      <c r="H188" s="65"/>
      <c r="I188" s="65"/>
    </row>
    <row r="189">
      <c r="A189" s="4">
        <v>187.0</v>
      </c>
      <c r="B189" s="33" t="str">
        <f>if(isblank(C189),,if(C189="wjv",vlookup(ceiling(E189),Class!$J$2:$K$501,2,true),if(C189="w",vlookup(ceiling(E189),Class!$G$2:$H$501,2,true),if(C189="jv",vlookup(ceiling(E189),Class!$A$2:$B$501,2,true),vlookup(ceiling(E189),Class!$D$2:$E$501,2,true)))))</f>
        <v/>
      </c>
      <c r="C189" s="65"/>
      <c r="D189" s="76"/>
      <c r="E189" s="74"/>
      <c r="F189" s="76"/>
      <c r="G189" s="65"/>
      <c r="H189" s="65"/>
      <c r="I189" s="65"/>
    </row>
    <row r="190">
      <c r="A190" s="4">
        <v>188.0</v>
      </c>
      <c r="B190" s="33" t="str">
        <f>if(isblank(C190),,if(C190="wjv",vlookup(ceiling(E190),Class!$J$2:$K$501,2,true),if(C190="w",vlookup(ceiling(E190),Class!$G$2:$H$501,2,true),if(C190="jv",vlookup(ceiling(E190),Class!$A$2:$B$501,2,true),vlookup(ceiling(E190),Class!$D$2:$E$501,2,true)))))</f>
        <v/>
      </c>
      <c r="C190" s="65"/>
      <c r="D190" s="76"/>
      <c r="E190" s="74"/>
      <c r="F190" s="76"/>
      <c r="G190" s="65"/>
      <c r="H190" s="65"/>
      <c r="I190" s="65"/>
    </row>
    <row r="191">
      <c r="A191" s="4">
        <v>189.0</v>
      </c>
      <c r="B191" s="33" t="str">
        <f>if(isblank(C191),,if(C191="wjv",vlookup(ceiling(E191),Class!$J$2:$K$501,2,true),if(C191="w",vlookup(ceiling(E191),Class!$G$2:$H$501,2,true),if(C191="jv",vlookup(ceiling(E191),Class!$A$2:$B$501,2,true),vlookup(ceiling(E191),Class!$D$2:$E$501,2,true)))))</f>
        <v/>
      </c>
      <c r="C191" s="65"/>
      <c r="D191" s="76"/>
      <c r="E191" s="74"/>
      <c r="F191" s="76"/>
      <c r="G191" s="65"/>
      <c r="H191" s="65"/>
      <c r="I191" s="65"/>
    </row>
    <row r="192">
      <c r="A192" s="4">
        <v>190.0</v>
      </c>
      <c r="B192" s="33" t="str">
        <f>if(isblank(C192),,if(C192="wjv",vlookup(ceiling(E192),Class!$J$2:$K$501,2,true),if(C192="w",vlookup(ceiling(E192),Class!$G$2:$H$501,2,true),if(C192="jv",vlookup(ceiling(E192),Class!$A$2:$B$501,2,true),vlookup(ceiling(E192),Class!$D$2:$E$501,2,true)))))</f>
        <v/>
      </c>
      <c r="C192" s="65"/>
      <c r="D192" s="76"/>
      <c r="E192" s="74"/>
      <c r="F192" s="76"/>
      <c r="G192" s="65"/>
      <c r="H192" s="65"/>
      <c r="I192" s="65"/>
    </row>
    <row r="193">
      <c r="A193" s="4">
        <v>191.0</v>
      </c>
      <c r="B193" s="33" t="str">
        <f>if(isblank(C193),,if(C193="wjv",vlookup(ceiling(E193),Class!$J$2:$K$501,2,true),if(C193="w",vlookup(ceiling(E193),Class!$G$2:$H$501,2,true),if(C193="jv",vlookup(ceiling(E193),Class!$A$2:$B$501,2,true),vlookup(ceiling(E193),Class!$D$2:$E$501,2,true)))))</f>
        <v/>
      </c>
      <c r="C193" s="65"/>
      <c r="D193" s="76"/>
      <c r="E193" s="74"/>
      <c r="F193" s="76"/>
      <c r="G193" s="65"/>
      <c r="H193" s="65"/>
      <c r="I193" s="65"/>
    </row>
    <row r="194">
      <c r="A194" s="4">
        <v>192.0</v>
      </c>
      <c r="B194" s="33" t="str">
        <f>if(isblank(C194),,if(C194="wjv",vlookup(ceiling(E194),Class!$J$2:$K$501,2,true),if(C194="w",vlookup(ceiling(E194),Class!$G$2:$H$501,2,true),if(C194="jv",vlookup(ceiling(E194),Class!$A$2:$B$501,2,true),vlookup(ceiling(E194),Class!$D$2:$E$501,2,true)))))</f>
        <v/>
      </c>
      <c r="C194" s="65"/>
      <c r="D194" s="76"/>
      <c r="E194" s="74"/>
      <c r="F194" s="76"/>
      <c r="G194" s="65"/>
      <c r="H194" s="65"/>
      <c r="I194" s="65"/>
    </row>
    <row r="195">
      <c r="A195" s="4">
        <v>193.0</v>
      </c>
      <c r="B195" s="33" t="str">
        <f>if(isblank(C195),,if(C195="wjv",vlookup(ceiling(E195),Class!$J$2:$K$501,2,true),if(C195="w",vlookup(ceiling(E195),Class!$G$2:$H$501,2,true),if(C195="jv",vlookup(ceiling(E195),Class!$A$2:$B$501,2,true),vlookup(ceiling(E195),Class!$D$2:$E$501,2,true)))))</f>
        <v/>
      </c>
      <c r="C195" s="65"/>
      <c r="D195" s="76"/>
      <c r="E195" s="74"/>
      <c r="F195" s="76"/>
      <c r="G195" s="65"/>
      <c r="H195" s="65"/>
      <c r="I195" s="65"/>
    </row>
    <row r="196">
      <c r="A196" s="4">
        <v>194.0</v>
      </c>
      <c r="B196" s="33" t="str">
        <f>if(isblank(C196),,if(C196="wjv",vlookup(ceiling(E196),Class!$J$2:$K$501,2,true),if(C196="w",vlookup(ceiling(E196),Class!$G$2:$H$501,2,true),if(C196="jv",vlookup(ceiling(E196),Class!$A$2:$B$501,2,true),vlookup(ceiling(E196),Class!$D$2:$E$501,2,true)))))</f>
        <v/>
      </c>
      <c r="C196" s="65"/>
      <c r="D196" s="76"/>
      <c r="E196" s="74"/>
      <c r="F196" s="76"/>
      <c r="G196" s="65"/>
      <c r="H196" s="65"/>
      <c r="I196" s="65"/>
    </row>
    <row r="197">
      <c r="A197" s="4">
        <v>195.0</v>
      </c>
      <c r="B197" s="33" t="str">
        <f>if(isblank(C197),,if(C197="wjv",vlookup(ceiling(E197),Class!$J$2:$K$501,2,true),if(C197="w",vlookup(ceiling(E197),Class!$G$2:$H$501,2,true),if(C197="jv",vlookup(ceiling(E197),Class!$A$2:$B$501,2,true),vlookup(ceiling(E197),Class!$D$2:$E$501,2,true)))))</f>
        <v/>
      </c>
      <c r="C197" s="65"/>
      <c r="D197" s="76"/>
      <c r="E197" s="74"/>
      <c r="F197" s="76"/>
      <c r="G197" s="65"/>
      <c r="H197" s="65"/>
      <c r="I197" s="65"/>
    </row>
    <row r="198">
      <c r="A198" s="4">
        <v>196.0</v>
      </c>
      <c r="B198" s="33" t="str">
        <f>if(isblank(C198),,if(C198="wjv",vlookup(ceiling(E198),Class!$J$2:$K$501,2,true),if(C198="w",vlookup(ceiling(E198),Class!$G$2:$H$501,2,true),if(C198="jv",vlookup(ceiling(E198),Class!$A$2:$B$501,2,true),vlookup(ceiling(E198),Class!$D$2:$E$501,2,true)))))</f>
        <v/>
      </c>
      <c r="C198" s="65"/>
      <c r="D198" s="76"/>
      <c r="E198" s="74"/>
      <c r="F198" s="76"/>
      <c r="G198" s="65"/>
      <c r="H198" s="65"/>
      <c r="I198" s="65"/>
    </row>
    <row r="199">
      <c r="A199" s="4">
        <v>197.0</v>
      </c>
      <c r="B199" s="33" t="str">
        <f>if(isblank(C199),,if(C199="wjv",vlookup(ceiling(E199),Class!$J$2:$K$501,2,true),if(C199="w",vlookup(ceiling(E199),Class!$G$2:$H$501,2,true),if(C199="jv",vlookup(ceiling(E199),Class!$A$2:$B$501,2,true),vlookup(ceiling(E199),Class!$D$2:$E$501,2,true)))))</f>
        <v/>
      </c>
      <c r="C199" s="65"/>
      <c r="D199" s="76"/>
      <c r="E199" s="74"/>
      <c r="F199" s="76"/>
      <c r="G199" s="65"/>
      <c r="H199" s="65"/>
      <c r="I199" s="65"/>
    </row>
    <row r="200">
      <c r="A200" s="4">
        <v>198.0</v>
      </c>
      <c r="B200" s="33" t="str">
        <f>if(isblank(C200),,if(C200="wjv",vlookup(ceiling(E200),Class!$J$2:$K$501,2,true),if(C200="w",vlookup(ceiling(E200),Class!$G$2:$H$501,2,true),if(C200="jv",vlookup(ceiling(E200),Class!$A$2:$B$501,2,true),vlookup(ceiling(E200),Class!$D$2:$E$501,2,true)))))</f>
        <v/>
      </c>
      <c r="C200" s="65"/>
      <c r="D200" s="76"/>
      <c r="E200" s="74"/>
      <c r="F200" s="76"/>
      <c r="G200" s="65"/>
      <c r="H200" s="65"/>
      <c r="I200" s="65"/>
    </row>
    <row r="201">
      <c r="A201" s="4">
        <v>199.0</v>
      </c>
      <c r="B201" s="33" t="str">
        <f>if(isblank(C201),,if(C201="wjv",vlookup(ceiling(E201),Class!$J$2:$K$501,2,true),if(C201="w",vlookup(ceiling(E201),Class!$G$2:$H$501,2,true),if(C201="jv",vlookup(ceiling(E201),Class!$A$2:$B$501,2,true),vlookup(ceiling(E201),Class!$D$2:$E$501,2,true)))))</f>
        <v/>
      </c>
      <c r="C201" s="65"/>
      <c r="D201" s="76"/>
      <c r="E201" s="74"/>
      <c r="F201" s="76"/>
      <c r="G201" s="65"/>
      <c r="H201" s="65"/>
      <c r="I201" s="65"/>
    </row>
    <row r="202">
      <c r="A202" s="4">
        <v>200.0</v>
      </c>
      <c r="B202" s="33" t="str">
        <f>if(isblank(C202),,if(C202="wjv",vlookup(ceiling(E202),Class!$J$2:$K$501,2,true),if(C202="w",vlookup(ceiling(E202),Class!$G$2:$H$501,2,true),if(C202="jv",vlookup(ceiling(E202),Class!$A$2:$B$501,2,true),vlookup(ceiling(E202),Class!$D$2:$E$501,2,true)))))</f>
        <v/>
      </c>
      <c r="C202" s="65"/>
      <c r="D202" s="76"/>
      <c r="E202" s="74"/>
      <c r="F202" s="76"/>
      <c r="G202" s="65"/>
      <c r="H202" s="65"/>
      <c r="I202" s="65"/>
    </row>
    <row r="203">
      <c r="A203" s="4">
        <v>201.0</v>
      </c>
      <c r="B203" s="33" t="str">
        <f>if(isblank(C203),,if(C203="wjv",vlookup(ceiling(E203),Class!$J$2:$K$501,2,true),if(C203="w",vlookup(ceiling(E203),Class!$G$2:$H$501,2,true),if(C203="jv",vlookup(ceiling(E203),Class!$A$2:$B$501,2,true),vlookup(ceiling(E203),Class!$D$2:$E$501,2,true)))))</f>
        <v/>
      </c>
      <c r="C203" s="65"/>
      <c r="D203" s="76"/>
      <c r="E203" s="74"/>
      <c r="F203" s="76"/>
      <c r="G203" s="65"/>
      <c r="H203" s="65"/>
      <c r="I203" s="65"/>
    </row>
    <row r="204">
      <c r="A204" s="4">
        <v>202.0</v>
      </c>
      <c r="B204" s="33" t="str">
        <f>if(isblank(C204),,if(C204="wjv",vlookup(ceiling(E204),Class!$J$2:$K$501,2,true),if(C204="w",vlookup(ceiling(E204),Class!$G$2:$H$501,2,true),if(C204="jv",vlookup(ceiling(E204),Class!$A$2:$B$501,2,true),vlookup(ceiling(E204),Class!$D$2:$E$501,2,true)))))</f>
        <v/>
      </c>
      <c r="C204" s="65"/>
      <c r="D204" s="76"/>
      <c r="E204" s="74"/>
      <c r="F204" s="76"/>
      <c r="G204" s="65"/>
      <c r="H204" s="65"/>
      <c r="I204" s="65"/>
    </row>
    <row r="205">
      <c r="A205" s="4">
        <v>203.0</v>
      </c>
      <c r="B205" s="33" t="str">
        <f>if(isblank(C205),,if(C205="wjv",vlookup(ceiling(E205),Class!$J$2:$K$501,2,true),if(C205="w",vlookup(ceiling(E205),Class!$G$2:$H$501,2,true),if(C205="jv",vlookup(ceiling(E205),Class!$A$2:$B$501,2,true),vlookup(ceiling(E205),Class!$D$2:$E$501,2,true)))))</f>
        <v/>
      </c>
      <c r="C205" s="65"/>
      <c r="D205" s="76"/>
      <c r="E205" s="74"/>
      <c r="F205" s="76"/>
      <c r="G205" s="65"/>
      <c r="H205" s="65"/>
      <c r="I205" s="65"/>
    </row>
    <row r="206">
      <c r="A206" s="4">
        <v>204.0</v>
      </c>
      <c r="B206" s="33" t="str">
        <f>if(isblank(C206),,if(C206="wjv",vlookup(ceiling(E206),Class!$J$2:$K$501,2,true),if(C206="w",vlookup(ceiling(E206),Class!$G$2:$H$501,2,true),if(C206="jv",vlookup(ceiling(E206),Class!$A$2:$B$501,2,true),vlookup(ceiling(E206),Class!$D$2:$E$501,2,true)))))</f>
        <v/>
      </c>
      <c r="C206" s="65"/>
      <c r="D206" s="76"/>
      <c r="E206" s="74"/>
      <c r="F206" s="76"/>
      <c r="G206" s="65"/>
      <c r="H206" s="65"/>
      <c r="I206" s="65"/>
    </row>
    <row r="207">
      <c r="A207" s="4">
        <v>205.0</v>
      </c>
      <c r="B207" s="33" t="str">
        <f>if(isblank(C207),,if(C207="wjv",vlookup(ceiling(E207),Class!$J$2:$K$501,2,true),if(C207="w",vlookup(ceiling(E207),Class!$G$2:$H$501,2,true),if(C207="jv",vlookup(ceiling(E207),Class!$A$2:$B$501,2,true),vlookup(ceiling(E207),Class!$D$2:$E$501,2,true)))))</f>
        <v/>
      </c>
      <c r="C207" s="65"/>
      <c r="D207" s="76"/>
      <c r="E207" s="74"/>
      <c r="F207" s="76"/>
      <c r="G207" s="65"/>
      <c r="H207" s="65"/>
      <c r="I207" s="65"/>
    </row>
    <row r="208">
      <c r="A208" s="4">
        <v>206.0</v>
      </c>
      <c r="B208" s="33" t="str">
        <f>if(isblank(C208),,if(C208="wjv",vlookup(ceiling(E208),Class!$J$2:$K$501,2,true),if(C208="w",vlookup(ceiling(E208),Class!$G$2:$H$501,2,true),if(C208="jv",vlookup(ceiling(E208),Class!$A$2:$B$501,2,true),vlookup(ceiling(E208),Class!$D$2:$E$501,2,true)))))</f>
        <v/>
      </c>
      <c r="C208" s="65"/>
      <c r="D208" s="76"/>
      <c r="E208" s="74"/>
      <c r="F208" s="76"/>
      <c r="G208" s="65"/>
      <c r="H208" s="65"/>
      <c r="I208" s="65"/>
    </row>
    <row r="209">
      <c r="A209" s="4">
        <v>207.0</v>
      </c>
      <c r="B209" s="33" t="str">
        <f>if(isblank(C209),,if(C209="wjv",vlookup(ceiling(E209),Class!$J$2:$K$501,2,true),if(C209="w",vlookup(ceiling(E209),Class!$G$2:$H$501,2,true),if(C209="jv",vlookup(ceiling(E209),Class!$A$2:$B$501,2,true),vlookup(ceiling(E209),Class!$D$2:$E$501,2,true)))))</f>
        <v/>
      </c>
      <c r="C209" s="65"/>
      <c r="D209" s="76"/>
      <c r="E209" s="74"/>
      <c r="F209" s="76"/>
      <c r="G209" s="65"/>
      <c r="H209" s="65"/>
      <c r="I209" s="65"/>
    </row>
    <row r="210">
      <c r="A210" s="4">
        <v>208.0</v>
      </c>
      <c r="B210" s="33" t="str">
        <f>if(isblank(C210),,if(C210="wjv",vlookup(ceiling(E210),Class!$J$2:$K$501,2,true),if(C210="w",vlookup(ceiling(E210),Class!$G$2:$H$501,2,true),if(C210="jv",vlookup(ceiling(E210),Class!$A$2:$B$501,2,true),vlookup(ceiling(E210),Class!$D$2:$E$501,2,true)))))</f>
        <v/>
      </c>
      <c r="C210" s="65"/>
      <c r="D210" s="76"/>
      <c r="E210" s="74"/>
      <c r="F210" s="76"/>
      <c r="G210" s="65"/>
      <c r="H210" s="65"/>
      <c r="I210" s="65"/>
    </row>
    <row r="211">
      <c r="A211" s="4">
        <v>209.0</v>
      </c>
      <c r="B211" s="33" t="str">
        <f>if(isblank(C211),,if(C211="wjv",vlookup(ceiling(E211),Class!$J$2:$K$501,2,true),if(C211="w",vlookup(ceiling(E211),Class!$G$2:$H$501,2,true),if(C211="jv",vlookup(ceiling(E211),Class!$A$2:$B$501,2,true),vlookup(ceiling(E211),Class!$D$2:$E$501,2,true)))))</f>
        <v/>
      </c>
      <c r="C211" s="65"/>
      <c r="D211" s="76"/>
      <c r="E211" s="74"/>
      <c r="F211" s="76"/>
      <c r="G211" s="65"/>
      <c r="H211" s="65"/>
      <c r="I211" s="65"/>
    </row>
    <row r="212">
      <c r="A212" s="4">
        <v>210.0</v>
      </c>
      <c r="B212" s="33" t="str">
        <f>if(isblank(C212),,if(C212="wjv",vlookup(ceiling(E212),Class!$J$2:$K$501,2,true),if(C212="w",vlookup(ceiling(E212),Class!$G$2:$H$501,2,true),if(C212="jv",vlookup(ceiling(E212),Class!$A$2:$B$501,2,true),vlookup(ceiling(E212),Class!$D$2:$E$501,2,true)))))</f>
        <v/>
      </c>
      <c r="C212" s="65"/>
      <c r="D212" s="76"/>
      <c r="E212" s="74"/>
      <c r="F212" s="76"/>
      <c r="G212" s="65"/>
      <c r="H212" s="65"/>
      <c r="I212" s="65"/>
    </row>
    <row r="213">
      <c r="A213" s="4">
        <v>211.0</v>
      </c>
      <c r="B213" s="33" t="str">
        <f>if(isblank(C213),,if(C213="wjv",vlookup(ceiling(E213),Class!$J$2:$K$501,2,true),if(C213="w",vlookup(ceiling(E213),Class!$G$2:$H$501,2,true),if(C213="jv",vlookup(ceiling(E213),Class!$A$2:$B$501,2,true),vlookup(ceiling(E213),Class!$D$2:$E$501,2,true)))))</f>
        <v/>
      </c>
      <c r="C213" s="65"/>
      <c r="D213" s="76"/>
      <c r="E213" s="74"/>
      <c r="F213" s="76"/>
      <c r="G213" s="65"/>
      <c r="H213" s="65"/>
      <c r="I213" s="65"/>
    </row>
    <row r="214">
      <c r="A214" s="4">
        <v>212.0</v>
      </c>
      <c r="B214" s="33" t="str">
        <f>if(isblank(C214),,if(C214="wjv",vlookup(ceiling(E214),Class!$J$2:$K$501,2,true),if(C214="w",vlookup(ceiling(E214),Class!$G$2:$H$501,2,true),if(C214="jv",vlookup(ceiling(E214),Class!$A$2:$B$501,2,true),vlookup(ceiling(E214),Class!$D$2:$E$501,2,true)))))</f>
        <v/>
      </c>
      <c r="C214" s="65"/>
      <c r="D214" s="76"/>
      <c r="E214" s="74"/>
      <c r="F214" s="76"/>
      <c r="G214" s="65"/>
      <c r="H214" s="65"/>
      <c r="I214" s="65"/>
    </row>
    <row r="215">
      <c r="A215" s="4">
        <v>213.0</v>
      </c>
      <c r="B215" s="33" t="str">
        <f>if(isblank(C215),,if(C215="wjv",vlookup(ceiling(E215),Class!$J$2:$K$501,2,true),if(C215="w",vlookup(ceiling(E215),Class!$G$2:$H$501,2,true),if(C215="jv",vlookup(ceiling(E215),Class!$A$2:$B$501,2,true),vlookup(ceiling(E215),Class!$D$2:$E$501,2,true)))))</f>
        <v/>
      </c>
      <c r="C215" s="65"/>
      <c r="D215" s="76"/>
      <c r="E215" s="74"/>
      <c r="F215" s="76"/>
      <c r="G215" s="65"/>
      <c r="H215" s="65"/>
      <c r="I215" s="65"/>
    </row>
    <row r="216">
      <c r="A216" s="4">
        <v>214.0</v>
      </c>
      <c r="B216" s="33" t="str">
        <f>if(isblank(C216),,if(C216="wjv",vlookup(ceiling(E216),Class!$J$2:$K$501,2,true),if(C216="w",vlookup(ceiling(E216),Class!$G$2:$H$501,2,true),if(C216="jv",vlookup(ceiling(E216),Class!$A$2:$B$501,2,true),vlookup(ceiling(E216),Class!$D$2:$E$501,2,true)))))</f>
        <v/>
      </c>
      <c r="C216" s="65"/>
      <c r="D216" s="76"/>
      <c r="E216" s="74"/>
      <c r="F216" s="76"/>
      <c r="G216" s="65"/>
      <c r="H216" s="65"/>
      <c r="I216" s="65"/>
    </row>
    <row r="217">
      <c r="A217" s="4">
        <v>215.0</v>
      </c>
      <c r="B217" s="33" t="str">
        <f>if(isblank(C217),,if(C217="wjv",vlookup(ceiling(E217),Class!$J$2:$K$501,2,true),if(C217="w",vlookup(ceiling(E217),Class!$G$2:$H$501,2,true),if(C217="jv",vlookup(ceiling(E217),Class!$A$2:$B$501,2,true),vlookup(ceiling(E217),Class!$D$2:$E$501,2,true)))))</f>
        <v/>
      </c>
      <c r="C217" s="65"/>
      <c r="D217" s="76"/>
      <c r="E217" s="74"/>
      <c r="F217" s="76"/>
      <c r="G217" s="65"/>
      <c r="H217" s="65"/>
      <c r="I217" s="65"/>
    </row>
    <row r="218">
      <c r="A218" s="4">
        <v>216.0</v>
      </c>
      <c r="B218" s="33" t="str">
        <f>if(isblank(C218),,if(C218="wjv",vlookup(ceiling(E218),Class!$J$2:$K$501,2,true),if(C218="w",vlookup(ceiling(E218),Class!$G$2:$H$501,2,true),if(C218="jv",vlookup(ceiling(E218),Class!$A$2:$B$501,2,true),vlookup(ceiling(E218),Class!$D$2:$E$501,2,true)))))</f>
        <v/>
      </c>
      <c r="C218" s="65"/>
      <c r="D218" s="76"/>
      <c r="E218" s="74"/>
      <c r="F218" s="76"/>
      <c r="G218" s="65"/>
      <c r="H218" s="65"/>
      <c r="I218" s="65"/>
    </row>
    <row r="219">
      <c r="A219" s="4">
        <v>217.0</v>
      </c>
      <c r="B219" s="33" t="str">
        <f>if(isblank(C219),,if(C219="wjv",vlookup(ceiling(E219),Class!$J$2:$K$501,2,true),if(C219="w",vlookup(ceiling(E219),Class!$G$2:$H$501,2,true),if(C219="jv",vlookup(ceiling(E219),Class!$A$2:$B$501,2,true),vlookup(ceiling(E219),Class!$D$2:$E$501,2,true)))))</f>
        <v/>
      </c>
      <c r="C219" s="65"/>
      <c r="D219" s="76"/>
      <c r="E219" s="74"/>
      <c r="F219" s="76"/>
      <c r="G219" s="65"/>
      <c r="H219" s="65"/>
      <c r="I219" s="65"/>
    </row>
    <row r="220">
      <c r="A220" s="4">
        <v>218.0</v>
      </c>
      <c r="B220" s="33" t="str">
        <f>if(isblank(C220),,if(C220="wjv",vlookup(ceiling(E220),Class!$J$2:$K$501,2,true),if(C220="w",vlookup(ceiling(E220),Class!$G$2:$H$501,2,true),if(C220="jv",vlookup(ceiling(E220),Class!$A$2:$B$501,2,true),vlookup(ceiling(E220),Class!$D$2:$E$501,2,true)))))</f>
        <v/>
      </c>
      <c r="C220" s="65"/>
      <c r="D220" s="76"/>
      <c r="E220" s="74"/>
      <c r="F220" s="76"/>
      <c r="G220" s="65"/>
      <c r="H220" s="65"/>
      <c r="I220" s="65"/>
    </row>
    <row r="221">
      <c r="A221" s="4">
        <v>219.0</v>
      </c>
      <c r="B221" s="33" t="str">
        <f>if(isblank(C221),,if(C221="wjv",vlookup(ceiling(E221),Class!$J$2:$K$501,2,true),if(C221="w",vlookup(ceiling(E221),Class!$G$2:$H$501,2,true),if(C221="jv",vlookup(ceiling(E221),Class!$A$2:$B$501,2,true),vlookup(ceiling(E221),Class!$D$2:$E$501,2,true)))))</f>
        <v/>
      </c>
      <c r="C221" s="65"/>
      <c r="D221" s="76"/>
      <c r="E221" s="74"/>
      <c r="F221" s="76"/>
      <c r="G221" s="65"/>
      <c r="H221" s="65"/>
      <c r="I221" s="65"/>
    </row>
    <row r="222">
      <c r="A222" s="4">
        <v>220.0</v>
      </c>
      <c r="B222" s="33" t="str">
        <f>if(isblank(C222),,if(C222="wjv",vlookup(ceiling(E222),Class!$J$2:$K$501,2,true),if(C222="w",vlookup(ceiling(E222),Class!$G$2:$H$501,2,true),if(C222="jv",vlookup(ceiling(E222),Class!$A$2:$B$501,2,true),vlookup(ceiling(E222),Class!$D$2:$E$501,2,true)))))</f>
        <v/>
      </c>
      <c r="C222" s="65"/>
      <c r="D222" s="76"/>
      <c r="E222" s="74"/>
      <c r="F222" s="76"/>
      <c r="G222" s="65"/>
      <c r="H222" s="65"/>
      <c r="I222" s="65"/>
    </row>
    <row r="223">
      <c r="A223" s="4">
        <v>221.0</v>
      </c>
      <c r="B223" s="33" t="str">
        <f>if(isblank(C223),,if(C223="wjv",vlookup(ceiling(E223),Class!$J$2:$K$501,2,true),if(C223="w",vlookup(ceiling(E223),Class!$G$2:$H$501,2,true),if(C223="jv",vlookup(ceiling(E223),Class!$A$2:$B$501,2,true),vlookup(ceiling(E223),Class!$D$2:$E$501,2,true)))))</f>
        <v/>
      </c>
      <c r="C223" s="65"/>
      <c r="D223" s="76"/>
      <c r="E223" s="74"/>
      <c r="F223" s="76"/>
      <c r="G223" s="65"/>
      <c r="H223" s="65"/>
      <c r="I223" s="65"/>
    </row>
    <row r="224">
      <c r="A224" s="4">
        <v>222.0</v>
      </c>
      <c r="B224" s="33" t="str">
        <f>if(isblank(C224),,if(C224="wjv",vlookup(ceiling(E224),Class!$J$2:$K$501,2,true),if(C224="w",vlookup(ceiling(E224),Class!$G$2:$H$501,2,true),if(C224="jv",vlookup(ceiling(E224),Class!$A$2:$B$501,2,true),vlookup(ceiling(E224),Class!$D$2:$E$501,2,true)))))</f>
        <v/>
      </c>
      <c r="C224" s="65"/>
      <c r="D224" s="76"/>
      <c r="E224" s="74"/>
      <c r="F224" s="76"/>
      <c r="G224" s="65"/>
      <c r="H224" s="65"/>
      <c r="I224" s="65"/>
    </row>
    <row r="225">
      <c r="A225" s="4">
        <v>223.0</v>
      </c>
      <c r="B225" s="33" t="str">
        <f>if(isblank(C225),,if(C225="wjv",vlookup(ceiling(E225),Class!$J$2:$K$501,2,true),if(C225="w",vlookup(ceiling(E225),Class!$G$2:$H$501,2,true),if(C225="jv",vlookup(ceiling(E225),Class!$A$2:$B$501,2,true),vlookup(ceiling(E225),Class!$D$2:$E$501,2,true)))))</f>
        <v/>
      </c>
      <c r="C225" s="65"/>
      <c r="D225" s="76"/>
      <c r="E225" s="74"/>
      <c r="F225" s="76"/>
      <c r="G225" s="65"/>
      <c r="H225" s="65"/>
      <c r="I225" s="65"/>
    </row>
    <row r="226">
      <c r="A226" s="4">
        <v>224.0</v>
      </c>
      <c r="B226" s="33" t="str">
        <f>if(isblank(C226),,if(C226="wjv",vlookup(ceiling(E226),Class!$J$2:$K$501,2,true),if(C226="w",vlookup(ceiling(E226),Class!$G$2:$H$501,2,true),if(C226="jv",vlookup(ceiling(E226),Class!$A$2:$B$501,2,true),vlookup(ceiling(E226),Class!$D$2:$E$501,2,true)))))</f>
        <v/>
      </c>
      <c r="C226" s="65"/>
      <c r="D226" s="76"/>
      <c r="E226" s="74"/>
      <c r="F226" s="76"/>
      <c r="G226" s="65"/>
      <c r="H226" s="65"/>
      <c r="I226" s="65"/>
    </row>
    <row r="227">
      <c r="A227" s="4">
        <v>225.0</v>
      </c>
      <c r="B227" s="33" t="str">
        <f>if(isblank(C227),,if(C227="wjv",vlookup(ceiling(E227),Class!$J$2:$K$501,2,true),if(C227="w",vlookup(ceiling(E227),Class!$G$2:$H$501,2,true),if(C227="jv",vlookup(ceiling(E227),Class!$A$2:$B$501,2,true),vlookup(ceiling(E227),Class!$D$2:$E$501,2,true)))))</f>
        <v/>
      </c>
      <c r="C227" s="65"/>
      <c r="D227" s="76"/>
      <c r="E227" s="74"/>
      <c r="F227" s="76"/>
      <c r="G227" s="65"/>
      <c r="H227" s="65"/>
      <c r="I227" s="65"/>
    </row>
    <row r="228">
      <c r="A228" s="4">
        <v>226.0</v>
      </c>
      <c r="B228" s="33" t="str">
        <f>if(isblank(C228),,if(C228="wjv",vlookup(ceiling(E228),Class!$J$2:$K$501,2,true),if(C228="w",vlookup(ceiling(E228),Class!$G$2:$H$501,2,true),if(C228="jv",vlookup(ceiling(E228),Class!$A$2:$B$501,2,true),vlookup(ceiling(E228),Class!$D$2:$E$501,2,true)))))</f>
        <v/>
      </c>
      <c r="C228" s="65"/>
      <c r="D228" s="76"/>
      <c r="E228" s="74"/>
      <c r="F228" s="76"/>
      <c r="G228" s="65"/>
      <c r="H228" s="65"/>
      <c r="I228" s="65"/>
    </row>
    <row r="229">
      <c r="A229" s="4">
        <v>227.0</v>
      </c>
      <c r="B229" s="33" t="str">
        <f>if(isblank(C229),,if(C229="wjv",vlookup(ceiling(E229),Class!$J$2:$K$501,2,true),if(C229="w",vlookup(ceiling(E229),Class!$G$2:$H$501,2,true),if(C229="jv",vlookup(ceiling(E229),Class!$A$2:$B$501,2,true),vlookup(ceiling(E229),Class!$D$2:$E$501,2,true)))))</f>
        <v/>
      </c>
      <c r="C229" s="65"/>
      <c r="D229" s="76"/>
      <c r="E229" s="74"/>
      <c r="F229" s="76"/>
      <c r="G229" s="65"/>
      <c r="H229" s="65"/>
      <c r="I229" s="65"/>
    </row>
    <row r="230">
      <c r="A230" s="4">
        <v>228.0</v>
      </c>
      <c r="B230" s="33" t="str">
        <f>if(isblank(C230),,if(C230="wjv",vlookup(ceiling(E230),Class!$J$2:$K$501,2,true),if(C230="w",vlookup(ceiling(E230),Class!$G$2:$H$501,2,true),if(C230="jv",vlookup(ceiling(E230),Class!$A$2:$B$501,2,true),vlookup(ceiling(E230),Class!$D$2:$E$501,2,true)))))</f>
        <v/>
      </c>
      <c r="C230" s="65"/>
      <c r="D230" s="76"/>
      <c r="E230" s="74"/>
      <c r="F230" s="76"/>
      <c r="G230" s="65"/>
      <c r="H230" s="65"/>
      <c r="I230" s="65"/>
    </row>
    <row r="231">
      <c r="A231" s="4">
        <v>229.0</v>
      </c>
      <c r="B231" s="33" t="str">
        <f>if(isblank(C231),,if(C231="wjv",vlookup(ceiling(E231),Class!$J$2:$K$501,2,true),if(C231="w",vlookup(ceiling(E231),Class!$G$2:$H$501,2,true),if(C231="jv",vlookup(ceiling(E231),Class!$A$2:$B$501,2,true),vlookup(ceiling(E231),Class!$D$2:$E$501,2,true)))))</f>
        <v/>
      </c>
      <c r="C231" s="65"/>
      <c r="D231" s="76"/>
      <c r="E231" s="74"/>
      <c r="F231" s="76"/>
      <c r="G231" s="65"/>
      <c r="H231" s="65"/>
      <c r="I231" s="65"/>
    </row>
    <row r="232">
      <c r="A232" s="4">
        <v>230.0</v>
      </c>
      <c r="B232" s="33" t="str">
        <f>if(isblank(C232),,if(C232="wjv",vlookup(ceiling(E232),Class!$J$2:$K$501,2,true),if(C232="w",vlookup(ceiling(E232),Class!$G$2:$H$501,2,true),if(C232="jv",vlookup(ceiling(E232),Class!$A$2:$B$501,2,true),vlookup(ceiling(E232),Class!$D$2:$E$501,2,true)))))</f>
        <v/>
      </c>
      <c r="C232" s="65"/>
      <c r="D232" s="76"/>
      <c r="E232" s="74"/>
      <c r="F232" s="76"/>
      <c r="G232" s="65"/>
      <c r="H232" s="65"/>
      <c r="I232" s="65"/>
    </row>
    <row r="233">
      <c r="A233" s="4">
        <v>231.0</v>
      </c>
      <c r="B233" s="33" t="str">
        <f>if(isblank(C233),,if(C233="wjv",vlookup(ceiling(E233),Class!$J$2:$K$501,2,true),if(C233="w",vlookup(ceiling(E233),Class!$G$2:$H$501,2,true),if(C233="jv",vlookup(ceiling(E233),Class!$A$2:$B$501,2,true),vlookup(ceiling(E233),Class!$D$2:$E$501,2,true)))))</f>
        <v/>
      </c>
      <c r="C233" s="65"/>
      <c r="D233" s="76"/>
      <c r="E233" s="74"/>
      <c r="F233" s="76"/>
      <c r="G233" s="65"/>
      <c r="H233" s="65"/>
      <c r="I233" s="65"/>
    </row>
    <row r="234">
      <c r="A234" s="4">
        <v>232.0</v>
      </c>
      <c r="B234" s="33" t="str">
        <f>if(isblank(C234),,if(C234="wjv",vlookup(ceiling(E234),Class!$J$2:$K$501,2,true),if(C234="w",vlookup(ceiling(E234),Class!$G$2:$H$501,2,true),if(C234="jv",vlookup(ceiling(E234),Class!$A$2:$B$501,2,true),vlookup(ceiling(E234),Class!$D$2:$E$501,2,true)))))</f>
        <v/>
      </c>
      <c r="C234" s="65"/>
      <c r="D234" s="76"/>
      <c r="E234" s="74"/>
      <c r="F234" s="76"/>
      <c r="G234" s="65"/>
      <c r="H234" s="65"/>
      <c r="I234" s="65"/>
    </row>
    <row r="235">
      <c r="A235" s="4">
        <v>233.0</v>
      </c>
      <c r="B235" s="33" t="str">
        <f>if(isblank(C235),,if(C235="wjv",vlookup(ceiling(E235),Class!$J$2:$K$501,2,true),if(C235="w",vlookup(ceiling(E235),Class!$G$2:$H$501,2,true),if(C235="jv",vlookup(ceiling(E235),Class!$A$2:$B$501,2,true),vlookup(ceiling(E235),Class!$D$2:$E$501,2,true)))))</f>
        <v/>
      </c>
      <c r="C235" s="65"/>
      <c r="D235" s="76"/>
      <c r="E235" s="74"/>
      <c r="F235" s="76"/>
      <c r="G235" s="65"/>
      <c r="H235" s="65"/>
      <c r="I235" s="65"/>
    </row>
    <row r="236">
      <c r="A236" s="4">
        <v>234.0</v>
      </c>
      <c r="B236" s="33" t="str">
        <f>if(isblank(C236),,if(C236="wjv",vlookup(ceiling(E236),Class!$J$2:$K$501,2,true),if(C236="w",vlookup(ceiling(E236),Class!$G$2:$H$501,2,true),if(C236="jv",vlookup(ceiling(E236),Class!$A$2:$B$501,2,true),vlookup(ceiling(E236),Class!$D$2:$E$501,2,true)))))</f>
        <v/>
      </c>
      <c r="C236" s="65"/>
      <c r="D236" s="76"/>
      <c r="E236" s="74"/>
      <c r="F236" s="76"/>
      <c r="G236" s="65"/>
      <c r="H236" s="65"/>
      <c r="I236" s="65"/>
    </row>
    <row r="237">
      <c r="A237" s="4">
        <v>235.0</v>
      </c>
      <c r="B237" s="33" t="str">
        <f>if(isblank(C237),,if(C237="wjv",vlookup(ceiling(E237),Class!$J$2:$K$501,2,true),if(C237="w",vlookup(ceiling(E237),Class!$G$2:$H$501,2,true),if(C237="jv",vlookup(ceiling(E237),Class!$A$2:$B$501,2,true),vlookup(ceiling(E237),Class!$D$2:$E$501,2,true)))))</f>
        <v/>
      </c>
      <c r="C237" s="65"/>
      <c r="D237" s="76"/>
      <c r="E237" s="74"/>
      <c r="F237" s="76"/>
      <c r="G237" s="65"/>
      <c r="H237" s="65"/>
      <c r="I237" s="65"/>
    </row>
    <row r="238">
      <c r="A238" s="4">
        <v>236.0</v>
      </c>
      <c r="B238" s="33" t="str">
        <f>if(isblank(C238),,if(C238="wjv",vlookup(ceiling(E238),Class!$J$2:$K$501,2,true),if(C238="w",vlookup(ceiling(E238),Class!$G$2:$H$501,2,true),if(C238="jv",vlookup(ceiling(E238),Class!$A$2:$B$501,2,true),vlookup(ceiling(E238),Class!$D$2:$E$501,2,true)))))</f>
        <v/>
      </c>
      <c r="C238" s="65"/>
      <c r="D238" s="76"/>
      <c r="E238" s="74"/>
      <c r="F238" s="76"/>
      <c r="G238" s="65"/>
      <c r="H238" s="65"/>
      <c r="I238" s="65"/>
    </row>
    <row r="239">
      <c r="A239" s="4">
        <v>237.0</v>
      </c>
      <c r="B239" s="33" t="str">
        <f>if(isblank(C239),,if(C239="wjv",vlookup(ceiling(E239),Class!$J$2:$K$501,2,true),if(C239="w",vlookup(ceiling(E239),Class!$G$2:$H$501,2,true),if(C239="jv",vlookup(ceiling(E239),Class!$A$2:$B$501,2,true),vlookup(ceiling(E239),Class!$D$2:$E$501,2,true)))))</f>
        <v/>
      </c>
      <c r="C239" s="65"/>
      <c r="D239" s="76"/>
      <c r="E239" s="74"/>
      <c r="F239" s="76"/>
      <c r="G239" s="65"/>
      <c r="H239" s="65"/>
      <c r="I239" s="65"/>
    </row>
    <row r="240">
      <c r="A240" s="4">
        <v>238.0</v>
      </c>
      <c r="B240" s="33" t="str">
        <f>if(isblank(C240),,if(C240="wjv",vlookup(ceiling(E240),Class!$J$2:$K$501,2,true),if(C240="w",vlookup(ceiling(E240),Class!$G$2:$H$501,2,true),if(C240="jv",vlookup(ceiling(E240),Class!$A$2:$B$501,2,true),vlookup(ceiling(E240),Class!$D$2:$E$501,2,true)))))</f>
        <v/>
      </c>
      <c r="C240" s="65"/>
      <c r="D240" s="76"/>
      <c r="E240" s="74"/>
      <c r="F240" s="76"/>
      <c r="G240" s="65"/>
      <c r="H240" s="65"/>
      <c r="I240" s="65"/>
    </row>
    <row r="241">
      <c r="A241" s="4">
        <v>239.0</v>
      </c>
      <c r="B241" s="33" t="str">
        <f>if(isblank(C241),,if(C241="wjv",vlookup(ceiling(E241),Class!$J$2:$K$501,2,true),if(C241="w",vlookup(ceiling(E241),Class!$G$2:$H$501,2,true),if(C241="jv",vlookup(ceiling(E241),Class!$A$2:$B$501,2,true),vlookup(ceiling(E241),Class!$D$2:$E$501,2,true)))))</f>
        <v/>
      </c>
      <c r="C241" s="65"/>
      <c r="D241" s="76"/>
      <c r="E241" s="74"/>
      <c r="F241" s="76"/>
      <c r="G241" s="65"/>
      <c r="H241" s="65"/>
      <c r="I241" s="65"/>
    </row>
    <row r="242">
      <c r="A242" s="4">
        <v>240.0</v>
      </c>
      <c r="B242" s="33" t="str">
        <f>if(isblank(C242),,if(C242="wjv",vlookup(ceiling(E242),Class!$J$2:$K$501,2,true),if(C242="w",vlookup(ceiling(E242),Class!$G$2:$H$501,2,true),if(C242="jv",vlookup(ceiling(E242),Class!$A$2:$B$501,2,true),vlookup(ceiling(E242),Class!$D$2:$E$501,2,true)))))</f>
        <v/>
      </c>
      <c r="C242" s="65"/>
      <c r="D242" s="76"/>
      <c r="E242" s="74"/>
      <c r="F242" s="76"/>
      <c r="G242" s="65"/>
      <c r="H242" s="65"/>
      <c r="I242" s="65"/>
    </row>
    <row r="243">
      <c r="A243" s="4">
        <v>241.0</v>
      </c>
      <c r="B243" s="33" t="str">
        <f>if(isblank(C243),,if(C243="wjv",vlookup(ceiling(E243),Class!$J$2:$K$501,2,true),if(C243="w",vlookup(ceiling(E243),Class!$G$2:$H$501,2,true),if(C243="jv",vlookup(ceiling(E243),Class!$A$2:$B$501,2,true),vlookup(ceiling(E243),Class!$D$2:$E$501,2,true)))))</f>
        <v/>
      </c>
      <c r="C243" s="65"/>
      <c r="D243" s="76"/>
      <c r="E243" s="74"/>
      <c r="F243" s="76"/>
      <c r="G243" s="65"/>
      <c r="H243" s="65"/>
      <c r="I243" s="65"/>
    </row>
    <row r="244">
      <c r="A244" s="4">
        <v>242.0</v>
      </c>
      <c r="B244" s="33" t="str">
        <f>if(isblank(C244),,if(C244="wjv",vlookup(ceiling(E244),Class!$J$2:$K$501,2,true),if(C244="w",vlookup(ceiling(E244),Class!$G$2:$H$501,2,true),if(C244="jv",vlookup(ceiling(E244),Class!$A$2:$B$501,2,true),vlookup(ceiling(E244),Class!$D$2:$E$501,2,true)))))</f>
        <v/>
      </c>
      <c r="C244" s="65"/>
      <c r="D244" s="76"/>
      <c r="E244" s="74"/>
      <c r="F244" s="76"/>
      <c r="G244" s="65"/>
      <c r="H244" s="65"/>
      <c r="I244" s="65"/>
    </row>
    <row r="245">
      <c r="A245" s="4">
        <v>243.0</v>
      </c>
      <c r="B245" s="33" t="str">
        <f>if(isblank(C245),,if(C245="wjv",vlookup(ceiling(E245),Class!$J$2:$K$501,2,true),if(C245="w",vlookup(ceiling(E245),Class!$G$2:$H$501,2,true),if(C245="jv",vlookup(ceiling(E245),Class!$A$2:$B$501,2,true),vlookup(ceiling(E245),Class!$D$2:$E$501,2,true)))))</f>
        <v/>
      </c>
      <c r="C245" s="65"/>
      <c r="D245" s="76"/>
      <c r="E245" s="74"/>
      <c r="F245" s="76"/>
      <c r="G245" s="65"/>
      <c r="H245" s="65"/>
      <c r="I245" s="65"/>
    </row>
    <row r="246">
      <c r="A246" s="4">
        <v>244.0</v>
      </c>
      <c r="B246" s="33" t="str">
        <f>if(isblank(C246),,if(C246="wjv",vlookup(ceiling(E246),Class!$J$2:$K$501,2,true),if(C246="w",vlookup(ceiling(E246),Class!$G$2:$H$501,2,true),if(C246="jv",vlookup(ceiling(E246),Class!$A$2:$B$501,2,true),vlookup(ceiling(E246),Class!$D$2:$E$501,2,true)))))</f>
        <v/>
      </c>
      <c r="C246" s="65"/>
      <c r="D246" s="76"/>
      <c r="E246" s="74"/>
      <c r="F246" s="76"/>
      <c r="G246" s="65"/>
      <c r="H246" s="65"/>
      <c r="I246" s="65"/>
    </row>
    <row r="247">
      <c r="A247" s="4">
        <v>245.0</v>
      </c>
      <c r="B247" s="33" t="str">
        <f>if(isblank(C247),,if(C247="wjv",vlookup(ceiling(E247),Class!$J$2:$K$501,2,true),if(C247="w",vlookup(ceiling(E247),Class!$G$2:$H$501,2,true),if(C247="jv",vlookup(ceiling(E247),Class!$A$2:$B$501,2,true),vlookup(ceiling(E247),Class!$D$2:$E$501,2,true)))))</f>
        <v/>
      </c>
      <c r="C247" s="65"/>
      <c r="D247" s="76"/>
      <c r="E247" s="74"/>
      <c r="F247" s="76"/>
      <c r="G247" s="65"/>
      <c r="H247" s="65"/>
      <c r="I247" s="65"/>
    </row>
    <row r="248">
      <c r="A248" s="4">
        <v>246.0</v>
      </c>
      <c r="B248" s="33" t="str">
        <f>if(isblank(C248),,if(C248="wjv",vlookup(ceiling(E248),Class!$J$2:$K$501,2,true),if(C248="w",vlookup(ceiling(E248),Class!$G$2:$H$501,2,true),if(C248="jv",vlookup(ceiling(E248),Class!$A$2:$B$501,2,true),vlookup(ceiling(E248),Class!$D$2:$E$501,2,true)))))</f>
        <v/>
      </c>
      <c r="C248" s="65"/>
      <c r="D248" s="76"/>
      <c r="E248" s="74"/>
      <c r="F248" s="76"/>
      <c r="G248" s="65"/>
      <c r="H248" s="65"/>
      <c r="I248" s="65"/>
    </row>
    <row r="249">
      <c r="A249" s="4">
        <v>247.0</v>
      </c>
      <c r="B249" s="33" t="str">
        <f>if(isblank(C249),,if(C249="wjv",vlookup(ceiling(E249),Class!$J$2:$K$501,2,true),if(C249="w",vlookup(ceiling(E249),Class!$G$2:$H$501,2,true),if(C249="jv",vlookup(ceiling(E249),Class!$A$2:$B$501,2,true),vlookup(ceiling(E249),Class!$D$2:$E$501,2,true)))))</f>
        <v/>
      </c>
      <c r="C249" s="65"/>
      <c r="D249" s="76"/>
      <c r="E249" s="74"/>
      <c r="F249" s="76"/>
      <c r="G249" s="65"/>
      <c r="H249" s="65"/>
      <c r="I249" s="65"/>
    </row>
    <row r="250">
      <c r="A250" s="4">
        <v>248.0</v>
      </c>
      <c r="B250" s="33" t="str">
        <f>if(isblank(C250),,if(C250="wjv",vlookup(ceiling(E250),Class!$J$2:$K$501,2,true),if(C250="w",vlookup(ceiling(E250),Class!$G$2:$H$501,2,true),if(C250="jv",vlookup(ceiling(E250),Class!$A$2:$B$501,2,true),vlookup(ceiling(E250),Class!$D$2:$E$501,2,true)))))</f>
        <v/>
      </c>
      <c r="C250" s="65"/>
      <c r="D250" s="76"/>
      <c r="E250" s="74"/>
      <c r="F250" s="76"/>
      <c r="G250" s="65"/>
      <c r="H250" s="65"/>
      <c r="I250" s="65"/>
    </row>
    <row r="251">
      <c r="A251" s="4">
        <v>249.0</v>
      </c>
      <c r="B251" s="33" t="str">
        <f>if(isblank(C251),,if(C251="wjv",vlookup(ceiling(E251),Class!$J$2:$K$501,2,true),if(C251="w",vlookup(ceiling(E251),Class!$G$2:$H$501,2,true),if(C251="jv",vlookup(ceiling(E251),Class!$A$2:$B$501,2,true),vlookup(ceiling(E251),Class!$D$2:$E$501,2,true)))))</f>
        <v/>
      </c>
      <c r="C251" s="65"/>
      <c r="D251" s="76"/>
      <c r="E251" s="74"/>
      <c r="F251" s="76"/>
      <c r="G251" s="65"/>
      <c r="H251" s="65"/>
      <c r="I251" s="65"/>
    </row>
    <row r="252">
      <c r="A252" s="4">
        <v>250.0</v>
      </c>
      <c r="B252" s="33" t="str">
        <f>if(isblank(C252),,if(C252="wjv",vlookup(ceiling(E252),Class!$J$2:$K$501,2,true),if(C252="w",vlookup(ceiling(E252),Class!$G$2:$H$501,2,true),if(C252="jv",vlookup(ceiling(E252),Class!$A$2:$B$501,2,true),vlookup(ceiling(E252),Class!$D$2:$E$501,2,true)))))</f>
        <v/>
      </c>
      <c r="C252" s="65"/>
      <c r="D252" s="76"/>
      <c r="E252" s="74"/>
      <c r="F252" s="76"/>
      <c r="G252" s="65"/>
      <c r="H252" s="65"/>
      <c r="I252" s="65"/>
    </row>
    <row r="253">
      <c r="A253" s="4">
        <v>251.0</v>
      </c>
      <c r="B253" s="33" t="str">
        <f>if(isblank(C253),,if(C253="wjv",vlookup(ceiling(E253),Class!$J$2:$K$501,2,true),if(C253="w",vlookup(ceiling(E253),Class!$G$2:$H$501,2,true),if(C253="jv",vlookup(ceiling(E253),Class!$A$2:$B$501,2,true),vlookup(ceiling(E253),Class!$D$2:$E$501,2,true)))))</f>
        <v/>
      </c>
      <c r="C253" s="65"/>
      <c r="D253" s="76"/>
      <c r="E253" s="74"/>
      <c r="F253" s="76"/>
      <c r="G253" s="65"/>
      <c r="H253" s="65"/>
      <c r="I253" s="65"/>
    </row>
    <row r="254">
      <c r="A254" s="4">
        <v>252.0</v>
      </c>
      <c r="B254" s="33" t="str">
        <f>if(isblank(C254),,if(C254="wjv",vlookup(ceiling(E254),Class!$J$2:$K$501,2,true),if(C254="w",vlookup(ceiling(E254),Class!$G$2:$H$501,2,true),if(C254="jv",vlookup(ceiling(E254),Class!$A$2:$B$501,2,true),vlookup(ceiling(E254),Class!$D$2:$E$501,2,true)))))</f>
        <v/>
      </c>
      <c r="C254" s="65"/>
      <c r="D254" s="76"/>
      <c r="E254" s="74"/>
      <c r="F254" s="76"/>
      <c r="G254" s="65"/>
      <c r="H254" s="65"/>
      <c r="I254" s="65"/>
    </row>
    <row r="255">
      <c r="A255" s="4">
        <v>253.0</v>
      </c>
      <c r="B255" s="33" t="str">
        <f>if(isblank(C255),,if(C255="wjv",vlookup(ceiling(E255),Class!$J$2:$K$501,2,true),if(C255="w",vlookup(ceiling(E255),Class!$G$2:$H$501,2,true),if(C255="jv",vlookup(ceiling(E255),Class!$A$2:$B$501,2,true),vlookup(ceiling(E255),Class!$D$2:$E$501,2,true)))))</f>
        <v/>
      </c>
      <c r="C255" s="65"/>
      <c r="D255" s="76"/>
      <c r="E255" s="74"/>
      <c r="F255" s="76"/>
      <c r="G255" s="65"/>
      <c r="H255" s="65"/>
      <c r="I255" s="65"/>
    </row>
    <row r="256">
      <c r="A256" s="4">
        <v>254.0</v>
      </c>
      <c r="B256" s="33" t="str">
        <f>if(isblank(C256),,if(C256="wjv",vlookup(ceiling(E256),Class!$J$2:$K$501,2,true),if(C256="w",vlookup(ceiling(E256),Class!$G$2:$H$501,2,true),if(C256="jv",vlookup(ceiling(E256),Class!$A$2:$B$501,2,true),vlookup(ceiling(E256),Class!$D$2:$E$501,2,true)))))</f>
        <v/>
      </c>
      <c r="C256" s="65"/>
      <c r="D256" s="76"/>
      <c r="E256" s="74"/>
      <c r="F256" s="76"/>
      <c r="G256" s="65"/>
      <c r="H256" s="65"/>
      <c r="I256" s="65"/>
    </row>
    <row r="257">
      <c r="A257" s="4">
        <v>255.0</v>
      </c>
      <c r="B257" s="33" t="str">
        <f>if(isblank(C257),,if(C257="wjv",vlookup(ceiling(E257),Class!$J$2:$K$501,2,true),if(C257="w",vlookup(ceiling(E257),Class!$G$2:$H$501,2,true),if(C257="jv",vlookup(ceiling(E257),Class!$A$2:$B$501,2,true),vlookup(ceiling(E257),Class!$D$2:$E$501,2,true)))))</f>
        <v/>
      </c>
      <c r="C257" s="65"/>
      <c r="D257" s="76"/>
      <c r="E257" s="74"/>
      <c r="F257" s="76"/>
      <c r="G257" s="65"/>
      <c r="H257" s="65"/>
      <c r="I257" s="65"/>
    </row>
    <row r="258">
      <c r="A258" s="4">
        <v>256.0</v>
      </c>
      <c r="B258" s="33" t="str">
        <f>if(isblank(C258),,if(C258="wjv",vlookup(ceiling(E258),Class!$J$2:$K$501,2,true),if(C258="w",vlookup(ceiling(E258),Class!$G$2:$H$501,2,true),if(C258="jv",vlookup(ceiling(E258),Class!$A$2:$B$501,2,true),vlookup(ceiling(E258),Class!$D$2:$E$501,2,true)))))</f>
        <v/>
      </c>
      <c r="C258" s="65"/>
      <c r="D258" s="76"/>
      <c r="E258" s="74"/>
      <c r="F258" s="76"/>
      <c r="G258" s="65"/>
      <c r="H258" s="65"/>
      <c r="I258" s="65"/>
    </row>
    <row r="259">
      <c r="A259" s="4">
        <v>257.0</v>
      </c>
      <c r="B259" s="33" t="str">
        <f>if(isblank(C259),,if(C259="wjv",vlookup(ceiling(E259),Class!$J$2:$K$501,2,true),if(C259="w",vlookup(ceiling(E259),Class!$G$2:$H$501,2,true),if(C259="jv",vlookup(ceiling(E259),Class!$A$2:$B$501,2,true),vlookup(ceiling(E259),Class!$D$2:$E$501,2,true)))))</f>
        <v/>
      </c>
      <c r="C259" s="65"/>
      <c r="D259" s="76"/>
      <c r="E259" s="74"/>
      <c r="F259" s="76"/>
      <c r="G259" s="65"/>
      <c r="H259" s="65"/>
      <c r="I259" s="65"/>
    </row>
    <row r="260">
      <c r="A260" s="4">
        <v>258.0</v>
      </c>
      <c r="B260" s="33" t="str">
        <f>if(isblank(C260),,if(C260="wjv",vlookup(ceiling(E260),Class!$J$2:$K$501,2,true),if(C260="w",vlookup(ceiling(E260),Class!$G$2:$H$501,2,true),if(C260="jv",vlookup(ceiling(E260),Class!$A$2:$B$501,2,true),vlookup(ceiling(E260),Class!$D$2:$E$501,2,true)))))</f>
        <v/>
      </c>
      <c r="C260" s="65"/>
      <c r="D260" s="76"/>
      <c r="E260" s="74"/>
      <c r="F260" s="76"/>
      <c r="G260" s="65"/>
      <c r="H260" s="65"/>
      <c r="I260" s="65"/>
    </row>
    <row r="261">
      <c r="A261" s="4">
        <v>259.0</v>
      </c>
      <c r="B261" s="33" t="str">
        <f>if(isblank(C261),,if(C261="wjv",vlookup(ceiling(E261),Class!$J$2:$K$501,2,true),if(C261="w",vlookup(ceiling(E261),Class!$G$2:$H$501,2,true),if(C261="jv",vlookup(ceiling(E261),Class!$A$2:$B$501,2,true),vlookup(ceiling(E261),Class!$D$2:$E$501,2,true)))))</f>
        <v/>
      </c>
      <c r="C261" s="65"/>
      <c r="D261" s="76"/>
      <c r="E261" s="74"/>
      <c r="F261" s="76"/>
      <c r="G261" s="65"/>
      <c r="H261" s="65"/>
      <c r="I261" s="65"/>
    </row>
    <row r="262">
      <c r="A262" s="4">
        <v>260.0</v>
      </c>
      <c r="B262" s="33" t="str">
        <f>if(isblank(C262),,if(C262="wjv",vlookup(ceiling(E262),Class!$J$2:$K$501,2,true),if(C262="w",vlookup(ceiling(E262),Class!$G$2:$H$501,2,true),if(C262="jv",vlookup(ceiling(E262),Class!$A$2:$B$501,2,true),vlookup(ceiling(E262),Class!$D$2:$E$501,2,true)))))</f>
        <v/>
      </c>
      <c r="C262" s="65"/>
      <c r="D262" s="76"/>
      <c r="E262" s="74"/>
      <c r="F262" s="76"/>
      <c r="G262" s="65"/>
      <c r="H262" s="65"/>
      <c r="I262" s="65"/>
    </row>
    <row r="263">
      <c r="A263" s="4">
        <v>261.0</v>
      </c>
      <c r="B263" s="33" t="str">
        <f>if(isblank(C263),,if(C263="wjv",vlookup(ceiling(E263),Class!$J$2:$K$501,2,true),if(C263="w",vlookup(ceiling(E263),Class!$G$2:$H$501,2,true),if(C263="jv",vlookup(ceiling(E263),Class!$A$2:$B$501,2,true),vlookup(ceiling(E263),Class!$D$2:$E$501,2,true)))))</f>
        <v/>
      </c>
      <c r="C263" s="65"/>
      <c r="D263" s="76"/>
      <c r="E263" s="74"/>
      <c r="F263" s="76"/>
      <c r="G263" s="65"/>
      <c r="H263" s="65"/>
      <c r="I263" s="65"/>
    </row>
    <row r="264">
      <c r="A264" s="4">
        <v>262.0</v>
      </c>
      <c r="B264" s="33" t="str">
        <f>if(isblank(C264),,if(C264="wjv",vlookup(ceiling(E264),Class!$J$2:$K$501,2,true),if(C264="w",vlookup(ceiling(E264),Class!$G$2:$H$501,2,true),if(C264="jv",vlookup(ceiling(E264),Class!$A$2:$B$501,2,true),vlookup(ceiling(E264),Class!$D$2:$E$501,2,true)))))</f>
        <v/>
      </c>
      <c r="C264" s="65"/>
      <c r="D264" s="76"/>
      <c r="E264" s="74"/>
      <c r="F264" s="76"/>
      <c r="G264" s="65"/>
      <c r="H264" s="65"/>
      <c r="I264" s="65"/>
    </row>
    <row r="265">
      <c r="A265" s="4">
        <v>263.0</v>
      </c>
      <c r="B265" s="33" t="str">
        <f>if(isblank(C265),,if(C265="wjv",vlookup(ceiling(E265),Class!$J$2:$K$501,2,true),if(C265="w",vlookup(ceiling(E265),Class!$G$2:$H$501,2,true),if(C265="jv",vlookup(ceiling(E265),Class!$A$2:$B$501,2,true),vlookup(ceiling(E265),Class!$D$2:$E$501,2,true)))))</f>
        <v/>
      </c>
      <c r="C265" s="65"/>
      <c r="D265" s="76"/>
      <c r="E265" s="74"/>
      <c r="F265" s="76"/>
      <c r="G265" s="65"/>
      <c r="H265" s="65"/>
      <c r="I265" s="65"/>
    </row>
    <row r="266">
      <c r="A266" s="4">
        <v>264.0</v>
      </c>
      <c r="B266" s="33" t="str">
        <f>if(isblank(C266),,if(C266="wjv",vlookup(ceiling(E266),Class!$J$2:$K$501,2,true),if(C266="w",vlookup(ceiling(E266),Class!$G$2:$H$501,2,true),if(C266="jv",vlookup(ceiling(E266),Class!$A$2:$B$501,2,true),vlookup(ceiling(E266),Class!$D$2:$E$501,2,true)))))</f>
        <v/>
      </c>
      <c r="C266" s="65"/>
      <c r="D266" s="76"/>
      <c r="E266" s="74"/>
      <c r="F266" s="76"/>
      <c r="G266" s="65"/>
      <c r="H266" s="65"/>
      <c r="I266" s="65"/>
    </row>
    <row r="267">
      <c r="A267" s="4">
        <v>265.0</v>
      </c>
      <c r="B267" s="33" t="str">
        <f>if(isblank(C267),,if(C267="wjv",vlookup(ceiling(E267),Class!$J$2:$K$501,2,true),if(C267="w",vlookup(ceiling(E267),Class!$G$2:$H$501,2,true),if(C267="jv",vlookup(ceiling(E267),Class!$A$2:$B$501,2,true),vlookup(ceiling(E267),Class!$D$2:$E$501,2,true)))))</f>
        <v/>
      </c>
      <c r="C267" s="65"/>
      <c r="D267" s="76"/>
      <c r="E267" s="74"/>
      <c r="F267" s="76"/>
      <c r="G267" s="65"/>
      <c r="H267" s="65"/>
      <c r="I267" s="65"/>
    </row>
    <row r="268">
      <c r="A268" s="4">
        <v>266.0</v>
      </c>
      <c r="B268" s="33" t="str">
        <f>if(isblank(C268),,if(C268="wjv",vlookup(ceiling(E268),Class!$J$2:$K$501,2,true),if(C268="w",vlookup(ceiling(E268),Class!$G$2:$H$501,2,true),if(C268="jv",vlookup(ceiling(E268),Class!$A$2:$B$501,2,true),vlookup(ceiling(E268),Class!$D$2:$E$501,2,true)))))</f>
        <v/>
      </c>
      <c r="C268" s="65"/>
      <c r="D268" s="76"/>
      <c r="E268" s="74"/>
      <c r="F268" s="76"/>
      <c r="G268" s="65"/>
      <c r="H268" s="65"/>
      <c r="I268" s="65"/>
    </row>
    <row r="269">
      <c r="A269" s="4">
        <v>267.0</v>
      </c>
      <c r="B269" s="33" t="str">
        <f>if(isblank(C269),,if(C269="wjv",vlookup(ceiling(E269),Class!$J$2:$K$501,2,true),if(C269="w",vlookup(ceiling(E269),Class!$G$2:$H$501,2,true),if(C269="jv",vlookup(ceiling(E269),Class!$A$2:$B$501,2,true),vlookup(ceiling(E269),Class!$D$2:$E$501,2,true)))))</f>
        <v/>
      </c>
      <c r="C269" s="65"/>
      <c r="D269" s="76"/>
      <c r="E269" s="74"/>
      <c r="F269" s="76"/>
      <c r="G269" s="65"/>
      <c r="H269" s="65"/>
      <c r="I269" s="65"/>
    </row>
    <row r="270">
      <c r="A270" s="4">
        <v>268.0</v>
      </c>
      <c r="B270" s="33" t="str">
        <f>if(isblank(C270),,if(C270="wjv",vlookup(ceiling(E270),Class!$J$2:$K$501,2,true),if(C270="w",vlookup(ceiling(E270),Class!$G$2:$H$501,2,true),if(C270="jv",vlookup(ceiling(E270),Class!$A$2:$B$501,2,true),vlookup(ceiling(E270),Class!$D$2:$E$501,2,true)))))</f>
        <v/>
      </c>
      <c r="C270" s="65"/>
      <c r="D270" s="76"/>
      <c r="E270" s="74"/>
      <c r="F270" s="76"/>
      <c r="G270" s="65"/>
      <c r="H270" s="65"/>
      <c r="I270" s="65"/>
    </row>
    <row r="271">
      <c r="A271" s="4">
        <v>269.0</v>
      </c>
      <c r="B271" s="33" t="str">
        <f>if(isblank(C271),,if(C271="wjv",vlookup(ceiling(E271),Class!$J$2:$K$501,2,true),if(C271="w",vlookup(ceiling(E271),Class!$G$2:$H$501,2,true),if(C271="jv",vlookup(ceiling(E271),Class!$A$2:$B$501,2,true),vlookup(ceiling(E271),Class!$D$2:$E$501,2,true)))))</f>
        <v/>
      </c>
      <c r="C271" s="65"/>
      <c r="D271" s="76"/>
      <c r="E271" s="74"/>
      <c r="F271" s="76"/>
      <c r="G271" s="65"/>
      <c r="H271" s="65"/>
      <c r="I271" s="65"/>
    </row>
    <row r="272">
      <c r="A272" s="4">
        <v>270.0</v>
      </c>
      <c r="B272" s="33" t="str">
        <f>if(isblank(C272),,if(C272="wjv",vlookup(ceiling(E272),Class!$J$2:$K$501,2,true),if(C272="w",vlookup(ceiling(E272),Class!$G$2:$H$501,2,true),if(C272="jv",vlookup(ceiling(E272),Class!$A$2:$B$501,2,true),vlookup(ceiling(E272),Class!$D$2:$E$501,2,true)))))</f>
        <v/>
      </c>
      <c r="C272" s="65"/>
      <c r="D272" s="76"/>
      <c r="E272" s="74"/>
      <c r="F272" s="76"/>
      <c r="G272" s="65"/>
      <c r="H272" s="65"/>
      <c r="I272" s="65"/>
    </row>
    <row r="273">
      <c r="A273" s="4">
        <v>271.0</v>
      </c>
      <c r="B273" s="33" t="str">
        <f>if(isblank(C273),,if(C273="wjv",vlookup(ceiling(E273),Class!$J$2:$K$501,2,true),if(C273="w",vlookup(ceiling(E273),Class!$G$2:$H$501,2,true),if(C273="jv",vlookup(ceiling(E273),Class!$A$2:$B$501,2,true),vlookup(ceiling(E273),Class!$D$2:$E$501,2,true)))))</f>
        <v/>
      </c>
      <c r="C273" s="65"/>
      <c r="D273" s="76"/>
      <c r="E273" s="74"/>
      <c r="F273" s="76"/>
      <c r="G273" s="65"/>
      <c r="H273" s="65"/>
      <c r="I273" s="65"/>
    </row>
    <row r="274">
      <c r="A274" s="4">
        <v>272.0</v>
      </c>
      <c r="B274" s="33" t="str">
        <f>if(isblank(C274),,if(C274="wjv",vlookup(ceiling(E274),Class!$J$2:$K$501,2,true),if(C274="w",vlookup(ceiling(E274),Class!$G$2:$H$501,2,true),if(C274="jv",vlookup(ceiling(E274),Class!$A$2:$B$501,2,true),vlookup(ceiling(E274),Class!$D$2:$E$501,2,true)))))</f>
        <v/>
      </c>
      <c r="C274" s="65"/>
      <c r="D274" s="76"/>
      <c r="E274" s="74"/>
      <c r="F274" s="76"/>
      <c r="G274" s="65"/>
      <c r="H274" s="65"/>
      <c r="I274" s="65"/>
    </row>
    <row r="275">
      <c r="A275" s="4">
        <v>273.0</v>
      </c>
      <c r="B275" s="33" t="str">
        <f>if(isblank(C275),,if(C275="wjv",vlookup(ceiling(E275),Class!$J$2:$K$501,2,true),if(C275="w",vlookup(ceiling(E275),Class!$G$2:$H$501,2,true),if(C275="jv",vlookup(ceiling(E275),Class!$A$2:$B$501,2,true),vlookup(ceiling(E275),Class!$D$2:$E$501,2,true)))))</f>
        <v/>
      </c>
      <c r="C275" s="65"/>
      <c r="D275" s="76"/>
      <c r="E275" s="74"/>
      <c r="F275" s="76"/>
      <c r="G275" s="65"/>
      <c r="H275" s="65"/>
      <c r="I275" s="65"/>
    </row>
    <row r="276">
      <c r="A276" s="4">
        <v>274.0</v>
      </c>
      <c r="B276" s="33" t="str">
        <f>if(isblank(C276),,if(C276="wjv",vlookup(ceiling(E276),Class!$J$2:$K$501,2,true),if(C276="w",vlookup(ceiling(E276),Class!$G$2:$H$501,2,true),if(C276="jv",vlookup(ceiling(E276),Class!$A$2:$B$501,2,true),vlookup(ceiling(E276),Class!$D$2:$E$501,2,true)))))</f>
        <v/>
      </c>
      <c r="C276" s="65"/>
      <c r="D276" s="76"/>
      <c r="E276" s="74"/>
      <c r="F276" s="76"/>
      <c r="G276" s="65"/>
      <c r="H276" s="65"/>
      <c r="I276" s="65"/>
    </row>
    <row r="277">
      <c r="A277" s="4">
        <v>275.0</v>
      </c>
      <c r="B277" s="33" t="str">
        <f>if(isblank(C277),,if(C277="wjv",vlookup(ceiling(E277),Class!$J$2:$K$501,2,true),if(C277="w",vlookup(ceiling(E277),Class!$G$2:$H$501,2,true),if(C277="jv",vlookup(ceiling(E277),Class!$A$2:$B$501,2,true),vlookup(ceiling(E277),Class!$D$2:$E$501,2,true)))))</f>
        <v/>
      </c>
      <c r="C277" s="65"/>
      <c r="D277" s="76"/>
      <c r="E277" s="74"/>
      <c r="F277" s="76"/>
      <c r="G277" s="65"/>
      <c r="H277" s="65"/>
      <c r="I277" s="65"/>
    </row>
    <row r="278">
      <c r="A278" s="4">
        <v>276.0</v>
      </c>
      <c r="B278" s="33" t="str">
        <f>if(isblank(C278),,if(C278="wjv",vlookup(ceiling(E278),Class!$J$2:$K$501,2,true),if(C278="w",vlookup(ceiling(E278),Class!$G$2:$H$501,2,true),if(C278="jv",vlookup(ceiling(E278),Class!$A$2:$B$501,2,true),vlookup(ceiling(E278),Class!$D$2:$E$501,2,true)))))</f>
        <v/>
      </c>
      <c r="C278" s="65"/>
      <c r="D278" s="76"/>
      <c r="E278" s="74"/>
      <c r="F278" s="76"/>
      <c r="G278" s="65"/>
      <c r="H278" s="65"/>
      <c r="I278" s="65"/>
    </row>
    <row r="279">
      <c r="A279" s="4">
        <v>277.0</v>
      </c>
      <c r="B279" s="33" t="str">
        <f>if(isblank(C279),,if(C279="wjv",vlookup(ceiling(E279),Class!$J$2:$K$501,2,true),if(C279="w",vlookup(ceiling(E279),Class!$G$2:$H$501,2,true),if(C279="jv",vlookup(ceiling(E279),Class!$A$2:$B$501,2,true),vlookup(ceiling(E279),Class!$D$2:$E$501,2,true)))))</f>
        <v/>
      </c>
      <c r="C279" s="65"/>
      <c r="D279" s="76"/>
      <c r="E279" s="74"/>
      <c r="F279" s="76"/>
      <c r="G279" s="65"/>
      <c r="H279" s="65"/>
      <c r="I279" s="65"/>
    </row>
    <row r="280">
      <c r="A280" s="4">
        <v>278.0</v>
      </c>
      <c r="B280" s="33" t="str">
        <f>if(isblank(C280),,if(C280="wjv",vlookup(ceiling(E280),Class!$J$2:$K$501,2,true),if(C280="w",vlookup(ceiling(E280),Class!$G$2:$H$501,2,true),if(C280="jv",vlookup(ceiling(E280),Class!$A$2:$B$501,2,true),vlookup(ceiling(E280),Class!$D$2:$E$501,2,true)))))</f>
        <v/>
      </c>
      <c r="C280" s="65"/>
      <c r="D280" s="76"/>
      <c r="E280" s="74"/>
      <c r="F280" s="76"/>
      <c r="G280" s="65"/>
      <c r="H280" s="65"/>
      <c r="I280" s="65"/>
    </row>
    <row r="281">
      <c r="A281" s="4">
        <v>279.0</v>
      </c>
      <c r="B281" s="33" t="str">
        <f>if(isblank(C281),,if(C281="wjv",vlookup(ceiling(E281),Class!$J$2:$K$501,2,true),if(C281="w",vlookup(ceiling(E281),Class!$G$2:$H$501,2,true),if(C281="jv",vlookup(ceiling(E281),Class!$A$2:$B$501,2,true),vlookup(ceiling(E281),Class!$D$2:$E$501,2,true)))))</f>
        <v/>
      </c>
      <c r="C281" s="65"/>
      <c r="D281" s="76"/>
      <c r="E281" s="74"/>
      <c r="F281" s="76"/>
      <c r="G281" s="65"/>
      <c r="H281" s="65"/>
      <c r="I281" s="65"/>
    </row>
    <row r="282">
      <c r="A282" s="4">
        <v>280.0</v>
      </c>
      <c r="B282" s="33" t="str">
        <f>if(isblank(C282),,if(C282="wjv",vlookup(ceiling(E282),Class!$J$2:$K$501,2,true),if(C282="w",vlookup(ceiling(E282),Class!$G$2:$H$501,2,true),if(C282="jv",vlookup(ceiling(E282),Class!$A$2:$B$501,2,true),vlookup(ceiling(E282),Class!$D$2:$E$501,2,true)))))</f>
        <v/>
      </c>
      <c r="C282" s="65"/>
      <c r="D282" s="76"/>
      <c r="E282" s="74"/>
      <c r="F282" s="76"/>
      <c r="G282" s="65"/>
      <c r="H282" s="65"/>
      <c r="I282" s="65"/>
    </row>
    <row r="283">
      <c r="A283" s="4">
        <v>281.0</v>
      </c>
      <c r="B283" s="33" t="str">
        <f>if(isblank(C283),,if(C283="wjv",vlookup(ceiling(E283),Class!$J$2:$K$501,2,true),if(C283="w",vlookup(ceiling(E283),Class!$G$2:$H$501,2,true),if(C283="jv",vlookup(ceiling(E283),Class!$A$2:$B$501,2,true),vlookup(ceiling(E283),Class!$D$2:$E$501,2,true)))))</f>
        <v/>
      </c>
      <c r="C283" s="65"/>
      <c r="D283" s="76"/>
      <c r="E283" s="74"/>
      <c r="F283" s="76"/>
      <c r="G283" s="65"/>
      <c r="H283" s="65"/>
      <c r="I283" s="65"/>
    </row>
    <row r="284">
      <c r="A284" s="4">
        <v>282.0</v>
      </c>
      <c r="B284" s="33" t="str">
        <f>if(isblank(C284),,if(C284="wjv",vlookup(ceiling(E284),Class!$J$2:$K$501,2,true),if(C284="w",vlookup(ceiling(E284),Class!$G$2:$H$501,2,true),if(C284="jv",vlookup(ceiling(E284),Class!$A$2:$B$501,2,true),vlookup(ceiling(E284),Class!$D$2:$E$501,2,true)))))</f>
        <v/>
      </c>
      <c r="C284" s="65"/>
      <c r="D284" s="76"/>
      <c r="E284" s="74"/>
      <c r="F284" s="76"/>
      <c r="G284" s="65"/>
      <c r="H284" s="65"/>
      <c r="I284" s="65"/>
    </row>
    <row r="285">
      <c r="A285" s="4">
        <v>283.0</v>
      </c>
      <c r="B285" s="33" t="str">
        <f>if(isblank(C285),,if(C285="wjv",vlookup(ceiling(E285),Class!$J$2:$K$501,2,true),if(C285="w",vlookup(ceiling(E285),Class!$G$2:$H$501,2,true),if(C285="jv",vlookup(ceiling(E285),Class!$A$2:$B$501,2,true),vlookup(ceiling(E285),Class!$D$2:$E$501,2,true)))))</f>
        <v/>
      </c>
      <c r="C285" s="65"/>
      <c r="D285" s="76"/>
      <c r="E285" s="74"/>
      <c r="F285" s="76"/>
      <c r="G285" s="65"/>
      <c r="H285" s="65"/>
      <c r="I285" s="65"/>
    </row>
    <row r="286">
      <c r="A286" s="4">
        <v>284.0</v>
      </c>
      <c r="B286" s="33" t="str">
        <f>if(isblank(C286),,if(C286="wjv",vlookup(ceiling(E286),Class!$J$2:$K$501,2,true),if(C286="w",vlookup(ceiling(E286),Class!$G$2:$H$501,2,true),if(C286="jv",vlookup(ceiling(E286),Class!$A$2:$B$501,2,true),vlookup(ceiling(E286),Class!$D$2:$E$501,2,true)))))</f>
        <v/>
      </c>
      <c r="C286" s="65"/>
      <c r="D286" s="76"/>
      <c r="E286" s="74"/>
      <c r="F286" s="76"/>
      <c r="G286" s="65"/>
      <c r="H286" s="65"/>
      <c r="I286" s="65"/>
    </row>
    <row r="287">
      <c r="A287" s="4">
        <v>285.0</v>
      </c>
      <c r="B287" s="33" t="str">
        <f>if(isblank(C287),,if(C287="wjv",vlookup(ceiling(E287),Class!$J$2:$K$501,2,true),if(C287="w",vlookup(ceiling(E287),Class!$G$2:$H$501,2,true),if(C287="jv",vlookup(ceiling(E287),Class!$A$2:$B$501,2,true),vlookup(ceiling(E287),Class!$D$2:$E$501,2,true)))))</f>
        <v/>
      </c>
      <c r="C287" s="65"/>
      <c r="D287" s="76"/>
      <c r="E287" s="74"/>
      <c r="F287" s="76"/>
      <c r="G287" s="65"/>
      <c r="H287" s="65"/>
      <c r="I287" s="65"/>
    </row>
    <row r="288">
      <c r="A288" s="4">
        <v>286.0</v>
      </c>
      <c r="B288" s="33" t="str">
        <f>if(isblank(C288),,if(C288="wjv",vlookup(ceiling(E288),Class!$J$2:$K$501,2,true),if(C288="w",vlookup(ceiling(E288),Class!$G$2:$H$501,2,true),if(C288="jv",vlookup(ceiling(E288),Class!$A$2:$B$501,2,true),vlookup(ceiling(E288),Class!$D$2:$E$501,2,true)))))</f>
        <v/>
      </c>
      <c r="C288" s="65"/>
      <c r="D288" s="76"/>
      <c r="E288" s="74"/>
      <c r="F288" s="76"/>
      <c r="G288" s="65"/>
      <c r="H288" s="65"/>
      <c r="I288" s="65"/>
    </row>
    <row r="289">
      <c r="A289" s="4">
        <v>287.0</v>
      </c>
      <c r="B289" s="33" t="str">
        <f>if(isblank(C289),,if(C289="wjv",vlookup(ceiling(E289),Class!$J$2:$K$501,2,true),if(C289="w",vlookup(ceiling(E289),Class!$G$2:$H$501,2,true),if(C289="jv",vlookup(ceiling(E289),Class!$A$2:$B$501,2,true),vlookup(ceiling(E289),Class!$D$2:$E$501,2,true)))))</f>
        <v/>
      </c>
      <c r="C289" s="65"/>
      <c r="D289" s="76"/>
      <c r="E289" s="74"/>
      <c r="F289" s="76"/>
      <c r="G289" s="65"/>
      <c r="H289" s="65"/>
      <c r="I289" s="65"/>
    </row>
    <row r="290">
      <c r="A290" s="4">
        <v>288.0</v>
      </c>
      <c r="B290" s="33" t="str">
        <f>if(isblank(C290),,if(C290="wjv",vlookup(ceiling(E290),Class!$J$2:$K$501,2,true),if(C290="w",vlookup(ceiling(E290),Class!$G$2:$H$501,2,true),if(C290="jv",vlookup(ceiling(E290),Class!$A$2:$B$501,2,true),vlookup(ceiling(E290),Class!$D$2:$E$501,2,true)))))</f>
        <v/>
      </c>
      <c r="C290" s="65"/>
      <c r="D290" s="76"/>
      <c r="E290" s="74"/>
      <c r="F290" s="76"/>
      <c r="G290" s="65"/>
      <c r="H290" s="65"/>
      <c r="I290" s="65"/>
    </row>
    <row r="291">
      <c r="A291" s="4">
        <v>289.0</v>
      </c>
      <c r="B291" s="33" t="str">
        <f>if(isblank(C291),,if(C291="wjv",vlookup(ceiling(E291),Class!$J$2:$K$501,2,true),if(C291="w",vlookup(ceiling(E291),Class!$G$2:$H$501,2,true),if(C291="jv",vlookup(ceiling(E291),Class!$A$2:$B$501,2,true),vlookup(ceiling(E291),Class!$D$2:$E$501,2,true)))))</f>
        <v/>
      </c>
      <c r="C291" s="65"/>
      <c r="D291" s="76"/>
      <c r="E291" s="74"/>
      <c r="F291" s="76"/>
      <c r="G291" s="65"/>
      <c r="H291" s="65"/>
      <c r="I291" s="65"/>
    </row>
    <row r="292">
      <c r="A292" s="4">
        <v>290.0</v>
      </c>
      <c r="B292" s="33" t="str">
        <f>if(isblank(C292),,if(C292="wjv",vlookup(ceiling(E292),Class!$J$2:$K$501,2,true),if(C292="w",vlookup(ceiling(E292),Class!$G$2:$H$501,2,true),if(C292="jv",vlookup(ceiling(E292),Class!$A$2:$B$501,2,true),vlookup(ceiling(E292),Class!$D$2:$E$501,2,true)))))</f>
        <v/>
      </c>
      <c r="C292" s="65"/>
      <c r="D292" s="76"/>
      <c r="E292" s="74"/>
      <c r="F292" s="76"/>
      <c r="G292" s="65"/>
      <c r="H292" s="65"/>
      <c r="I292" s="65"/>
    </row>
    <row r="293">
      <c r="A293" s="4">
        <v>291.0</v>
      </c>
      <c r="B293" s="33" t="str">
        <f>if(isblank(C293),,if(C293="wjv",vlookup(ceiling(E293),Class!$J$2:$K$501,2,true),if(C293="w",vlookup(ceiling(E293),Class!$G$2:$H$501,2,true),if(C293="jv",vlookup(ceiling(E293),Class!$A$2:$B$501,2,true),vlookup(ceiling(E293),Class!$D$2:$E$501,2,true)))))</f>
        <v/>
      </c>
      <c r="C293" s="65"/>
      <c r="D293" s="76"/>
      <c r="E293" s="74"/>
      <c r="F293" s="76"/>
      <c r="G293" s="65"/>
      <c r="H293" s="65"/>
      <c r="I293" s="65"/>
    </row>
    <row r="294">
      <c r="A294" s="4">
        <v>292.0</v>
      </c>
      <c r="B294" s="33" t="str">
        <f>if(isblank(C294),,if(C294="wjv",vlookup(ceiling(E294),Class!$J$2:$K$501,2,true),if(C294="w",vlookup(ceiling(E294),Class!$G$2:$H$501,2,true),if(C294="jv",vlookup(ceiling(E294),Class!$A$2:$B$501,2,true),vlookup(ceiling(E294),Class!$D$2:$E$501,2,true)))))</f>
        <v/>
      </c>
      <c r="C294" s="65"/>
      <c r="D294" s="76"/>
      <c r="E294" s="74"/>
      <c r="F294" s="76"/>
      <c r="G294" s="65"/>
      <c r="H294" s="65"/>
      <c r="I294" s="65"/>
    </row>
    <row r="295">
      <c r="A295" s="4">
        <v>293.0</v>
      </c>
      <c r="B295" s="33" t="str">
        <f>if(isblank(C295),,if(C295="wjv",vlookup(ceiling(E295),Class!$J$2:$K$501,2,true),if(C295="w",vlookup(ceiling(E295),Class!$G$2:$H$501,2,true),if(C295="jv",vlookup(ceiling(E295),Class!$A$2:$B$501,2,true),vlookup(ceiling(E295),Class!$D$2:$E$501,2,true)))))</f>
        <v/>
      </c>
      <c r="C295" s="65"/>
      <c r="D295" s="76"/>
      <c r="E295" s="74"/>
      <c r="F295" s="76"/>
      <c r="G295" s="65"/>
      <c r="H295" s="65"/>
      <c r="I295" s="65"/>
    </row>
    <row r="296">
      <c r="A296" s="4">
        <v>294.0</v>
      </c>
      <c r="B296" s="33" t="str">
        <f>if(isblank(C296),,if(C296="wjv",vlookup(ceiling(E296),Class!$J$2:$K$501,2,true),if(C296="w",vlookup(ceiling(E296),Class!$G$2:$H$501,2,true),if(C296="jv",vlookup(ceiling(E296),Class!$A$2:$B$501,2,true),vlookup(ceiling(E296),Class!$D$2:$E$501,2,true)))))</f>
        <v/>
      </c>
      <c r="C296" s="65"/>
      <c r="D296" s="76"/>
      <c r="E296" s="74"/>
      <c r="F296" s="76"/>
      <c r="G296" s="65"/>
      <c r="H296" s="65"/>
      <c r="I296" s="65"/>
    </row>
    <row r="297">
      <c r="A297" s="4">
        <v>295.0</v>
      </c>
      <c r="B297" s="33" t="str">
        <f>if(isblank(C297),,if(C297="wjv",vlookup(ceiling(E297),Class!$J$2:$K$501,2,true),if(C297="w",vlookup(ceiling(E297),Class!$G$2:$H$501,2,true),if(C297="jv",vlookup(ceiling(E297),Class!$A$2:$B$501,2,true),vlookup(ceiling(E297),Class!$D$2:$E$501,2,true)))))</f>
        <v/>
      </c>
      <c r="C297" s="65"/>
      <c r="D297" s="76"/>
      <c r="E297" s="74"/>
      <c r="F297" s="76"/>
      <c r="G297" s="65"/>
      <c r="H297" s="65"/>
      <c r="I297" s="65"/>
    </row>
    <row r="298">
      <c r="A298" s="4">
        <v>296.0</v>
      </c>
      <c r="B298" s="33" t="str">
        <f>if(isblank(C298),,if(C298="wjv",vlookup(ceiling(E298),Class!$J$2:$K$501,2,true),if(C298="w",vlookup(ceiling(E298),Class!$G$2:$H$501,2,true),if(C298="jv",vlookup(ceiling(E298),Class!$A$2:$B$501,2,true),vlookup(ceiling(E298),Class!$D$2:$E$501,2,true)))))</f>
        <v/>
      </c>
      <c r="C298" s="65"/>
      <c r="D298" s="76"/>
      <c r="E298" s="74"/>
      <c r="F298" s="76"/>
      <c r="G298" s="65"/>
      <c r="H298" s="65"/>
      <c r="I298" s="65"/>
    </row>
    <row r="299">
      <c r="A299" s="4">
        <v>297.0</v>
      </c>
      <c r="B299" s="33" t="str">
        <f>if(isblank(C299),,if(C299="wjv",vlookup(ceiling(E299),Class!$J$2:$K$501,2,true),if(C299="w",vlookup(ceiling(E299),Class!$G$2:$H$501,2,true),if(C299="jv",vlookup(ceiling(E299),Class!$A$2:$B$501,2,true),vlookup(ceiling(E299),Class!$D$2:$E$501,2,true)))))</f>
        <v/>
      </c>
      <c r="C299" s="65"/>
      <c r="D299" s="76"/>
      <c r="E299" s="74"/>
      <c r="F299" s="76"/>
      <c r="G299" s="65"/>
      <c r="H299" s="65"/>
      <c r="I299" s="65"/>
    </row>
    <row r="300">
      <c r="A300" s="4">
        <v>298.0</v>
      </c>
      <c r="B300" s="33" t="str">
        <f>if(isblank(C300),,if(C300="wjv",vlookup(ceiling(E300),Class!$J$2:$K$501,2,true),if(C300="w",vlookup(ceiling(E300),Class!$G$2:$H$501,2,true),if(C300="jv",vlookup(ceiling(E300),Class!$A$2:$B$501,2,true),vlookup(ceiling(E300),Class!$D$2:$E$501,2,true)))))</f>
        <v/>
      </c>
      <c r="C300" s="65"/>
      <c r="D300" s="76"/>
      <c r="E300" s="74"/>
      <c r="F300" s="76"/>
      <c r="G300" s="65"/>
      <c r="H300" s="65"/>
      <c r="I300" s="65"/>
    </row>
    <row r="301">
      <c r="A301" s="4">
        <v>299.0</v>
      </c>
      <c r="B301" s="33" t="str">
        <f>if(isblank(C301),,if(C301="wjv",vlookup(ceiling(E301),Class!$J$2:$K$501,2,true),if(C301="w",vlookup(ceiling(E301),Class!$G$2:$H$501,2,true),if(C301="jv",vlookup(ceiling(E301),Class!$A$2:$B$501,2,true),vlookup(ceiling(E301),Class!$D$2:$E$501,2,true)))))</f>
        <v/>
      </c>
      <c r="C301" s="65"/>
      <c r="D301" s="76"/>
      <c r="E301" s="74"/>
      <c r="F301" s="76"/>
      <c r="G301" s="65"/>
      <c r="H301" s="65"/>
      <c r="I301" s="65"/>
    </row>
    <row r="302">
      <c r="A302" s="4">
        <v>300.0</v>
      </c>
      <c r="B302" s="33" t="str">
        <f>if(isblank(C302),,if(C302="wjv",vlookup(ceiling(E302),Class!$J$2:$K$501,2,true),if(C302="w",vlookup(ceiling(E302),Class!$G$2:$H$501,2,true),if(C302="jv",vlookup(ceiling(E302),Class!$A$2:$B$501,2,true),vlookup(ceiling(E302),Class!$D$2:$E$501,2,true)))))</f>
        <v/>
      </c>
      <c r="C302" s="65"/>
      <c r="D302" s="76"/>
      <c r="E302" s="74"/>
      <c r="F302" s="76"/>
      <c r="G302" s="65"/>
      <c r="H302" s="65"/>
      <c r="I302" s="65"/>
    </row>
    <row r="303">
      <c r="A303" s="4">
        <v>301.0</v>
      </c>
      <c r="B303" s="33" t="str">
        <f>if(isblank(C303),,if(C303="wjv",vlookup(ceiling(E303),Class!$J$2:$K$501,2,true),if(C303="w",vlookup(ceiling(E303),Class!$G$2:$H$501,2,true),if(C303="jv",vlookup(ceiling(E303),Class!$A$2:$B$501,2,true),vlookup(ceiling(E303),Class!$D$2:$E$501,2,true)))))</f>
        <v/>
      </c>
      <c r="C303" s="65"/>
      <c r="D303" s="76"/>
      <c r="E303" s="74"/>
      <c r="F303" s="76"/>
      <c r="G303" s="65"/>
      <c r="H303" s="65"/>
      <c r="I303" s="65"/>
    </row>
    <row r="304">
      <c r="A304" s="4">
        <v>302.0</v>
      </c>
      <c r="B304" s="33" t="str">
        <f>if(isblank(C304),,if(C304="wjv",vlookup(ceiling(E304),Class!$J$2:$K$501,2,true),if(C304="w",vlookup(ceiling(E304),Class!$G$2:$H$501,2,true),if(C304="jv",vlookup(ceiling(E304),Class!$A$2:$B$501,2,true),vlookup(ceiling(E304),Class!$D$2:$E$501,2,true)))))</f>
        <v/>
      </c>
      <c r="C304" s="65"/>
      <c r="D304" s="76"/>
      <c r="E304" s="74"/>
      <c r="F304" s="76"/>
      <c r="G304" s="65"/>
      <c r="H304" s="65"/>
      <c r="I304" s="65"/>
    </row>
    <row r="305">
      <c r="A305" s="4">
        <v>303.0</v>
      </c>
      <c r="B305" s="33" t="str">
        <f>if(isblank(C305),,if(C305="wjv",vlookup(ceiling(E305),Class!$J$2:$K$501,2,true),if(C305="w",vlookup(ceiling(E305),Class!$G$2:$H$501,2,true),if(C305="jv",vlookup(ceiling(E305),Class!$A$2:$B$501,2,true),vlookup(ceiling(E305),Class!$D$2:$E$501,2,true)))))</f>
        <v/>
      </c>
      <c r="C305" s="65"/>
      <c r="D305" s="76"/>
      <c r="E305" s="74"/>
      <c r="F305" s="76"/>
      <c r="G305" s="65"/>
      <c r="H305" s="65"/>
      <c r="I305" s="65"/>
    </row>
    <row r="306">
      <c r="A306" s="4">
        <v>304.0</v>
      </c>
      <c r="B306" s="33" t="str">
        <f>if(isblank(C306),,if(C306="wjv",vlookup(ceiling(E306),Class!$J$2:$K$501,2,true),if(C306="w",vlookup(ceiling(E306),Class!$G$2:$H$501,2,true),if(C306="jv",vlookup(ceiling(E306),Class!$A$2:$B$501,2,true),vlookup(ceiling(E306),Class!$D$2:$E$501,2,true)))))</f>
        <v/>
      </c>
      <c r="C306" s="65"/>
      <c r="D306" s="76"/>
      <c r="E306" s="74"/>
      <c r="F306" s="76"/>
      <c r="G306" s="65"/>
      <c r="H306" s="65"/>
      <c r="I306" s="65"/>
    </row>
    <row r="307">
      <c r="A307" s="4">
        <v>305.0</v>
      </c>
      <c r="B307" s="33" t="str">
        <f>if(isblank(C307),,if(C307="wjv",vlookup(ceiling(E307),Class!$J$2:$K$501,2,true),if(C307="w",vlookup(ceiling(E307),Class!$G$2:$H$501,2,true),if(C307="jv",vlookup(ceiling(E307),Class!$A$2:$B$501,2,true),vlookup(ceiling(E307),Class!$D$2:$E$501,2,true)))))</f>
        <v/>
      </c>
      <c r="C307" s="65"/>
      <c r="D307" s="76"/>
      <c r="E307" s="74"/>
      <c r="F307" s="76"/>
      <c r="G307" s="65"/>
      <c r="H307" s="65"/>
      <c r="I307" s="65"/>
    </row>
    <row r="308">
      <c r="A308" s="4">
        <v>306.0</v>
      </c>
      <c r="B308" s="33" t="str">
        <f>if(isblank(C308),,if(C308="wjv",vlookup(ceiling(E308),Class!$J$2:$K$501,2,true),if(C308="w",vlookup(ceiling(E308),Class!$G$2:$H$501,2,true),if(C308="jv",vlookup(ceiling(E308),Class!$A$2:$B$501,2,true),vlookup(ceiling(E308),Class!$D$2:$E$501,2,true)))))</f>
        <v/>
      </c>
      <c r="C308" s="65"/>
      <c r="D308" s="76"/>
      <c r="E308" s="74"/>
      <c r="F308" s="76"/>
      <c r="G308" s="65"/>
      <c r="H308" s="65"/>
      <c r="I308" s="65"/>
    </row>
    <row r="309">
      <c r="A309" s="4">
        <v>307.0</v>
      </c>
      <c r="B309" s="33" t="str">
        <f>if(isblank(C309),,if(C309="wjv",vlookup(ceiling(E309),Class!$J$2:$K$501,2,true),if(C309="w",vlookup(ceiling(E309),Class!$G$2:$H$501,2,true),if(C309="jv",vlookup(ceiling(E309),Class!$A$2:$B$501,2,true),vlookup(ceiling(E309),Class!$D$2:$E$501,2,true)))))</f>
        <v/>
      </c>
      <c r="C309" s="65"/>
      <c r="D309" s="76"/>
      <c r="E309" s="74"/>
      <c r="F309" s="76"/>
      <c r="G309" s="65"/>
      <c r="H309" s="65"/>
      <c r="I309" s="65"/>
    </row>
    <row r="310">
      <c r="A310" s="4">
        <v>308.0</v>
      </c>
      <c r="B310" s="33" t="str">
        <f>if(isblank(C310),,if(C310="wjv",vlookup(ceiling(E310),Class!$J$2:$K$501,2,true),if(C310="w",vlookup(ceiling(E310),Class!$G$2:$H$501,2,true),if(C310="jv",vlookup(ceiling(E310),Class!$A$2:$B$501,2,true),vlookup(ceiling(E310),Class!$D$2:$E$501,2,true)))))</f>
        <v/>
      </c>
      <c r="C310" s="65"/>
      <c r="D310" s="76"/>
      <c r="E310" s="74"/>
      <c r="F310" s="76"/>
      <c r="G310" s="65"/>
      <c r="H310" s="65"/>
      <c r="I310" s="65"/>
    </row>
    <row r="311">
      <c r="A311" s="4">
        <v>309.0</v>
      </c>
      <c r="B311" s="33" t="str">
        <f>if(isblank(C311),,if(C311="wjv",vlookup(ceiling(E311),Class!$J$2:$K$501,2,true),if(C311="w",vlookup(ceiling(E311),Class!$G$2:$H$501,2,true),if(C311="jv",vlookup(ceiling(E311),Class!$A$2:$B$501,2,true),vlookup(ceiling(E311),Class!$D$2:$E$501,2,true)))))</f>
        <v/>
      </c>
      <c r="C311" s="65"/>
      <c r="D311" s="76"/>
      <c r="E311" s="74"/>
      <c r="F311" s="76"/>
      <c r="G311" s="65"/>
      <c r="H311" s="65"/>
      <c r="I311" s="65"/>
    </row>
    <row r="312">
      <c r="A312" s="4">
        <v>310.0</v>
      </c>
      <c r="B312" s="33" t="str">
        <f>if(isblank(C312),,if(C312="wjv",vlookup(ceiling(E312),Class!$J$2:$K$501,2,true),if(C312="w",vlookup(ceiling(E312),Class!$G$2:$H$501,2,true),if(C312="jv",vlookup(ceiling(E312),Class!$A$2:$B$501,2,true),vlookup(ceiling(E312),Class!$D$2:$E$501,2,true)))))</f>
        <v/>
      </c>
      <c r="C312" s="65"/>
      <c r="D312" s="76"/>
      <c r="E312" s="74"/>
      <c r="F312" s="76"/>
      <c r="G312" s="65"/>
      <c r="H312" s="65"/>
      <c r="I312" s="65"/>
    </row>
    <row r="313">
      <c r="A313" s="4">
        <v>311.0</v>
      </c>
      <c r="B313" s="33" t="str">
        <f>if(isblank(C313),,if(C313="wjv",vlookup(ceiling(E313),Class!$J$2:$K$501,2,true),if(C313="w",vlookup(ceiling(E313),Class!$G$2:$H$501,2,true),if(C313="jv",vlookup(ceiling(E313),Class!$A$2:$B$501,2,true),vlookup(ceiling(E313),Class!$D$2:$E$501,2,true)))))</f>
        <v/>
      </c>
      <c r="C313" s="65"/>
      <c r="D313" s="76"/>
      <c r="E313" s="74"/>
      <c r="F313" s="76"/>
      <c r="G313" s="65"/>
      <c r="H313" s="65"/>
      <c r="I313" s="65"/>
    </row>
    <row r="314">
      <c r="A314" s="4">
        <v>312.0</v>
      </c>
      <c r="B314" s="33" t="str">
        <f>if(isblank(C314),,if(C314="wjv",vlookup(ceiling(E314),Class!$J$2:$K$501,2,true),if(C314="w",vlookup(ceiling(E314),Class!$G$2:$H$501,2,true),if(C314="jv",vlookup(ceiling(E314),Class!$A$2:$B$501,2,true),vlookup(ceiling(E314),Class!$D$2:$E$501,2,true)))))</f>
        <v/>
      </c>
      <c r="C314" s="65"/>
      <c r="D314" s="76"/>
      <c r="E314" s="74"/>
      <c r="F314" s="76"/>
      <c r="G314" s="65"/>
      <c r="H314" s="65"/>
      <c r="I314" s="65"/>
    </row>
    <row r="315">
      <c r="A315" s="4">
        <v>313.0</v>
      </c>
      <c r="B315" s="33" t="str">
        <f>if(isblank(C315),,if(C315="wjv",vlookup(ceiling(E315),Class!$J$2:$K$501,2,true),if(C315="w",vlookup(ceiling(E315),Class!$G$2:$H$501,2,true),if(C315="jv",vlookup(ceiling(E315),Class!$A$2:$B$501,2,true),vlookup(ceiling(E315),Class!$D$2:$E$501,2,true)))))</f>
        <v/>
      </c>
      <c r="C315" s="65"/>
      <c r="D315" s="76"/>
      <c r="E315" s="74"/>
      <c r="F315" s="76"/>
      <c r="G315" s="65"/>
      <c r="H315" s="65"/>
      <c r="I315" s="65"/>
    </row>
    <row r="316">
      <c r="A316" s="4">
        <v>314.0</v>
      </c>
      <c r="B316" s="33" t="str">
        <f>if(isblank(C316),,if(C316="wjv",vlookup(ceiling(E316),Class!$J$2:$K$501,2,true),if(C316="w",vlookup(ceiling(E316),Class!$G$2:$H$501,2,true),if(C316="jv",vlookup(ceiling(E316),Class!$A$2:$B$501,2,true),vlookup(ceiling(E316),Class!$D$2:$E$501,2,true)))))</f>
        <v/>
      </c>
      <c r="C316" s="65"/>
      <c r="D316" s="76"/>
      <c r="E316" s="74"/>
      <c r="F316" s="76"/>
      <c r="G316" s="65"/>
      <c r="H316" s="65"/>
      <c r="I316" s="65"/>
    </row>
    <row r="317">
      <c r="A317" s="4">
        <v>315.0</v>
      </c>
      <c r="B317" s="33" t="str">
        <f>if(isblank(C317),,if(C317="wjv",vlookup(ceiling(E317),Class!$J$2:$K$501,2,true),if(C317="w",vlookup(ceiling(E317),Class!$G$2:$H$501,2,true),if(C317="jv",vlookup(ceiling(E317),Class!$A$2:$B$501,2,true),vlookup(ceiling(E317),Class!$D$2:$E$501,2,true)))))</f>
        <v/>
      </c>
      <c r="C317" s="65"/>
      <c r="D317" s="76"/>
      <c r="E317" s="74"/>
      <c r="F317" s="76"/>
      <c r="G317" s="65"/>
      <c r="H317" s="65"/>
      <c r="I317" s="65"/>
    </row>
    <row r="318">
      <c r="A318" s="4">
        <v>316.0</v>
      </c>
      <c r="B318" s="33" t="str">
        <f>if(isblank(C318),,if(C318="wjv",vlookup(ceiling(E318),Class!$J$2:$K$501,2,true),if(C318="w",vlookup(ceiling(E318),Class!$G$2:$H$501,2,true),if(C318="jv",vlookup(ceiling(E318),Class!$A$2:$B$501,2,true),vlookup(ceiling(E318),Class!$D$2:$E$501,2,true)))))</f>
        <v/>
      </c>
      <c r="C318" s="65"/>
      <c r="D318" s="76"/>
      <c r="E318" s="74"/>
      <c r="F318" s="76"/>
      <c r="G318" s="65"/>
      <c r="H318" s="65"/>
      <c r="I318" s="65"/>
    </row>
    <row r="319">
      <c r="A319" s="4">
        <v>317.0</v>
      </c>
      <c r="B319" s="33" t="str">
        <f>if(isblank(C319),,if(C319="wjv",vlookup(ceiling(E319),Class!$J$2:$K$501,2,true),if(C319="w",vlookup(ceiling(E319),Class!$G$2:$H$501,2,true),if(C319="jv",vlookup(ceiling(E319),Class!$A$2:$B$501,2,true),vlookup(ceiling(E319),Class!$D$2:$E$501,2,true)))))</f>
        <v/>
      </c>
      <c r="C319" s="65"/>
      <c r="D319" s="76"/>
      <c r="E319" s="74"/>
      <c r="F319" s="76"/>
      <c r="G319" s="65"/>
      <c r="H319" s="65"/>
      <c r="I319" s="65"/>
    </row>
    <row r="320">
      <c r="A320" s="4">
        <v>318.0</v>
      </c>
      <c r="B320" s="33" t="str">
        <f>if(isblank(C320),,if(C320="wjv",vlookup(ceiling(E320),Class!$J$2:$K$501,2,true),if(C320="w",vlookup(ceiling(E320),Class!$G$2:$H$501,2,true),if(C320="jv",vlookup(ceiling(E320),Class!$A$2:$B$501,2,true),vlookup(ceiling(E320),Class!$D$2:$E$501,2,true)))))</f>
        <v/>
      </c>
      <c r="C320" s="65"/>
      <c r="D320" s="76"/>
      <c r="E320" s="74"/>
      <c r="F320" s="76"/>
      <c r="G320" s="65"/>
      <c r="H320" s="65"/>
      <c r="I320" s="65"/>
    </row>
    <row r="321">
      <c r="A321" s="4">
        <v>319.0</v>
      </c>
      <c r="B321" s="33" t="str">
        <f>if(isblank(C321),,if(C321="wjv",vlookup(ceiling(E321),Class!$J$2:$K$501,2,true),if(C321="w",vlookup(ceiling(E321),Class!$G$2:$H$501,2,true),if(C321="jv",vlookup(ceiling(E321),Class!$A$2:$B$501,2,true),vlookup(ceiling(E321),Class!$D$2:$E$501,2,true)))))</f>
        <v/>
      </c>
      <c r="C321" s="65"/>
      <c r="D321" s="76"/>
      <c r="E321" s="74"/>
      <c r="F321" s="76"/>
      <c r="G321" s="65"/>
      <c r="H321" s="65"/>
      <c r="I321" s="65"/>
    </row>
    <row r="322">
      <c r="A322" s="4">
        <v>320.0</v>
      </c>
      <c r="B322" s="33" t="str">
        <f>if(isblank(C322),,if(C322="wjv",vlookup(ceiling(E322),Class!$J$2:$K$501,2,true),if(C322="w",vlookup(ceiling(E322),Class!$G$2:$H$501,2,true),if(C322="jv",vlookup(ceiling(E322),Class!$A$2:$B$501,2,true),vlookup(ceiling(E322),Class!$D$2:$E$501,2,true)))))</f>
        <v/>
      </c>
      <c r="C322" s="65"/>
      <c r="D322" s="76"/>
      <c r="E322" s="74"/>
      <c r="F322" s="76"/>
      <c r="G322" s="65"/>
      <c r="H322" s="65"/>
      <c r="I322" s="65"/>
    </row>
    <row r="323">
      <c r="A323" s="4">
        <v>321.0</v>
      </c>
      <c r="B323" s="33" t="str">
        <f>if(isblank(C323),,if(C323="wjv",vlookup(ceiling(E323),Class!$J$2:$K$501,2,true),if(C323="w",vlookup(ceiling(E323),Class!$G$2:$H$501,2,true),if(C323="jv",vlookup(ceiling(E323),Class!$A$2:$B$501,2,true),vlookup(ceiling(E323),Class!$D$2:$E$501,2,true)))))</f>
        <v/>
      </c>
      <c r="C323" s="65"/>
      <c r="D323" s="76"/>
      <c r="E323" s="74"/>
      <c r="F323" s="76"/>
      <c r="G323" s="65"/>
      <c r="H323" s="65"/>
      <c r="I323" s="65"/>
    </row>
    <row r="324">
      <c r="A324" s="4">
        <v>322.0</v>
      </c>
      <c r="B324" s="33" t="str">
        <f>if(isblank(C324),,if(C324="wjv",vlookup(ceiling(E324),Class!$J$2:$K$501,2,true),if(C324="w",vlookup(ceiling(E324),Class!$G$2:$H$501,2,true),if(C324="jv",vlookup(ceiling(E324),Class!$A$2:$B$501,2,true),vlookup(ceiling(E324),Class!$D$2:$E$501,2,true)))))</f>
        <v/>
      </c>
      <c r="C324" s="65"/>
      <c r="D324" s="76"/>
      <c r="E324" s="74"/>
      <c r="F324" s="76"/>
      <c r="G324" s="65"/>
      <c r="H324" s="65"/>
      <c r="I324" s="65"/>
    </row>
    <row r="325">
      <c r="A325" s="4">
        <v>323.0</v>
      </c>
      <c r="B325" s="33" t="str">
        <f>if(isblank(C325),,if(C325="wjv",vlookup(ceiling(E325),Class!$J$2:$K$501,2,true),if(C325="w",vlookup(ceiling(E325),Class!$G$2:$H$501,2,true),if(C325="jv",vlookup(ceiling(E325),Class!$A$2:$B$501,2,true),vlookup(ceiling(E325),Class!$D$2:$E$501,2,true)))))</f>
        <v/>
      </c>
      <c r="C325" s="65"/>
      <c r="D325" s="76"/>
      <c r="E325" s="74"/>
      <c r="F325" s="76"/>
      <c r="G325" s="65"/>
      <c r="H325" s="65"/>
      <c r="I325" s="65"/>
    </row>
    <row r="326">
      <c r="A326" s="4">
        <v>324.0</v>
      </c>
      <c r="B326" s="33" t="str">
        <f>if(isblank(C326),,if(C326="wjv",vlookup(ceiling(E326),Class!$J$2:$K$501,2,true),if(C326="w",vlookup(ceiling(E326),Class!$G$2:$H$501,2,true),if(C326="jv",vlookup(ceiling(E326),Class!$A$2:$B$501,2,true),vlookup(ceiling(E326),Class!$D$2:$E$501,2,true)))))</f>
        <v/>
      </c>
      <c r="C326" s="65"/>
      <c r="D326" s="76"/>
      <c r="E326" s="74"/>
      <c r="F326" s="76"/>
      <c r="G326" s="65"/>
      <c r="H326" s="65"/>
      <c r="I326" s="65"/>
    </row>
    <row r="327">
      <c r="A327" s="4">
        <v>325.0</v>
      </c>
      <c r="B327" s="33" t="str">
        <f>if(isblank(C327),,if(C327="wjv",vlookup(ceiling(E327),Class!$J$2:$K$501,2,true),if(C327="w",vlookup(ceiling(E327),Class!$G$2:$H$501,2,true),if(C327="jv",vlookup(ceiling(E327),Class!$A$2:$B$501,2,true),vlookup(ceiling(E327),Class!$D$2:$E$501,2,true)))))</f>
        <v/>
      </c>
      <c r="C327" s="65"/>
      <c r="D327" s="76"/>
      <c r="E327" s="74"/>
      <c r="F327" s="76"/>
      <c r="G327" s="65"/>
      <c r="H327" s="65"/>
      <c r="I327" s="65"/>
    </row>
    <row r="328">
      <c r="A328" s="4">
        <v>326.0</v>
      </c>
      <c r="B328" s="33" t="str">
        <f>if(isblank(C328),,if(C328="wjv",vlookup(ceiling(E328),Class!$J$2:$K$501,2,true),if(C328="w",vlookup(ceiling(E328),Class!$G$2:$H$501,2,true),if(C328="jv",vlookup(ceiling(E328),Class!$A$2:$B$501,2,true),vlookup(ceiling(E328),Class!$D$2:$E$501,2,true)))))</f>
        <v/>
      </c>
      <c r="C328" s="65"/>
      <c r="D328" s="76"/>
      <c r="E328" s="74"/>
      <c r="F328" s="76"/>
      <c r="G328" s="65"/>
      <c r="H328" s="65"/>
      <c r="I328" s="65"/>
    </row>
    <row r="329">
      <c r="A329" s="4">
        <v>327.0</v>
      </c>
      <c r="B329" s="33" t="str">
        <f>if(isblank(C329),,if(C329="wjv",vlookup(ceiling(E329),Class!$J$2:$K$501,2,true),if(C329="w",vlookup(ceiling(E329),Class!$G$2:$H$501,2,true),if(C329="jv",vlookup(ceiling(E329),Class!$A$2:$B$501,2,true),vlookup(ceiling(E329),Class!$D$2:$E$501,2,true)))))</f>
        <v/>
      </c>
      <c r="C329" s="65"/>
      <c r="D329" s="76"/>
      <c r="E329" s="74"/>
      <c r="F329" s="76"/>
      <c r="G329" s="65"/>
      <c r="H329" s="65"/>
      <c r="I329" s="65"/>
    </row>
    <row r="330">
      <c r="A330" s="4">
        <v>328.0</v>
      </c>
      <c r="B330" s="33" t="str">
        <f>if(isblank(C330),,if(C330="wjv",vlookup(ceiling(E330),Class!$J$2:$K$501,2,true),if(C330="w",vlookup(ceiling(E330),Class!$G$2:$H$501,2,true),if(C330="jv",vlookup(ceiling(E330),Class!$A$2:$B$501,2,true),vlookup(ceiling(E330),Class!$D$2:$E$501,2,true)))))</f>
        <v/>
      </c>
      <c r="C330" s="65"/>
      <c r="D330" s="76"/>
      <c r="E330" s="74"/>
      <c r="F330" s="76"/>
      <c r="G330" s="65"/>
      <c r="H330" s="65"/>
      <c r="I330" s="65"/>
    </row>
    <row r="331">
      <c r="A331" s="4">
        <v>329.0</v>
      </c>
      <c r="B331" s="33" t="str">
        <f>if(isblank(C331),,if(C331="wjv",vlookup(ceiling(E331),Class!$J$2:$K$501,2,true),if(C331="w",vlookup(ceiling(E331),Class!$G$2:$H$501,2,true),if(C331="jv",vlookup(ceiling(E331),Class!$A$2:$B$501,2,true),vlookup(ceiling(E331),Class!$D$2:$E$501,2,true)))))</f>
        <v/>
      </c>
      <c r="C331" s="65"/>
      <c r="D331" s="76"/>
      <c r="E331" s="74"/>
      <c r="F331" s="76"/>
      <c r="G331" s="65"/>
      <c r="H331" s="65"/>
      <c r="I331" s="65"/>
    </row>
    <row r="332">
      <c r="A332" s="4">
        <v>330.0</v>
      </c>
      <c r="B332" s="33" t="str">
        <f>if(isblank(C332),,if(C332="wjv",vlookup(ceiling(E332),Class!$J$2:$K$501,2,true),if(C332="w",vlookup(ceiling(E332),Class!$G$2:$H$501,2,true),if(C332="jv",vlookup(ceiling(E332),Class!$A$2:$B$501,2,true),vlookup(ceiling(E332),Class!$D$2:$E$501,2,true)))))</f>
        <v/>
      </c>
      <c r="C332" s="65"/>
      <c r="D332" s="76"/>
      <c r="E332" s="74"/>
      <c r="F332" s="76"/>
      <c r="G332" s="65"/>
      <c r="H332" s="65"/>
      <c r="I332" s="65"/>
    </row>
    <row r="333">
      <c r="A333" s="4">
        <v>331.0</v>
      </c>
      <c r="B333" s="33" t="str">
        <f>if(isblank(C333),,if(C333="wjv",vlookup(ceiling(E333),Class!$J$2:$K$501,2,true),if(C333="w",vlookup(ceiling(E333),Class!$G$2:$H$501,2,true),if(C333="jv",vlookup(ceiling(E333),Class!$A$2:$B$501,2,true),vlookup(ceiling(E333),Class!$D$2:$E$501,2,true)))))</f>
        <v/>
      </c>
      <c r="C333" s="65"/>
      <c r="D333" s="76"/>
      <c r="E333" s="74"/>
      <c r="F333" s="76"/>
      <c r="G333" s="65"/>
      <c r="H333" s="65"/>
      <c r="I333" s="65"/>
    </row>
    <row r="334">
      <c r="A334" s="4">
        <v>332.0</v>
      </c>
      <c r="B334" s="33" t="str">
        <f>if(isblank(C334),,if(C334="wjv",vlookup(ceiling(E334),Class!$J$2:$K$501,2,true),if(C334="w",vlookup(ceiling(E334),Class!$G$2:$H$501,2,true),if(C334="jv",vlookup(ceiling(E334),Class!$A$2:$B$501,2,true),vlookup(ceiling(E334),Class!$D$2:$E$501,2,true)))))</f>
        <v/>
      </c>
      <c r="C334" s="65"/>
      <c r="D334" s="76"/>
      <c r="E334" s="74"/>
      <c r="F334" s="76"/>
      <c r="G334" s="65"/>
      <c r="H334" s="65"/>
      <c r="I334" s="65"/>
    </row>
    <row r="335">
      <c r="A335" s="4">
        <v>333.0</v>
      </c>
      <c r="B335" s="33" t="str">
        <f>if(isblank(C335),,if(C335="wjv",vlookup(ceiling(E335),Class!$J$2:$K$501,2,true),if(C335="w",vlookup(ceiling(E335),Class!$G$2:$H$501,2,true),if(C335="jv",vlookup(ceiling(E335),Class!$A$2:$B$501,2,true),vlookup(ceiling(E335),Class!$D$2:$E$501,2,true)))))</f>
        <v/>
      </c>
      <c r="C335" s="65"/>
      <c r="D335" s="76"/>
      <c r="E335" s="74"/>
      <c r="F335" s="76"/>
      <c r="G335" s="65"/>
      <c r="H335" s="65"/>
      <c r="I335" s="65"/>
    </row>
    <row r="336">
      <c r="A336" s="4">
        <v>334.0</v>
      </c>
      <c r="B336" s="33" t="str">
        <f>if(isblank(C336),,if(C336="wjv",vlookup(ceiling(E336),Class!$J$2:$K$501,2,true),if(C336="w",vlookup(ceiling(E336),Class!$G$2:$H$501,2,true),if(C336="jv",vlookup(ceiling(E336),Class!$A$2:$B$501,2,true),vlookup(ceiling(E336),Class!$D$2:$E$501,2,true)))))</f>
        <v/>
      </c>
      <c r="C336" s="65"/>
      <c r="D336" s="76"/>
      <c r="E336" s="74"/>
      <c r="F336" s="76"/>
      <c r="G336" s="65"/>
      <c r="H336" s="65"/>
      <c r="I336" s="65"/>
    </row>
    <row r="337">
      <c r="A337" s="4">
        <v>335.0</v>
      </c>
      <c r="B337" s="33" t="str">
        <f>if(isblank(C337),,if(C337="wjv",vlookup(ceiling(E337),Class!$J$2:$K$501,2,true),if(C337="w",vlookup(ceiling(E337),Class!$G$2:$H$501,2,true),if(C337="jv",vlookup(ceiling(E337),Class!$A$2:$B$501,2,true),vlookup(ceiling(E337),Class!$D$2:$E$501,2,true)))))</f>
        <v/>
      </c>
      <c r="C337" s="65"/>
      <c r="D337" s="76"/>
      <c r="E337" s="74"/>
      <c r="F337" s="76"/>
      <c r="G337" s="65"/>
      <c r="H337" s="65"/>
      <c r="I337" s="65"/>
    </row>
    <row r="338">
      <c r="A338" s="4">
        <v>336.0</v>
      </c>
      <c r="B338" s="33" t="str">
        <f>if(isblank(C338),,if(C338="wjv",vlookup(ceiling(E338),Class!$J$2:$K$501,2,true),if(C338="w",vlookup(ceiling(E338),Class!$G$2:$H$501,2,true),if(C338="jv",vlookup(ceiling(E338),Class!$A$2:$B$501,2,true),vlookup(ceiling(E338),Class!$D$2:$E$501,2,true)))))</f>
        <v/>
      </c>
      <c r="C338" s="65"/>
      <c r="D338" s="76"/>
      <c r="E338" s="74"/>
      <c r="F338" s="76"/>
      <c r="G338" s="65"/>
      <c r="H338" s="65"/>
      <c r="I338" s="65"/>
    </row>
    <row r="339">
      <c r="A339" s="4">
        <v>337.0</v>
      </c>
      <c r="B339" s="33" t="str">
        <f>if(isblank(C339),,if(C339="wjv",vlookup(ceiling(E339),Class!$J$2:$K$501,2,true),if(C339="w",vlookup(ceiling(E339),Class!$G$2:$H$501,2,true),if(C339="jv",vlookup(ceiling(E339),Class!$A$2:$B$501,2,true),vlookup(ceiling(E339),Class!$D$2:$E$501,2,true)))))</f>
        <v/>
      </c>
      <c r="C339" s="65"/>
      <c r="D339" s="76"/>
      <c r="E339" s="74"/>
      <c r="F339" s="76"/>
      <c r="G339" s="65"/>
      <c r="H339" s="65"/>
      <c r="I339" s="65"/>
    </row>
    <row r="340">
      <c r="A340" s="4">
        <v>338.0</v>
      </c>
      <c r="B340" s="33" t="str">
        <f>if(isblank(C340),,if(C340="wjv",vlookup(ceiling(E340),Class!$J$2:$K$501,2,true),if(C340="w",vlookup(ceiling(E340),Class!$G$2:$H$501,2,true),if(C340="jv",vlookup(ceiling(E340),Class!$A$2:$B$501,2,true),vlookup(ceiling(E340),Class!$D$2:$E$501,2,true)))))</f>
        <v/>
      </c>
      <c r="C340" s="65"/>
      <c r="D340" s="76"/>
      <c r="E340" s="74"/>
      <c r="F340" s="76"/>
      <c r="G340" s="65"/>
      <c r="H340" s="65"/>
      <c r="I340" s="65"/>
    </row>
    <row r="341">
      <c r="A341" s="4">
        <v>339.0</v>
      </c>
      <c r="B341" s="33" t="str">
        <f>if(isblank(C341),,if(C341="wjv",vlookup(ceiling(E341),Class!$J$2:$K$501,2,true),if(C341="w",vlookup(ceiling(E341),Class!$G$2:$H$501,2,true),if(C341="jv",vlookup(ceiling(E341),Class!$A$2:$B$501,2,true),vlookup(ceiling(E341),Class!$D$2:$E$501,2,true)))))</f>
        <v/>
      </c>
      <c r="C341" s="65"/>
      <c r="D341" s="76"/>
      <c r="E341" s="74"/>
      <c r="F341" s="76"/>
      <c r="G341" s="65"/>
      <c r="H341" s="65"/>
      <c r="I341" s="65"/>
    </row>
    <row r="342">
      <c r="A342" s="4">
        <v>340.0</v>
      </c>
      <c r="B342" s="33" t="str">
        <f>if(isblank(C342),,if(C342="wjv",vlookup(ceiling(E342),Class!$J$2:$K$501,2,true),if(C342="w",vlookup(ceiling(E342),Class!$G$2:$H$501,2,true),if(C342="jv",vlookup(ceiling(E342),Class!$A$2:$B$501,2,true),vlookup(ceiling(E342),Class!$D$2:$E$501,2,true)))))</f>
        <v/>
      </c>
      <c r="C342" s="65"/>
      <c r="D342" s="76"/>
      <c r="E342" s="74"/>
      <c r="F342" s="76"/>
      <c r="G342" s="65"/>
      <c r="H342" s="65"/>
      <c r="I342" s="65"/>
    </row>
    <row r="343">
      <c r="A343" s="4">
        <v>341.0</v>
      </c>
      <c r="B343" s="33" t="str">
        <f>if(isblank(C343),,if(C343="wjv",vlookup(ceiling(E343),Class!$J$2:$K$501,2,true),if(C343="w",vlookup(ceiling(E343),Class!$G$2:$H$501,2,true),if(C343="jv",vlookup(ceiling(E343),Class!$A$2:$B$501,2,true),vlookup(ceiling(E343),Class!$D$2:$E$501,2,true)))))</f>
        <v/>
      </c>
      <c r="C343" s="65"/>
      <c r="D343" s="76"/>
      <c r="E343" s="74"/>
      <c r="F343" s="76"/>
      <c r="G343" s="65"/>
      <c r="H343" s="65"/>
      <c r="I343" s="65"/>
    </row>
    <row r="344">
      <c r="A344" s="4">
        <v>342.0</v>
      </c>
      <c r="B344" s="33" t="str">
        <f>if(isblank(C344),,if(C344="wjv",vlookup(ceiling(E344),Class!$J$2:$K$501,2,true),if(C344="w",vlookup(ceiling(E344),Class!$G$2:$H$501,2,true),if(C344="jv",vlookup(ceiling(E344),Class!$A$2:$B$501,2,true),vlookup(ceiling(E344),Class!$D$2:$E$501,2,true)))))</f>
        <v/>
      </c>
      <c r="C344" s="65"/>
      <c r="D344" s="76"/>
      <c r="E344" s="74"/>
      <c r="F344" s="76"/>
      <c r="G344" s="65"/>
      <c r="H344" s="65"/>
      <c r="I344" s="65"/>
    </row>
    <row r="345">
      <c r="A345" s="4">
        <v>343.0</v>
      </c>
      <c r="B345" s="33" t="str">
        <f>if(isblank(C345),,if(C345="wjv",vlookup(ceiling(E345),Class!$J$2:$K$501,2,true),if(C345="w",vlookup(ceiling(E345),Class!$G$2:$H$501,2,true),if(C345="jv",vlookup(ceiling(E345),Class!$A$2:$B$501,2,true),vlookup(ceiling(E345),Class!$D$2:$E$501,2,true)))))</f>
        <v/>
      </c>
      <c r="C345" s="65"/>
      <c r="D345" s="76"/>
      <c r="E345" s="74"/>
      <c r="F345" s="76"/>
      <c r="G345" s="65"/>
      <c r="H345" s="65"/>
      <c r="I345" s="65"/>
    </row>
    <row r="346">
      <c r="A346" s="4">
        <v>344.0</v>
      </c>
      <c r="B346" s="33" t="str">
        <f>if(isblank(C346),,if(C346="wjv",vlookup(ceiling(E346),Class!$J$2:$K$501,2,true),if(C346="w",vlookup(ceiling(E346),Class!$G$2:$H$501,2,true),if(C346="jv",vlookup(ceiling(E346),Class!$A$2:$B$501,2,true),vlookup(ceiling(E346),Class!$D$2:$E$501,2,true)))))</f>
        <v/>
      </c>
      <c r="C346" s="65"/>
      <c r="D346" s="76"/>
      <c r="E346" s="74"/>
      <c r="F346" s="76"/>
      <c r="G346" s="65"/>
      <c r="H346" s="65"/>
      <c r="I346" s="65"/>
    </row>
    <row r="347">
      <c r="A347" s="4">
        <v>345.0</v>
      </c>
      <c r="B347" s="33" t="str">
        <f>if(isblank(C347),,if(C347="wjv",vlookup(ceiling(E347),Class!$J$2:$K$501,2,true),if(C347="w",vlookup(ceiling(E347),Class!$G$2:$H$501,2,true),if(C347="jv",vlookup(ceiling(E347),Class!$A$2:$B$501,2,true),vlookup(ceiling(E347),Class!$D$2:$E$501,2,true)))))</f>
        <v/>
      </c>
      <c r="C347" s="65"/>
      <c r="D347" s="76"/>
      <c r="E347" s="74"/>
      <c r="F347" s="76"/>
      <c r="G347" s="65"/>
      <c r="H347" s="65"/>
      <c r="I347" s="65"/>
    </row>
    <row r="348">
      <c r="A348" s="4">
        <v>346.0</v>
      </c>
      <c r="B348" s="33" t="str">
        <f>if(isblank(C348),,if(C348="wjv",vlookup(ceiling(E348),Class!$J$2:$K$501,2,true),if(C348="w",vlookup(ceiling(E348),Class!$G$2:$H$501,2,true),if(C348="jv",vlookup(ceiling(E348),Class!$A$2:$B$501,2,true),vlookup(ceiling(E348),Class!$D$2:$E$501,2,true)))))</f>
        <v/>
      </c>
      <c r="C348" s="65"/>
      <c r="D348" s="76"/>
      <c r="E348" s="74"/>
      <c r="F348" s="76"/>
      <c r="G348" s="65"/>
      <c r="H348" s="65"/>
      <c r="I348" s="65"/>
    </row>
    <row r="349">
      <c r="A349" s="4">
        <v>347.0</v>
      </c>
      <c r="B349" s="33" t="str">
        <f>if(isblank(C349),,if(C349="wjv",vlookup(ceiling(E349),Class!$J$2:$K$501,2,true),if(C349="w",vlookup(ceiling(E349),Class!$G$2:$H$501,2,true),if(C349="jv",vlookup(ceiling(E349),Class!$A$2:$B$501,2,true),vlookup(ceiling(E349),Class!$D$2:$E$501,2,true)))))</f>
        <v/>
      </c>
      <c r="C349" s="65"/>
      <c r="D349" s="76"/>
      <c r="E349" s="74"/>
      <c r="F349" s="76"/>
      <c r="G349" s="65"/>
      <c r="H349" s="65"/>
      <c r="I349" s="65"/>
    </row>
    <row r="350">
      <c r="A350" s="4">
        <v>348.0</v>
      </c>
      <c r="B350" s="33" t="str">
        <f>if(isblank(C350),,if(C350="wjv",vlookup(ceiling(E350),Class!$J$2:$K$501,2,true),if(C350="w",vlookup(ceiling(E350),Class!$G$2:$H$501,2,true),if(C350="jv",vlookup(ceiling(E350),Class!$A$2:$B$501,2,true),vlookup(ceiling(E350),Class!$D$2:$E$501,2,true)))))</f>
        <v/>
      </c>
      <c r="C350" s="65"/>
      <c r="D350" s="76"/>
      <c r="E350" s="74"/>
      <c r="F350" s="76"/>
      <c r="G350" s="65"/>
      <c r="H350" s="65"/>
      <c r="I350" s="65"/>
    </row>
    <row r="351">
      <c r="A351" s="4">
        <v>349.0</v>
      </c>
      <c r="B351" s="33" t="str">
        <f>if(isblank(C351),,if(C351="wjv",vlookup(ceiling(E351),Class!$J$2:$K$501,2,true),if(C351="w",vlookup(ceiling(E351),Class!$G$2:$H$501,2,true),if(C351="jv",vlookup(ceiling(E351),Class!$A$2:$B$501,2,true),vlookup(ceiling(E351),Class!$D$2:$E$501,2,true)))))</f>
        <v/>
      </c>
      <c r="C351" s="65"/>
      <c r="D351" s="76"/>
      <c r="E351" s="74"/>
      <c r="F351" s="76"/>
      <c r="G351" s="65"/>
      <c r="H351" s="65"/>
      <c r="I351" s="65"/>
    </row>
    <row r="352">
      <c r="A352" s="4">
        <v>350.0</v>
      </c>
      <c r="B352" s="33" t="str">
        <f>if(isblank(C352),,if(C352="wjv",vlookup(ceiling(E352),Class!$J$2:$K$501,2,true),if(C352="w",vlookup(ceiling(E352),Class!$G$2:$H$501,2,true),if(C352="jv",vlookup(ceiling(E352),Class!$A$2:$B$501,2,true),vlookup(ceiling(E352),Class!$D$2:$E$501,2,true)))))</f>
        <v/>
      </c>
      <c r="C352" s="65"/>
      <c r="D352" s="76"/>
      <c r="E352" s="74"/>
      <c r="F352" s="76"/>
      <c r="G352" s="65"/>
      <c r="H352" s="65"/>
      <c r="I352" s="65"/>
    </row>
    <row r="353">
      <c r="A353" s="4">
        <v>351.0</v>
      </c>
      <c r="B353" s="33" t="str">
        <f>if(isblank(C353),,if(C353="wjv",vlookup(ceiling(E353),Class!$J$2:$K$501,2,true),if(C353="w",vlookup(ceiling(E353),Class!$G$2:$H$501,2,true),if(C353="jv",vlookup(ceiling(E353),Class!$A$2:$B$501,2,true),vlookup(ceiling(E353),Class!$D$2:$E$501,2,true)))))</f>
        <v/>
      </c>
      <c r="C353" s="65"/>
      <c r="D353" s="76"/>
      <c r="E353" s="74"/>
      <c r="F353" s="76"/>
      <c r="G353" s="65"/>
      <c r="H353" s="65"/>
      <c r="I353" s="65"/>
    </row>
    <row r="354">
      <c r="A354" s="4">
        <v>352.0</v>
      </c>
      <c r="B354" s="33" t="str">
        <f>if(isblank(C354),,if(C354="wjv",vlookup(ceiling(E354),Class!$J$2:$K$501,2,true),if(C354="w",vlookup(ceiling(E354),Class!$G$2:$H$501,2,true),if(C354="jv",vlookup(ceiling(E354),Class!$A$2:$B$501,2,true),vlookup(ceiling(E354),Class!$D$2:$E$501,2,true)))))</f>
        <v/>
      </c>
      <c r="C354" s="65"/>
      <c r="D354" s="76"/>
      <c r="E354" s="74"/>
      <c r="F354" s="76"/>
      <c r="G354" s="65"/>
      <c r="H354" s="65"/>
      <c r="I354" s="65"/>
    </row>
    <row r="355">
      <c r="A355" s="4">
        <v>353.0</v>
      </c>
      <c r="B355" s="33" t="str">
        <f>if(isblank(C355),,if(C355="wjv",vlookup(ceiling(E355),Class!$J$2:$K$501,2,true),if(C355="w",vlookup(ceiling(E355),Class!$G$2:$H$501,2,true),if(C355="jv",vlookup(ceiling(E355),Class!$A$2:$B$501,2,true),vlookup(ceiling(E355),Class!$D$2:$E$501,2,true)))))</f>
        <v/>
      </c>
      <c r="C355" s="65"/>
      <c r="D355" s="76"/>
      <c r="E355" s="74"/>
      <c r="F355" s="76"/>
      <c r="G355" s="65"/>
      <c r="H355" s="65"/>
      <c r="I355" s="65"/>
    </row>
    <row r="356">
      <c r="A356" s="4">
        <v>354.0</v>
      </c>
      <c r="B356" s="33" t="str">
        <f>if(isblank(C356),,if(C356="wjv",vlookup(ceiling(E356),Class!$J$2:$K$501,2,true),if(C356="w",vlookup(ceiling(E356),Class!$G$2:$H$501,2,true),if(C356="jv",vlookup(ceiling(E356),Class!$A$2:$B$501,2,true),vlookup(ceiling(E356),Class!$D$2:$E$501,2,true)))))</f>
        <v/>
      </c>
      <c r="C356" s="65"/>
      <c r="D356" s="76"/>
      <c r="E356" s="74"/>
      <c r="F356" s="76"/>
      <c r="G356" s="65"/>
      <c r="H356" s="65"/>
      <c r="I356" s="65"/>
    </row>
    <row r="357">
      <c r="A357" s="4">
        <v>355.0</v>
      </c>
      <c r="B357" s="33" t="str">
        <f>if(isblank(C357),,if(C357="wjv",vlookup(ceiling(E357),Class!$J$2:$K$501,2,true),if(C357="w",vlookup(ceiling(E357),Class!$G$2:$H$501,2,true),if(C357="jv",vlookup(ceiling(E357),Class!$A$2:$B$501,2,true),vlookup(ceiling(E357),Class!$D$2:$E$501,2,true)))))</f>
        <v/>
      </c>
      <c r="C357" s="65"/>
      <c r="D357" s="76"/>
      <c r="E357" s="74"/>
      <c r="F357" s="76"/>
      <c r="G357" s="65"/>
      <c r="H357" s="65"/>
      <c r="I357" s="65"/>
    </row>
    <row r="358">
      <c r="A358" s="4">
        <v>356.0</v>
      </c>
      <c r="B358" s="33" t="str">
        <f>if(isblank(C358),,if(C358="wjv",vlookup(ceiling(E358),Class!$J$2:$K$501,2,true),if(C358="w",vlookup(ceiling(E358),Class!$G$2:$H$501,2,true),if(C358="jv",vlookup(ceiling(E358),Class!$A$2:$B$501,2,true),vlookup(ceiling(E358),Class!$D$2:$E$501,2,true)))))</f>
        <v/>
      </c>
      <c r="C358" s="65"/>
      <c r="D358" s="76"/>
      <c r="E358" s="74"/>
      <c r="F358" s="76"/>
      <c r="G358" s="65"/>
      <c r="H358" s="65"/>
      <c r="I358" s="65"/>
    </row>
    <row r="359">
      <c r="A359" s="4">
        <v>357.0</v>
      </c>
      <c r="B359" s="33" t="str">
        <f>if(isblank(C359),,if(C359="wjv",vlookup(ceiling(E359),Class!$J$2:$K$501,2,true),if(C359="w",vlookup(ceiling(E359),Class!$G$2:$H$501,2,true),if(C359="jv",vlookup(ceiling(E359),Class!$A$2:$B$501,2,true),vlookup(ceiling(E359),Class!$D$2:$E$501,2,true)))))</f>
        <v/>
      </c>
      <c r="C359" s="65"/>
      <c r="D359" s="76"/>
      <c r="E359" s="74"/>
      <c r="F359" s="76"/>
      <c r="G359" s="65"/>
      <c r="H359" s="65"/>
      <c r="I359" s="65"/>
    </row>
    <row r="360">
      <c r="A360" s="4">
        <v>358.0</v>
      </c>
      <c r="B360" s="33" t="str">
        <f>if(isblank(C360),,if(C360="wjv",vlookup(ceiling(E360),Class!$J$2:$K$501,2,true),if(C360="w",vlookup(ceiling(E360),Class!$G$2:$H$501,2,true),if(C360="jv",vlookup(ceiling(E360),Class!$A$2:$B$501,2,true),vlookup(ceiling(E360),Class!$D$2:$E$501,2,true)))))</f>
        <v/>
      </c>
      <c r="C360" s="65"/>
      <c r="D360" s="76"/>
      <c r="E360" s="74"/>
      <c r="F360" s="76"/>
      <c r="G360" s="65"/>
      <c r="H360" s="65"/>
      <c r="I360" s="65"/>
    </row>
    <row r="361">
      <c r="A361" s="4">
        <v>359.0</v>
      </c>
      <c r="B361" s="33" t="str">
        <f>if(isblank(C361),,if(C361="wjv",vlookup(ceiling(E361),Class!$J$2:$K$501,2,true),if(C361="w",vlookup(ceiling(E361),Class!$G$2:$H$501,2,true),if(C361="jv",vlookup(ceiling(E361),Class!$A$2:$B$501,2,true),vlookup(ceiling(E361),Class!$D$2:$E$501,2,true)))))</f>
        <v/>
      </c>
      <c r="C361" s="65"/>
      <c r="D361" s="76"/>
      <c r="E361" s="74"/>
      <c r="F361" s="76"/>
      <c r="G361" s="65"/>
      <c r="H361" s="65"/>
      <c r="I361" s="65"/>
    </row>
    <row r="362">
      <c r="A362" s="4">
        <v>360.0</v>
      </c>
      <c r="B362" s="33" t="str">
        <f>if(isblank(C362),,if(C362="wjv",vlookup(ceiling(E362),Class!$J$2:$K$501,2,true),if(C362="w",vlookup(ceiling(E362),Class!$G$2:$H$501,2,true),if(C362="jv",vlookup(ceiling(E362),Class!$A$2:$B$501,2,true),vlookup(ceiling(E362),Class!$D$2:$E$501,2,true)))))</f>
        <v/>
      </c>
      <c r="C362" s="65"/>
      <c r="D362" s="76"/>
      <c r="E362" s="74"/>
      <c r="F362" s="76"/>
      <c r="G362" s="65"/>
      <c r="H362" s="65"/>
      <c r="I362" s="65"/>
    </row>
    <row r="363">
      <c r="A363" s="4">
        <v>361.0</v>
      </c>
      <c r="B363" s="33" t="str">
        <f>if(isblank(C363),,if(C363="wjv",vlookup(ceiling(E363),Class!$J$2:$K$501,2,true),if(C363="w",vlookup(ceiling(E363),Class!$G$2:$H$501,2,true),if(C363="jv",vlookup(ceiling(E363),Class!$A$2:$B$501,2,true),vlookup(ceiling(E363),Class!$D$2:$E$501,2,true)))))</f>
        <v/>
      </c>
      <c r="C363" s="65"/>
      <c r="D363" s="76"/>
      <c r="E363" s="74"/>
      <c r="F363" s="76"/>
      <c r="G363" s="65"/>
      <c r="H363" s="65"/>
      <c r="I363" s="65"/>
    </row>
    <row r="364">
      <c r="A364" s="4">
        <v>362.0</v>
      </c>
      <c r="B364" s="33" t="str">
        <f>if(isblank(C364),,if(C364="wjv",vlookup(ceiling(E364),Class!$J$2:$K$501,2,true),if(C364="w",vlookup(ceiling(E364),Class!$G$2:$H$501,2,true),if(C364="jv",vlookup(ceiling(E364),Class!$A$2:$B$501,2,true),vlookup(ceiling(E364),Class!$D$2:$E$501,2,true)))))</f>
        <v/>
      </c>
      <c r="C364" s="65"/>
      <c r="D364" s="76"/>
      <c r="E364" s="74"/>
      <c r="F364" s="76"/>
      <c r="G364" s="65"/>
      <c r="H364" s="65"/>
      <c r="I364" s="65"/>
    </row>
    <row r="365">
      <c r="A365" s="4">
        <v>363.0</v>
      </c>
      <c r="B365" s="33" t="str">
        <f>if(isblank(C365),,if(C365="wjv",vlookup(ceiling(E365),Class!$J$2:$K$501,2,true),if(C365="w",vlookup(ceiling(E365),Class!$G$2:$H$501,2,true),if(C365="jv",vlookup(ceiling(E365),Class!$A$2:$B$501,2,true),vlookup(ceiling(E365),Class!$D$2:$E$501,2,true)))))</f>
        <v/>
      </c>
      <c r="C365" s="65"/>
      <c r="D365" s="76"/>
      <c r="E365" s="74"/>
      <c r="F365" s="76"/>
      <c r="G365" s="65"/>
      <c r="H365" s="65"/>
      <c r="I365" s="65"/>
    </row>
    <row r="366">
      <c r="A366" s="4">
        <v>364.0</v>
      </c>
      <c r="B366" s="33" t="str">
        <f>if(isblank(C366),,if(C366="wjv",vlookup(ceiling(E366),Class!$J$2:$K$501,2,true),if(C366="w",vlookup(ceiling(E366),Class!$G$2:$H$501,2,true),if(C366="jv",vlookup(ceiling(E366),Class!$A$2:$B$501,2,true),vlookup(ceiling(E366),Class!$D$2:$E$501,2,true)))))</f>
        <v/>
      </c>
      <c r="C366" s="65"/>
      <c r="D366" s="76"/>
      <c r="E366" s="74"/>
      <c r="F366" s="76"/>
      <c r="G366" s="65"/>
      <c r="H366" s="65"/>
      <c r="I366" s="65"/>
    </row>
    <row r="367">
      <c r="A367" s="4">
        <v>365.0</v>
      </c>
      <c r="B367" s="33" t="str">
        <f>if(isblank(C367),,if(C367="wjv",vlookup(ceiling(E367),Class!$J$2:$K$501,2,true),if(C367="w",vlookup(ceiling(E367),Class!$G$2:$H$501,2,true),if(C367="jv",vlookup(ceiling(E367),Class!$A$2:$B$501,2,true),vlookup(ceiling(E367),Class!$D$2:$E$501,2,true)))))</f>
        <v/>
      </c>
      <c r="C367" s="65"/>
      <c r="D367" s="76"/>
      <c r="E367" s="74"/>
      <c r="F367" s="76"/>
      <c r="G367" s="65"/>
      <c r="H367" s="65"/>
      <c r="I367" s="65"/>
    </row>
    <row r="368">
      <c r="A368" s="4">
        <v>366.0</v>
      </c>
      <c r="B368" s="33" t="str">
        <f>if(isblank(C368),,if(C368="wjv",vlookup(ceiling(E368),Class!$J$2:$K$501,2,true),if(C368="w",vlookup(ceiling(E368),Class!$G$2:$H$501,2,true),if(C368="jv",vlookup(ceiling(E368),Class!$A$2:$B$501,2,true),vlookup(ceiling(E368),Class!$D$2:$E$501,2,true)))))</f>
        <v/>
      </c>
      <c r="C368" s="65"/>
      <c r="D368" s="76"/>
      <c r="E368" s="74"/>
      <c r="F368" s="76"/>
      <c r="G368" s="65"/>
      <c r="H368" s="65"/>
      <c r="I368" s="65"/>
    </row>
    <row r="369">
      <c r="A369" s="4">
        <v>367.0</v>
      </c>
      <c r="B369" s="33" t="str">
        <f>if(isblank(C369),,if(C369="wjv",vlookup(ceiling(E369),Class!$J$2:$K$501,2,true),if(C369="w",vlookup(ceiling(E369),Class!$G$2:$H$501,2,true),if(C369="jv",vlookup(ceiling(E369),Class!$A$2:$B$501,2,true),vlookup(ceiling(E369),Class!$D$2:$E$501,2,true)))))</f>
        <v/>
      </c>
      <c r="C369" s="65"/>
      <c r="D369" s="76"/>
      <c r="E369" s="74"/>
      <c r="F369" s="76"/>
      <c r="G369" s="65"/>
      <c r="H369" s="65"/>
      <c r="I369" s="65"/>
    </row>
    <row r="370">
      <c r="A370" s="4">
        <v>368.0</v>
      </c>
      <c r="B370" s="33" t="str">
        <f>if(isblank(C370),,if(C370="wjv",vlookup(ceiling(E370),Class!$J$2:$K$501,2,true),if(C370="w",vlookup(ceiling(E370),Class!$G$2:$H$501,2,true),if(C370="jv",vlookup(ceiling(E370),Class!$A$2:$B$501,2,true),vlookup(ceiling(E370),Class!$D$2:$E$501,2,true)))))</f>
        <v/>
      </c>
      <c r="C370" s="65"/>
      <c r="D370" s="76"/>
      <c r="E370" s="74"/>
      <c r="F370" s="76"/>
      <c r="G370" s="65"/>
      <c r="H370" s="65"/>
      <c r="I370" s="65"/>
    </row>
    <row r="371">
      <c r="A371" s="4">
        <v>369.0</v>
      </c>
      <c r="B371" s="33" t="str">
        <f>if(isblank(C371),,if(C371="wjv",vlookup(ceiling(E371),Class!$J$2:$K$501,2,true),if(C371="w",vlookup(ceiling(E371),Class!$G$2:$H$501,2,true),if(C371="jv",vlookup(ceiling(E371),Class!$A$2:$B$501,2,true),vlookup(ceiling(E371),Class!$D$2:$E$501,2,true)))))</f>
        <v/>
      </c>
      <c r="C371" s="65"/>
      <c r="D371" s="76"/>
      <c r="E371" s="74"/>
      <c r="F371" s="76"/>
      <c r="G371" s="65"/>
      <c r="H371" s="65"/>
      <c r="I371" s="65"/>
    </row>
    <row r="372">
      <c r="A372" s="4">
        <v>370.0</v>
      </c>
      <c r="B372" s="33" t="str">
        <f>if(isblank(C372),,if(C372="wjv",vlookup(ceiling(E372),Class!$J$2:$K$501,2,true),if(C372="w",vlookup(ceiling(E372),Class!$G$2:$H$501,2,true),if(C372="jv",vlookup(ceiling(E372),Class!$A$2:$B$501,2,true),vlookup(ceiling(E372),Class!$D$2:$E$501,2,true)))))</f>
        <v/>
      </c>
      <c r="C372" s="65"/>
      <c r="D372" s="76"/>
      <c r="E372" s="74"/>
      <c r="F372" s="76"/>
      <c r="G372" s="65"/>
      <c r="H372" s="65"/>
      <c r="I372" s="65"/>
    </row>
    <row r="373">
      <c r="A373" s="4">
        <v>371.0</v>
      </c>
      <c r="B373" s="33" t="str">
        <f>if(isblank(C373),,if(C373="wjv",vlookup(ceiling(E373),Class!$J$2:$K$501,2,true),if(C373="w",vlookup(ceiling(E373),Class!$G$2:$H$501,2,true),if(C373="jv",vlookup(ceiling(E373),Class!$A$2:$B$501,2,true),vlookup(ceiling(E373),Class!$D$2:$E$501,2,true)))))</f>
        <v/>
      </c>
      <c r="C373" s="65"/>
      <c r="D373" s="76"/>
      <c r="E373" s="74"/>
      <c r="F373" s="76"/>
      <c r="G373" s="65"/>
      <c r="H373" s="65"/>
      <c r="I373" s="65"/>
    </row>
    <row r="374">
      <c r="A374" s="4">
        <v>372.0</v>
      </c>
      <c r="B374" s="33" t="str">
        <f>if(isblank(C374),,if(C374="wjv",vlookup(ceiling(E374),Class!$J$2:$K$501,2,true),if(C374="w",vlookup(ceiling(E374),Class!$G$2:$H$501,2,true),if(C374="jv",vlookup(ceiling(E374),Class!$A$2:$B$501,2,true),vlookup(ceiling(E374),Class!$D$2:$E$501,2,true)))))</f>
        <v/>
      </c>
      <c r="C374" s="65"/>
      <c r="D374" s="76"/>
      <c r="E374" s="74"/>
      <c r="F374" s="76"/>
      <c r="G374" s="65"/>
      <c r="H374" s="65"/>
      <c r="I374" s="65"/>
    </row>
    <row r="375">
      <c r="A375" s="4">
        <v>373.0</v>
      </c>
      <c r="B375" s="33" t="str">
        <f>if(isblank(C375),,if(C375="wjv",vlookup(ceiling(E375),Class!$J$2:$K$501,2,true),if(C375="w",vlookup(ceiling(E375),Class!$G$2:$H$501,2,true),if(C375="jv",vlookup(ceiling(E375),Class!$A$2:$B$501,2,true),vlookup(ceiling(E375),Class!$D$2:$E$501,2,true)))))</f>
        <v/>
      </c>
      <c r="C375" s="65"/>
      <c r="D375" s="76"/>
      <c r="E375" s="74"/>
      <c r="F375" s="76"/>
      <c r="G375" s="65"/>
      <c r="H375" s="65"/>
      <c r="I375" s="65"/>
    </row>
    <row r="376">
      <c r="A376" s="4">
        <v>374.0</v>
      </c>
      <c r="B376" s="33" t="str">
        <f>if(isblank(C376),,if(C376="wjv",vlookup(ceiling(E376),Class!$J$2:$K$501,2,true),if(C376="w",vlookup(ceiling(E376),Class!$G$2:$H$501,2,true),if(C376="jv",vlookup(ceiling(E376),Class!$A$2:$B$501,2,true),vlookup(ceiling(E376),Class!$D$2:$E$501,2,true)))))</f>
        <v/>
      </c>
      <c r="C376" s="65"/>
      <c r="D376" s="76"/>
      <c r="E376" s="74"/>
      <c r="F376" s="76"/>
      <c r="G376" s="65"/>
      <c r="H376" s="65"/>
      <c r="I376" s="65"/>
    </row>
    <row r="377">
      <c r="A377" s="4">
        <v>375.0</v>
      </c>
      <c r="B377" s="33" t="str">
        <f>if(isblank(C377),,if(C377="wjv",vlookup(ceiling(E377),Class!$J$2:$K$501,2,true),if(C377="w",vlookup(ceiling(E377),Class!$G$2:$H$501,2,true),if(C377="jv",vlookup(ceiling(E377),Class!$A$2:$B$501,2,true),vlookup(ceiling(E377),Class!$D$2:$E$501,2,true)))))</f>
        <v/>
      </c>
      <c r="C377" s="65"/>
      <c r="D377" s="76"/>
      <c r="E377" s="74"/>
      <c r="F377" s="76"/>
      <c r="G377" s="65"/>
      <c r="H377" s="65"/>
      <c r="I377" s="65"/>
    </row>
    <row r="378">
      <c r="A378" s="4">
        <v>376.0</v>
      </c>
      <c r="B378" s="33" t="str">
        <f>if(isblank(C378),,if(C378="wjv",vlookup(ceiling(E378),Class!$J$2:$K$501,2,true),if(C378="w",vlookup(ceiling(E378),Class!$G$2:$H$501,2,true),if(C378="jv",vlookup(ceiling(E378),Class!$A$2:$B$501,2,true),vlookup(ceiling(E378),Class!$D$2:$E$501,2,true)))))</f>
        <v/>
      </c>
      <c r="C378" s="65"/>
      <c r="D378" s="76"/>
      <c r="E378" s="74"/>
      <c r="F378" s="76"/>
      <c r="G378" s="65"/>
      <c r="H378" s="65"/>
      <c r="I378" s="65"/>
    </row>
    <row r="379">
      <c r="A379" s="4">
        <v>377.0</v>
      </c>
      <c r="B379" s="33" t="str">
        <f>if(isblank(C379),,if(C379="wjv",vlookup(ceiling(E379),Class!$J$2:$K$501,2,true),if(C379="w",vlookup(ceiling(E379),Class!$G$2:$H$501,2,true),if(C379="jv",vlookup(ceiling(E379),Class!$A$2:$B$501,2,true),vlookup(ceiling(E379),Class!$D$2:$E$501,2,true)))))</f>
        <v/>
      </c>
      <c r="C379" s="65"/>
      <c r="D379" s="76"/>
      <c r="E379" s="74"/>
      <c r="F379" s="76"/>
      <c r="G379" s="65"/>
      <c r="H379" s="65"/>
      <c r="I379" s="65"/>
    </row>
    <row r="380">
      <c r="A380" s="4">
        <v>378.0</v>
      </c>
      <c r="B380" s="33" t="str">
        <f>if(isblank(C380),,if(C380="wjv",vlookup(ceiling(E380),Class!$J$2:$K$501,2,true),if(C380="w",vlookup(ceiling(E380),Class!$G$2:$H$501,2,true),if(C380="jv",vlookup(ceiling(E380),Class!$A$2:$B$501,2,true),vlookup(ceiling(E380),Class!$D$2:$E$501,2,true)))))</f>
        <v/>
      </c>
      <c r="C380" s="65"/>
      <c r="D380" s="76"/>
      <c r="E380" s="74"/>
      <c r="F380" s="76"/>
      <c r="G380" s="65"/>
      <c r="H380" s="65"/>
      <c r="I380" s="65"/>
    </row>
    <row r="381">
      <c r="A381" s="4">
        <v>379.0</v>
      </c>
      <c r="B381" s="33" t="str">
        <f>if(isblank(C381),,if(C381="wjv",vlookup(ceiling(E381),Class!$J$2:$K$501,2,true),if(C381="w",vlookup(ceiling(E381),Class!$G$2:$H$501,2,true),if(C381="jv",vlookup(ceiling(E381),Class!$A$2:$B$501,2,true),vlookup(ceiling(E381),Class!$D$2:$E$501,2,true)))))</f>
        <v/>
      </c>
      <c r="C381" s="65"/>
      <c r="D381" s="76"/>
      <c r="E381" s="74"/>
      <c r="F381" s="76"/>
      <c r="G381" s="65"/>
      <c r="H381" s="65"/>
      <c r="I381" s="65"/>
    </row>
    <row r="382">
      <c r="A382" s="4">
        <v>380.0</v>
      </c>
      <c r="B382" s="33" t="str">
        <f>if(isblank(C382),,if(C382="wjv",vlookup(ceiling(E382),Class!$J$2:$K$501,2,true),if(C382="w",vlookup(ceiling(E382),Class!$G$2:$H$501,2,true),if(C382="jv",vlookup(ceiling(E382),Class!$A$2:$B$501,2,true),vlookup(ceiling(E382),Class!$D$2:$E$501,2,true)))))</f>
        <v/>
      </c>
      <c r="C382" s="65"/>
      <c r="D382" s="76"/>
      <c r="E382" s="74"/>
      <c r="F382" s="76"/>
      <c r="G382" s="65"/>
      <c r="H382" s="65"/>
      <c r="I382" s="65"/>
    </row>
    <row r="383">
      <c r="A383" s="4">
        <v>381.0</v>
      </c>
      <c r="B383" s="33" t="str">
        <f>if(isblank(C383),,if(C383="wjv",vlookup(ceiling(E383),Class!$J$2:$K$501,2,true),if(C383="w",vlookup(ceiling(E383),Class!$G$2:$H$501,2,true),if(C383="jv",vlookup(ceiling(E383),Class!$A$2:$B$501,2,true),vlookup(ceiling(E383),Class!$D$2:$E$501,2,true)))))</f>
        <v/>
      </c>
      <c r="C383" s="65"/>
      <c r="D383" s="76"/>
      <c r="E383" s="74"/>
      <c r="F383" s="76"/>
      <c r="G383" s="65"/>
      <c r="H383" s="65"/>
      <c r="I383" s="65"/>
    </row>
    <row r="384">
      <c r="A384" s="4">
        <v>382.0</v>
      </c>
      <c r="B384" s="33" t="str">
        <f>if(isblank(C384),,if(C384="wjv",vlookup(ceiling(E384),Class!$J$2:$K$501,2,true),if(C384="w",vlookup(ceiling(E384),Class!$G$2:$H$501,2,true),if(C384="jv",vlookup(ceiling(E384),Class!$A$2:$B$501,2,true),vlookup(ceiling(E384),Class!$D$2:$E$501,2,true)))))</f>
        <v/>
      </c>
      <c r="C384" s="65"/>
      <c r="D384" s="76"/>
      <c r="E384" s="74"/>
      <c r="F384" s="76"/>
      <c r="G384" s="65"/>
      <c r="H384" s="65"/>
      <c r="I384" s="65"/>
    </row>
    <row r="385">
      <c r="A385" s="4">
        <v>383.0</v>
      </c>
      <c r="B385" s="33" t="str">
        <f>if(isblank(C385),,if(C385="wjv",vlookup(ceiling(E385),Class!$J$2:$K$501,2,true),if(C385="w",vlookup(ceiling(E385),Class!$G$2:$H$501,2,true),if(C385="jv",vlookup(ceiling(E385),Class!$A$2:$B$501,2,true),vlookup(ceiling(E385),Class!$D$2:$E$501,2,true)))))</f>
        <v/>
      </c>
      <c r="C385" s="65"/>
      <c r="D385" s="76"/>
      <c r="E385" s="74"/>
      <c r="F385" s="76"/>
      <c r="G385" s="65"/>
      <c r="H385" s="65"/>
      <c r="I385" s="65"/>
    </row>
    <row r="386">
      <c r="A386" s="4">
        <v>384.0</v>
      </c>
      <c r="B386" s="33" t="str">
        <f>if(isblank(C386),,if(C386="wjv",vlookup(ceiling(E386),Class!$J$2:$K$501,2,true),if(C386="w",vlookup(ceiling(E386),Class!$G$2:$H$501,2,true),if(C386="jv",vlookup(ceiling(E386),Class!$A$2:$B$501,2,true),vlookup(ceiling(E386),Class!$D$2:$E$501,2,true)))))</f>
        <v/>
      </c>
      <c r="C386" s="65"/>
      <c r="D386" s="76"/>
      <c r="E386" s="74"/>
      <c r="F386" s="76"/>
      <c r="G386" s="65"/>
      <c r="H386" s="65"/>
      <c r="I386" s="65"/>
    </row>
    <row r="387">
      <c r="A387" s="4">
        <v>385.0</v>
      </c>
      <c r="B387" s="33" t="str">
        <f>if(isblank(C387),,if(C387="wjv",vlookup(ceiling(E387),Class!$J$2:$K$501,2,true),if(C387="w",vlookup(ceiling(E387),Class!$G$2:$H$501,2,true),if(C387="jv",vlookup(ceiling(E387),Class!$A$2:$B$501,2,true),vlookup(ceiling(E387),Class!$D$2:$E$501,2,true)))))</f>
        <v/>
      </c>
      <c r="C387" s="65"/>
      <c r="D387" s="76"/>
      <c r="E387" s="74"/>
      <c r="F387" s="76"/>
      <c r="G387" s="65"/>
      <c r="H387" s="65"/>
      <c r="I387" s="65"/>
    </row>
    <row r="388">
      <c r="A388" s="4">
        <v>386.0</v>
      </c>
      <c r="B388" s="33" t="str">
        <f>if(isblank(C388),,if(C388="wjv",vlookup(ceiling(E388),Class!$J$2:$K$501,2,true),if(C388="w",vlookup(ceiling(E388),Class!$G$2:$H$501,2,true),if(C388="jv",vlookup(ceiling(E388),Class!$A$2:$B$501,2,true),vlookup(ceiling(E388),Class!$D$2:$E$501,2,true)))))</f>
        <v/>
      </c>
      <c r="C388" s="65"/>
      <c r="D388" s="76"/>
      <c r="E388" s="74"/>
      <c r="F388" s="76"/>
      <c r="G388" s="65"/>
      <c r="H388" s="65"/>
      <c r="I388" s="65"/>
    </row>
    <row r="389">
      <c r="A389" s="4">
        <v>387.0</v>
      </c>
      <c r="B389" s="33" t="str">
        <f>if(isblank(C389),,if(C389="wjv",vlookup(ceiling(E389),Class!$J$2:$K$501,2,true),if(C389="w",vlookup(ceiling(E389),Class!$G$2:$H$501,2,true),if(C389="jv",vlookup(ceiling(E389),Class!$A$2:$B$501,2,true),vlookup(ceiling(E389),Class!$D$2:$E$501,2,true)))))</f>
        <v/>
      </c>
      <c r="C389" s="65"/>
      <c r="D389" s="76"/>
      <c r="E389" s="74"/>
      <c r="F389" s="76"/>
      <c r="G389" s="65"/>
      <c r="H389" s="65"/>
      <c r="I389" s="65"/>
    </row>
    <row r="390">
      <c r="A390" s="4">
        <v>388.0</v>
      </c>
      <c r="B390" s="33" t="str">
        <f>if(isblank(C390),,if(C390="wjv",vlookup(ceiling(E390),Class!$J$2:$K$501,2,true),if(C390="w",vlookup(ceiling(E390),Class!$G$2:$H$501,2,true),if(C390="jv",vlookup(ceiling(E390),Class!$A$2:$B$501,2,true),vlookup(ceiling(E390),Class!$D$2:$E$501,2,true)))))</f>
        <v/>
      </c>
      <c r="C390" s="65"/>
      <c r="D390" s="76"/>
      <c r="E390" s="74"/>
      <c r="F390" s="76"/>
      <c r="G390" s="65"/>
      <c r="H390" s="65"/>
      <c r="I390" s="65"/>
    </row>
    <row r="391">
      <c r="A391" s="4">
        <v>389.0</v>
      </c>
      <c r="B391" s="33" t="str">
        <f>if(isblank(C391),,if(C391="wjv",vlookup(ceiling(E391),Class!$J$2:$K$501,2,true),if(C391="w",vlookup(ceiling(E391),Class!$G$2:$H$501,2,true),if(C391="jv",vlookup(ceiling(E391),Class!$A$2:$B$501,2,true),vlookup(ceiling(E391),Class!$D$2:$E$501,2,true)))))</f>
        <v/>
      </c>
      <c r="C391" s="65"/>
      <c r="D391" s="76"/>
      <c r="E391" s="74"/>
      <c r="F391" s="76"/>
      <c r="G391" s="65"/>
      <c r="H391" s="65"/>
      <c r="I391" s="65"/>
    </row>
    <row r="392">
      <c r="A392" s="4">
        <v>390.0</v>
      </c>
      <c r="B392" s="33" t="str">
        <f>if(isblank(C392),,if(C392="wjv",vlookup(ceiling(E392),Class!$J$2:$K$501,2,true),if(C392="w",vlookup(ceiling(E392),Class!$G$2:$H$501,2,true),if(C392="jv",vlookup(ceiling(E392),Class!$A$2:$B$501,2,true),vlookup(ceiling(E392),Class!$D$2:$E$501,2,true)))))</f>
        <v/>
      </c>
      <c r="C392" s="65"/>
      <c r="D392" s="76"/>
      <c r="E392" s="74"/>
      <c r="F392" s="76"/>
      <c r="G392" s="65"/>
      <c r="H392" s="65"/>
      <c r="I392" s="65"/>
    </row>
    <row r="393">
      <c r="A393" s="4">
        <v>391.0</v>
      </c>
      <c r="B393" s="33" t="str">
        <f>if(isblank(C393),,if(C393="wjv",vlookup(ceiling(E393),Class!$J$2:$K$501,2,true),if(C393="w",vlookup(ceiling(E393),Class!$G$2:$H$501,2,true),if(C393="jv",vlookup(ceiling(E393),Class!$A$2:$B$501,2,true),vlookup(ceiling(E393),Class!$D$2:$E$501,2,true)))))</f>
        <v/>
      </c>
      <c r="C393" s="65"/>
      <c r="D393" s="76"/>
      <c r="E393" s="74"/>
      <c r="F393" s="76"/>
      <c r="G393" s="65"/>
      <c r="H393" s="65"/>
      <c r="I393" s="65"/>
    </row>
    <row r="394">
      <c r="A394" s="4">
        <v>392.0</v>
      </c>
      <c r="B394" s="33" t="str">
        <f>if(isblank(C394),,if(C394="wjv",vlookup(ceiling(E394),Class!$J$2:$K$501,2,true),if(C394="w",vlookup(ceiling(E394),Class!$G$2:$H$501,2,true),if(C394="jv",vlookup(ceiling(E394),Class!$A$2:$B$501,2,true),vlookup(ceiling(E394),Class!$D$2:$E$501,2,true)))))</f>
        <v/>
      </c>
      <c r="C394" s="65"/>
      <c r="D394" s="76"/>
      <c r="E394" s="74"/>
      <c r="F394" s="76"/>
      <c r="G394" s="65"/>
      <c r="H394" s="65"/>
      <c r="I394" s="65"/>
    </row>
    <row r="395">
      <c r="A395" s="4">
        <v>393.0</v>
      </c>
      <c r="B395" s="33" t="str">
        <f>if(isblank(C395),,if(C395="wjv",vlookup(ceiling(E395),Class!$J$2:$K$501,2,true),if(C395="w",vlookup(ceiling(E395),Class!$G$2:$H$501,2,true),if(C395="jv",vlookup(ceiling(E395),Class!$A$2:$B$501,2,true),vlookup(ceiling(E395),Class!$D$2:$E$501,2,true)))))</f>
        <v/>
      </c>
      <c r="C395" s="65"/>
      <c r="D395" s="76"/>
      <c r="E395" s="74"/>
      <c r="F395" s="76"/>
      <c r="G395" s="65"/>
      <c r="H395" s="65"/>
      <c r="I395" s="65"/>
    </row>
    <row r="396">
      <c r="A396" s="4">
        <v>394.0</v>
      </c>
      <c r="B396" s="33" t="str">
        <f>if(isblank(C396),,if(C396="wjv",vlookup(ceiling(E396),Class!$J$2:$K$501,2,true),if(C396="w",vlookup(ceiling(E396),Class!$G$2:$H$501,2,true),if(C396="jv",vlookup(ceiling(E396),Class!$A$2:$B$501,2,true),vlookup(ceiling(E396),Class!$D$2:$E$501,2,true)))))</f>
        <v/>
      </c>
      <c r="C396" s="65"/>
      <c r="D396" s="76"/>
      <c r="E396" s="74"/>
      <c r="F396" s="76"/>
      <c r="G396" s="65"/>
      <c r="H396" s="65"/>
      <c r="I396" s="65"/>
    </row>
    <row r="397">
      <c r="A397" s="4">
        <v>395.0</v>
      </c>
      <c r="B397" s="33" t="str">
        <f>if(isblank(C397),,if(C397="wjv",vlookup(ceiling(E397),Class!$J$2:$K$501,2,true),if(C397="w",vlookup(ceiling(E397),Class!$G$2:$H$501,2,true),if(C397="jv",vlookup(ceiling(E397),Class!$A$2:$B$501,2,true),vlookup(ceiling(E397),Class!$D$2:$E$501,2,true)))))</f>
        <v/>
      </c>
      <c r="C397" s="65"/>
      <c r="D397" s="76"/>
      <c r="E397" s="74"/>
      <c r="F397" s="76"/>
      <c r="G397" s="65"/>
      <c r="H397" s="65"/>
      <c r="I397" s="65"/>
    </row>
    <row r="398">
      <c r="A398" s="4">
        <v>396.0</v>
      </c>
      <c r="B398" s="33" t="str">
        <f>if(isblank(C398),,if(C398="wjv",vlookup(ceiling(E398),Class!$J$2:$K$501,2,true),if(C398="w",vlookup(ceiling(E398),Class!$G$2:$H$501,2,true),if(C398="jv",vlookup(ceiling(E398),Class!$A$2:$B$501,2,true),vlookup(ceiling(E398),Class!$D$2:$E$501,2,true)))))</f>
        <v/>
      </c>
      <c r="C398" s="65"/>
      <c r="D398" s="76"/>
      <c r="E398" s="74"/>
      <c r="F398" s="76"/>
      <c r="G398" s="65"/>
      <c r="H398" s="65"/>
      <c r="I398" s="65"/>
    </row>
    <row r="399">
      <c r="A399" s="4">
        <v>397.0</v>
      </c>
      <c r="B399" s="33" t="str">
        <f>if(isblank(C399),,if(C399="wjv",vlookup(ceiling(E399),Class!$J$2:$K$501,2,true),if(C399="w",vlookup(ceiling(E399),Class!$G$2:$H$501,2,true),if(C399="jv",vlookup(ceiling(E399),Class!$A$2:$B$501,2,true),vlookup(ceiling(E399),Class!$D$2:$E$501,2,true)))))</f>
        <v/>
      </c>
      <c r="C399" s="65"/>
      <c r="D399" s="76"/>
      <c r="E399" s="74"/>
      <c r="F399" s="76"/>
      <c r="G399" s="65"/>
      <c r="H399" s="65"/>
      <c r="I399" s="65"/>
    </row>
    <row r="400">
      <c r="A400" s="4">
        <v>398.0</v>
      </c>
      <c r="B400" s="33" t="str">
        <f>if(isblank(C400),,if(C400="wjv",vlookup(ceiling(E400),Class!$J$2:$K$501,2,true),if(C400="w",vlookup(ceiling(E400),Class!$G$2:$H$501,2,true),if(C400="jv",vlookup(ceiling(E400),Class!$A$2:$B$501,2,true),vlookup(ceiling(E400),Class!$D$2:$E$501,2,true)))))</f>
        <v/>
      </c>
      <c r="C400" s="65"/>
      <c r="D400" s="76"/>
      <c r="E400" s="74"/>
      <c r="F400" s="76"/>
      <c r="G400" s="65"/>
      <c r="H400" s="65"/>
      <c r="I400" s="65"/>
    </row>
    <row r="401">
      <c r="A401" s="4">
        <v>399.0</v>
      </c>
      <c r="B401" s="33" t="str">
        <f>if(isblank(C401),,if(C401="wjv",vlookup(ceiling(E401),Class!$J$2:$K$501,2,true),if(C401="w",vlookup(ceiling(E401),Class!$G$2:$H$501,2,true),if(C401="jv",vlookup(ceiling(E401),Class!$A$2:$B$501,2,true),vlookup(ceiling(E401),Class!$D$2:$E$501,2,true)))))</f>
        <v/>
      </c>
      <c r="C401" s="65"/>
      <c r="D401" s="76"/>
      <c r="E401" s="74"/>
      <c r="F401" s="76"/>
      <c r="G401" s="65"/>
      <c r="H401" s="65"/>
      <c r="I401" s="65"/>
    </row>
    <row r="402">
      <c r="A402" s="4">
        <v>400.0</v>
      </c>
      <c r="B402" s="33" t="str">
        <f>if(isblank(C402),,if(C402="wjv",vlookup(ceiling(E402),Class!$J$2:$K$501,2,true),if(C402="w",vlookup(ceiling(E402),Class!$G$2:$H$501,2,true),if(C402="jv",vlookup(ceiling(E402),Class!$A$2:$B$501,2,true),vlookup(ceiling(E402),Class!$D$2:$E$501,2,true)))))</f>
        <v/>
      </c>
      <c r="C402" s="65"/>
      <c r="D402" s="76"/>
      <c r="E402" s="74"/>
      <c r="F402" s="76"/>
      <c r="G402" s="65"/>
      <c r="H402" s="65"/>
      <c r="I402" s="65"/>
    </row>
    <row r="403">
      <c r="A403" s="4">
        <v>401.0</v>
      </c>
      <c r="B403" s="33" t="str">
        <f>if(isblank(C403),,if(C403="wjv",vlookup(ceiling(E403),Class!$J$2:$K$501,2,true),if(C403="w",vlookup(ceiling(E403),Class!$G$2:$H$501,2,true),if(C403="jv",vlookup(ceiling(E403),Class!$A$2:$B$501,2,true),vlookup(ceiling(E403),Class!$D$2:$E$501,2,true)))))</f>
        <v/>
      </c>
      <c r="C403" s="65"/>
      <c r="D403" s="76"/>
      <c r="E403" s="74"/>
      <c r="F403" s="76"/>
      <c r="G403" s="65"/>
      <c r="H403" s="65"/>
      <c r="I403" s="65"/>
    </row>
    <row r="404">
      <c r="A404" s="4">
        <v>402.0</v>
      </c>
      <c r="B404" s="33" t="str">
        <f>if(isblank(C404),,if(C404="wjv",vlookup(ceiling(E404),Class!$J$2:$K$501,2,true),if(C404="w",vlookup(ceiling(E404),Class!$G$2:$H$501,2,true),if(C404="jv",vlookup(ceiling(E404),Class!$A$2:$B$501,2,true),vlookup(ceiling(E404),Class!$D$2:$E$501,2,true)))))</f>
        <v/>
      </c>
      <c r="C404" s="65"/>
      <c r="D404" s="76"/>
      <c r="E404" s="74"/>
      <c r="F404" s="76"/>
      <c r="G404" s="65"/>
      <c r="H404" s="65"/>
      <c r="I404" s="65"/>
    </row>
    <row r="405">
      <c r="A405" s="4">
        <v>403.0</v>
      </c>
      <c r="B405" s="33" t="str">
        <f>if(isblank(C405),,if(C405="wjv",vlookup(ceiling(E405),Class!$J$2:$K$501,2,true),if(C405="w",vlookup(ceiling(E405),Class!$G$2:$H$501,2,true),if(C405="jv",vlookup(ceiling(E405),Class!$A$2:$B$501,2,true),vlookup(ceiling(E405),Class!$D$2:$E$501,2,true)))))</f>
        <v/>
      </c>
      <c r="C405" s="65"/>
      <c r="D405" s="76"/>
      <c r="E405" s="74"/>
      <c r="F405" s="76"/>
      <c r="G405" s="65"/>
      <c r="H405" s="65"/>
      <c r="I405" s="65"/>
    </row>
    <row r="406">
      <c r="A406" s="4">
        <v>404.0</v>
      </c>
      <c r="B406" s="33" t="str">
        <f>if(isblank(C406),,if(C406="wjv",vlookup(ceiling(E406),Class!$J$2:$K$501,2,true),if(C406="w",vlookup(ceiling(E406),Class!$G$2:$H$501,2,true),if(C406="jv",vlookup(ceiling(E406),Class!$A$2:$B$501,2,true),vlookup(ceiling(E406),Class!$D$2:$E$501,2,true)))))</f>
        <v/>
      </c>
      <c r="C406" s="65"/>
      <c r="D406" s="76"/>
      <c r="E406" s="74"/>
      <c r="F406" s="76"/>
      <c r="G406" s="65"/>
      <c r="H406" s="65"/>
      <c r="I406" s="65"/>
    </row>
    <row r="407">
      <c r="A407" s="4">
        <v>405.0</v>
      </c>
      <c r="B407" s="33" t="str">
        <f>if(isblank(C407),,if(C407="wjv",vlookup(ceiling(E407),Class!$J$2:$K$501,2,true),if(C407="w",vlookup(ceiling(E407),Class!$G$2:$H$501,2,true),if(C407="jv",vlookup(ceiling(E407),Class!$A$2:$B$501,2,true),vlookup(ceiling(E407),Class!$D$2:$E$501,2,true)))))</f>
        <v/>
      </c>
      <c r="C407" s="65"/>
      <c r="D407" s="76"/>
      <c r="E407" s="74"/>
      <c r="F407" s="76"/>
      <c r="G407" s="65"/>
      <c r="H407" s="65"/>
      <c r="I407" s="65"/>
    </row>
    <row r="408">
      <c r="A408" s="4">
        <v>406.0</v>
      </c>
      <c r="B408" s="33" t="str">
        <f>if(isblank(C408),,if(C408="wjv",vlookup(ceiling(E408),Class!$J$2:$K$501,2,true),if(C408="w",vlookup(ceiling(E408),Class!$G$2:$H$501,2,true),if(C408="jv",vlookup(ceiling(E408),Class!$A$2:$B$501,2,true),vlookup(ceiling(E408),Class!$D$2:$E$501,2,true)))))</f>
        <v/>
      </c>
      <c r="C408" s="65"/>
      <c r="D408" s="76"/>
      <c r="E408" s="74"/>
      <c r="F408" s="76"/>
      <c r="G408" s="65"/>
      <c r="H408" s="65"/>
      <c r="I408" s="65"/>
    </row>
    <row r="409">
      <c r="A409" s="4">
        <v>407.0</v>
      </c>
      <c r="B409" s="33" t="str">
        <f>if(isblank(C409),,if(C409="wjv",vlookup(ceiling(E409),Class!$J$2:$K$501,2,true),if(C409="w",vlookup(ceiling(E409),Class!$G$2:$H$501,2,true),if(C409="jv",vlookup(ceiling(E409),Class!$A$2:$B$501,2,true),vlookup(ceiling(E409),Class!$D$2:$E$501,2,true)))))</f>
        <v/>
      </c>
      <c r="C409" s="65"/>
      <c r="D409" s="76"/>
      <c r="E409" s="74"/>
      <c r="F409" s="76"/>
      <c r="G409" s="65"/>
      <c r="H409" s="65"/>
      <c r="I409" s="65"/>
    </row>
    <row r="410">
      <c r="A410" s="4">
        <v>408.0</v>
      </c>
      <c r="B410" s="33" t="str">
        <f>if(isblank(C410),,if(C410="wjv",vlookup(ceiling(E410),Class!$J$2:$K$501,2,true),if(C410="w",vlookup(ceiling(E410),Class!$G$2:$H$501,2,true),if(C410="jv",vlookup(ceiling(E410),Class!$A$2:$B$501,2,true),vlookup(ceiling(E410),Class!$D$2:$E$501,2,true)))))</f>
        <v/>
      </c>
      <c r="C410" s="65"/>
      <c r="D410" s="76"/>
      <c r="E410" s="74"/>
      <c r="F410" s="76"/>
      <c r="G410" s="65"/>
      <c r="H410" s="65"/>
      <c r="I410" s="65"/>
    </row>
    <row r="411">
      <c r="A411" s="4">
        <v>409.0</v>
      </c>
      <c r="B411" s="33" t="str">
        <f>if(isblank(C411),,if(C411="wjv",vlookup(ceiling(E411),Class!$J$2:$K$501,2,true),if(C411="w",vlookup(ceiling(E411),Class!$G$2:$H$501,2,true),if(C411="jv",vlookup(ceiling(E411),Class!$A$2:$B$501,2,true),vlookup(ceiling(E411),Class!$D$2:$E$501,2,true)))))</f>
        <v/>
      </c>
      <c r="C411" s="65"/>
      <c r="D411" s="76"/>
      <c r="E411" s="74"/>
      <c r="F411" s="76"/>
      <c r="G411" s="65"/>
      <c r="H411" s="65"/>
      <c r="I411" s="65"/>
    </row>
    <row r="412">
      <c r="A412" s="4">
        <v>410.0</v>
      </c>
      <c r="B412" s="33" t="str">
        <f>if(isblank(C412),,if(C412="wjv",vlookup(ceiling(E412),Class!$J$2:$K$501,2,true),if(C412="w",vlookup(ceiling(E412),Class!$G$2:$H$501,2,true),if(C412="jv",vlookup(ceiling(E412),Class!$A$2:$B$501,2,true),vlookup(ceiling(E412),Class!$D$2:$E$501,2,true)))))</f>
        <v/>
      </c>
      <c r="C412" s="65"/>
      <c r="D412" s="76"/>
      <c r="E412" s="74"/>
      <c r="F412" s="76"/>
      <c r="G412" s="65"/>
      <c r="H412" s="65"/>
      <c r="I412" s="65"/>
    </row>
    <row r="413">
      <c r="A413" s="4">
        <v>411.0</v>
      </c>
      <c r="B413" s="33" t="str">
        <f>if(isblank(C413),,if(C413="wjv",vlookup(ceiling(E413),Class!$J$2:$K$501,2,true),if(C413="w",vlookup(ceiling(E413),Class!$G$2:$H$501,2,true),if(C413="jv",vlookup(ceiling(E413),Class!$A$2:$B$501,2,true),vlookup(ceiling(E413),Class!$D$2:$E$501,2,true)))))</f>
        <v/>
      </c>
      <c r="C413" s="65"/>
      <c r="D413" s="76"/>
      <c r="E413" s="74"/>
      <c r="F413" s="76"/>
      <c r="G413" s="65"/>
      <c r="H413" s="65"/>
      <c r="I413" s="65"/>
    </row>
    <row r="414">
      <c r="A414" s="4">
        <v>412.0</v>
      </c>
      <c r="B414" s="33" t="str">
        <f>if(isblank(C414),,if(C414="wjv",vlookup(ceiling(E414),Class!$J$2:$K$501,2,true),if(C414="w",vlookup(ceiling(E414),Class!$G$2:$H$501,2,true),if(C414="jv",vlookup(ceiling(E414),Class!$A$2:$B$501,2,true),vlookup(ceiling(E414),Class!$D$2:$E$501,2,true)))))</f>
        <v/>
      </c>
      <c r="C414" s="65"/>
      <c r="D414" s="76"/>
      <c r="E414" s="74"/>
      <c r="F414" s="76"/>
      <c r="G414" s="65"/>
      <c r="H414" s="65"/>
      <c r="I414" s="65"/>
    </row>
    <row r="415">
      <c r="A415" s="4">
        <v>413.0</v>
      </c>
      <c r="B415" s="33" t="str">
        <f>if(isblank(C415),,if(C415="wjv",vlookup(ceiling(E415),Class!$J$2:$K$501,2,true),if(C415="w",vlookup(ceiling(E415),Class!$G$2:$H$501,2,true),if(C415="jv",vlookup(ceiling(E415),Class!$A$2:$B$501,2,true),vlookup(ceiling(E415),Class!$D$2:$E$501,2,true)))))</f>
        <v/>
      </c>
      <c r="C415" s="65"/>
      <c r="D415" s="76"/>
      <c r="E415" s="74"/>
      <c r="F415" s="76"/>
      <c r="G415" s="65"/>
      <c r="H415" s="65"/>
      <c r="I415" s="65"/>
    </row>
    <row r="416">
      <c r="A416" s="4">
        <v>414.0</v>
      </c>
      <c r="B416" s="33" t="str">
        <f>if(isblank(C416),,if(C416="wjv",vlookup(ceiling(E416),Class!$J$2:$K$501,2,true),if(C416="w",vlookup(ceiling(E416),Class!$G$2:$H$501,2,true),if(C416="jv",vlookup(ceiling(E416),Class!$A$2:$B$501,2,true),vlookup(ceiling(E416),Class!$D$2:$E$501,2,true)))))</f>
        <v/>
      </c>
      <c r="C416" s="65"/>
      <c r="D416" s="76"/>
      <c r="E416" s="74"/>
      <c r="F416" s="76"/>
      <c r="G416" s="65"/>
      <c r="H416" s="65"/>
      <c r="I416" s="65"/>
    </row>
    <row r="417">
      <c r="A417" s="4">
        <v>415.0</v>
      </c>
      <c r="B417" s="33" t="str">
        <f>if(isblank(C417),,if(C417="wjv",vlookup(ceiling(E417),Class!$J$2:$K$501,2,true),if(C417="w",vlookup(ceiling(E417),Class!$G$2:$H$501,2,true),if(C417="jv",vlookup(ceiling(E417),Class!$A$2:$B$501,2,true),vlookup(ceiling(E417),Class!$D$2:$E$501,2,true)))))</f>
        <v/>
      </c>
      <c r="C417" s="65"/>
      <c r="D417" s="76"/>
      <c r="E417" s="74"/>
      <c r="F417" s="76"/>
      <c r="G417" s="65"/>
      <c r="H417" s="65"/>
      <c r="I417" s="65"/>
    </row>
    <row r="418">
      <c r="A418" s="4">
        <v>416.0</v>
      </c>
      <c r="B418" s="33" t="str">
        <f>if(isblank(C418),,if(C418="wjv",vlookup(ceiling(E418),Class!$J$2:$K$501,2,true),if(C418="w",vlookup(ceiling(E418),Class!$G$2:$H$501,2,true),if(C418="jv",vlookup(ceiling(E418),Class!$A$2:$B$501,2,true),vlookup(ceiling(E418),Class!$D$2:$E$501,2,true)))))</f>
        <v/>
      </c>
      <c r="C418" s="65"/>
      <c r="D418" s="76"/>
      <c r="E418" s="74"/>
      <c r="F418" s="76"/>
      <c r="G418" s="65"/>
      <c r="H418" s="65"/>
      <c r="I418" s="65"/>
    </row>
    <row r="419">
      <c r="A419" s="4">
        <v>417.0</v>
      </c>
      <c r="B419" s="33" t="str">
        <f>if(isblank(C419),,if(C419="wjv",vlookup(ceiling(E419),Class!$J$2:$K$501,2,true),if(C419="w",vlookup(ceiling(E419),Class!$G$2:$H$501,2,true),if(C419="jv",vlookup(ceiling(E419),Class!$A$2:$B$501,2,true),vlookup(ceiling(E419),Class!$D$2:$E$501,2,true)))))</f>
        <v/>
      </c>
      <c r="C419" s="65"/>
      <c r="D419" s="76"/>
      <c r="E419" s="74"/>
      <c r="F419" s="76"/>
      <c r="G419" s="65"/>
      <c r="H419" s="65"/>
      <c r="I419" s="65"/>
    </row>
    <row r="420">
      <c r="A420" s="4">
        <v>418.0</v>
      </c>
      <c r="B420" s="33" t="str">
        <f>if(isblank(C420),,if(C420="wjv",vlookup(ceiling(E420),Class!$J$2:$K$501,2,true),if(C420="w",vlookup(ceiling(E420),Class!$G$2:$H$501,2,true),if(C420="jv",vlookup(ceiling(E420),Class!$A$2:$B$501,2,true),vlookup(ceiling(E420),Class!$D$2:$E$501,2,true)))))</f>
        <v/>
      </c>
      <c r="C420" s="65"/>
      <c r="D420" s="76"/>
      <c r="E420" s="74"/>
      <c r="F420" s="76"/>
      <c r="G420" s="65"/>
      <c r="H420" s="65"/>
      <c r="I420" s="65"/>
    </row>
    <row r="421">
      <c r="A421" s="4">
        <v>419.0</v>
      </c>
      <c r="B421" s="33" t="str">
        <f>if(isblank(C421),,if(C421="wjv",vlookup(ceiling(E421),Class!$J$2:$K$501,2,true),if(C421="w",vlookup(ceiling(E421),Class!$G$2:$H$501,2,true),if(C421="jv",vlookup(ceiling(E421),Class!$A$2:$B$501,2,true),vlookup(ceiling(E421),Class!$D$2:$E$501,2,true)))))</f>
        <v/>
      </c>
      <c r="C421" s="65"/>
      <c r="D421" s="76"/>
      <c r="E421" s="74"/>
      <c r="F421" s="76"/>
      <c r="G421" s="65"/>
      <c r="H421" s="65"/>
      <c r="I421" s="65"/>
    </row>
    <row r="422">
      <c r="A422" s="4">
        <v>420.0</v>
      </c>
      <c r="B422" s="33" t="str">
        <f>if(isblank(C422),,if(C422="wjv",vlookup(ceiling(E422),Class!$J$2:$K$501,2,true),if(C422="w",vlookup(ceiling(E422),Class!$G$2:$H$501,2,true),if(C422="jv",vlookup(ceiling(E422),Class!$A$2:$B$501,2,true),vlookup(ceiling(E422),Class!$D$2:$E$501,2,true)))))</f>
        <v/>
      </c>
      <c r="C422" s="65"/>
      <c r="D422" s="76"/>
      <c r="E422" s="74"/>
      <c r="F422" s="76"/>
      <c r="G422" s="65"/>
      <c r="H422" s="65"/>
      <c r="I422" s="65"/>
    </row>
    <row r="423">
      <c r="A423" s="4">
        <v>421.0</v>
      </c>
      <c r="B423" s="33" t="str">
        <f>if(isblank(C423),,if(C423="wjv",vlookup(ceiling(E423),Class!$J$2:$K$501,2,true),if(C423="w",vlookup(ceiling(E423),Class!$G$2:$H$501,2,true),if(C423="jv",vlookup(ceiling(E423),Class!$A$2:$B$501,2,true),vlookup(ceiling(E423),Class!$D$2:$E$501,2,true)))))</f>
        <v/>
      </c>
      <c r="C423" s="65"/>
      <c r="D423" s="76"/>
      <c r="E423" s="74"/>
      <c r="F423" s="76"/>
      <c r="G423" s="65"/>
      <c r="H423" s="65"/>
      <c r="I423" s="65"/>
    </row>
    <row r="424">
      <c r="A424" s="4">
        <v>422.0</v>
      </c>
      <c r="B424" s="33" t="str">
        <f>if(isblank(C424),,if(C424="wjv",vlookup(ceiling(E424),Class!$J$2:$K$501,2,true),if(C424="w",vlookup(ceiling(E424),Class!$G$2:$H$501,2,true),if(C424="jv",vlookup(ceiling(E424),Class!$A$2:$B$501,2,true),vlookup(ceiling(E424),Class!$D$2:$E$501,2,true)))))</f>
        <v/>
      </c>
      <c r="C424" s="65"/>
      <c r="D424" s="76"/>
      <c r="E424" s="74"/>
      <c r="F424" s="76"/>
      <c r="G424" s="65"/>
      <c r="H424" s="65"/>
      <c r="I424" s="65"/>
    </row>
    <row r="425">
      <c r="A425" s="4">
        <v>423.0</v>
      </c>
      <c r="B425" s="33" t="str">
        <f>if(isblank(C425),,if(C425="wjv",vlookup(ceiling(E425),Class!$J$2:$K$501,2,true),if(C425="w",vlookup(ceiling(E425),Class!$G$2:$H$501,2,true),if(C425="jv",vlookup(ceiling(E425),Class!$A$2:$B$501,2,true),vlookup(ceiling(E425),Class!$D$2:$E$501,2,true)))))</f>
        <v/>
      </c>
      <c r="C425" s="65"/>
      <c r="D425" s="76"/>
      <c r="E425" s="74"/>
      <c r="F425" s="76"/>
      <c r="G425" s="65"/>
      <c r="H425" s="65"/>
      <c r="I425" s="65"/>
    </row>
    <row r="426">
      <c r="A426" s="4">
        <v>424.0</v>
      </c>
      <c r="B426" s="33" t="str">
        <f>if(isblank(C426),,if(C426="wjv",vlookup(ceiling(E426),Class!$J$2:$K$501,2,true),if(C426="w",vlookup(ceiling(E426),Class!$G$2:$H$501,2,true),if(C426="jv",vlookup(ceiling(E426),Class!$A$2:$B$501,2,true),vlookup(ceiling(E426),Class!$D$2:$E$501,2,true)))))</f>
        <v/>
      </c>
      <c r="C426" s="65"/>
      <c r="D426" s="76"/>
      <c r="E426" s="74"/>
      <c r="F426" s="76"/>
      <c r="G426" s="65"/>
      <c r="H426" s="65"/>
      <c r="I426" s="65"/>
    </row>
    <row r="427">
      <c r="A427" s="4">
        <v>425.0</v>
      </c>
      <c r="B427" s="33" t="str">
        <f>if(isblank(C427),,if(C427="wjv",vlookup(ceiling(E427),Class!$J$2:$K$501,2,true),if(C427="w",vlookup(ceiling(E427),Class!$G$2:$H$501,2,true),if(C427="jv",vlookup(ceiling(E427),Class!$A$2:$B$501,2,true),vlookup(ceiling(E427),Class!$D$2:$E$501,2,true)))))</f>
        <v/>
      </c>
      <c r="C427" s="65"/>
      <c r="D427" s="76"/>
      <c r="E427" s="74"/>
      <c r="F427" s="76"/>
      <c r="G427" s="65"/>
      <c r="H427" s="65"/>
      <c r="I427" s="65"/>
    </row>
    <row r="428">
      <c r="A428" s="4">
        <v>426.0</v>
      </c>
      <c r="B428" s="33" t="str">
        <f>if(isblank(C428),,if(C428="wjv",vlookup(ceiling(E428),Class!$J$2:$K$501,2,true),if(C428="w",vlookup(ceiling(E428),Class!$G$2:$H$501,2,true),if(C428="jv",vlookup(ceiling(E428),Class!$A$2:$B$501,2,true),vlookup(ceiling(E428),Class!$D$2:$E$501,2,true)))))</f>
        <v/>
      </c>
      <c r="C428" s="65"/>
      <c r="D428" s="76"/>
      <c r="E428" s="74"/>
      <c r="F428" s="76"/>
      <c r="G428" s="65"/>
      <c r="H428" s="65"/>
      <c r="I428" s="65"/>
    </row>
    <row r="429">
      <c r="A429" s="4">
        <v>427.0</v>
      </c>
      <c r="B429" s="33" t="str">
        <f>if(isblank(C429),,if(C429="wjv",vlookup(ceiling(E429),Class!$J$2:$K$501,2,true),if(C429="w",vlookup(ceiling(E429),Class!$G$2:$H$501,2,true),if(C429="jv",vlookup(ceiling(E429),Class!$A$2:$B$501,2,true),vlookup(ceiling(E429),Class!$D$2:$E$501,2,true)))))</f>
        <v/>
      </c>
      <c r="C429" s="65"/>
      <c r="D429" s="76"/>
      <c r="E429" s="74"/>
      <c r="F429" s="76"/>
      <c r="G429" s="65"/>
      <c r="H429" s="65"/>
      <c r="I429" s="65"/>
    </row>
    <row r="430">
      <c r="A430" s="4">
        <v>428.0</v>
      </c>
      <c r="B430" s="33" t="str">
        <f>if(isblank(C430),,if(C430="wjv",vlookup(ceiling(E430),Class!$J$2:$K$501,2,true),if(C430="w",vlookup(ceiling(E430),Class!$G$2:$H$501,2,true),if(C430="jv",vlookup(ceiling(E430),Class!$A$2:$B$501,2,true),vlookup(ceiling(E430),Class!$D$2:$E$501,2,true)))))</f>
        <v/>
      </c>
      <c r="C430" s="65"/>
      <c r="D430" s="76"/>
      <c r="E430" s="74"/>
      <c r="F430" s="76"/>
      <c r="G430" s="65"/>
      <c r="H430" s="65"/>
      <c r="I430" s="65"/>
    </row>
    <row r="431">
      <c r="A431" s="4">
        <v>429.0</v>
      </c>
      <c r="B431" s="33" t="str">
        <f>if(isblank(C431),,if(C431="wjv",vlookup(ceiling(E431),Class!$J$2:$K$501,2,true),if(C431="w",vlookup(ceiling(E431),Class!$G$2:$H$501,2,true),if(C431="jv",vlookup(ceiling(E431),Class!$A$2:$B$501,2,true),vlookup(ceiling(E431),Class!$D$2:$E$501,2,true)))))</f>
        <v/>
      </c>
      <c r="C431" s="65"/>
      <c r="D431" s="76"/>
      <c r="E431" s="74"/>
      <c r="F431" s="76"/>
      <c r="G431" s="65"/>
      <c r="H431" s="65"/>
      <c r="I431" s="65"/>
    </row>
    <row r="432">
      <c r="A432" s="4">
        <v>430.0</v>
      </c>
      <c r="B432" s="33" t="str">
        <f>if(isblank(C432),,if(C432="wjv",vlookup(ceiling(E432),Class!$J$2:$K$501,2,true),if(C432="w",vlookup(ceiling(E432),Class!$G$2:$H$501,2,true),if(C432="jv",vlookup(ceiling(E432),Class!$A$2:$B$501,2,true),vlookup(ceiling(E432),Class!$D$2:$E$501,2,true)))))</f>
        <v/>
      </c>
      <c r="C432" s="65"/>
      <c r="D432" s="76"/>
      <c r="E432" s="74"/>
      <c r="F432" s="76"/>
      <c r="G432" s="65"/>
      <c r="H432" s="65"/>
      <c r="I432" s="65"/>
    </row>
    <row r="433">
      <c r="A433" s="4">
        <v>431.0</v>
      </c>
      <c r="B433" s="33" t="str">
        <f>if(isblank(C433),,if(C433="wjv",vlookup(ceiling(E433),Class!$J$2:$K$501,2,true),if(C433="w",vlookup(ceiling(E433),Class!$G$2:$H$501,2,true),if(C433="jv",vlookup(ceiling(E433),Class!$A$2:$B$501,2,true),vlookup(ceiling(E433),Class!$D$2:$E$501,2,true)))))</f>
        <v/>
      </c>
      <c r="C433" s="65"/>
      <c r="D433" s="76"/>
      <c r="E433" s="74"/>
      <c r="F433" s="76"/>
      <c r="G433" s="65"/>
      <c r="H433" s="65"/>
      <c r="I433" s="65"/>
    </row>
    <row r="434">
      <c r="A434" s="4">
        <v>432.0</v>
      </c>
      <c r="B434" s="33" t="str">
        <f>if(isblank(C434),,if(C434="wjv",vlookup(ceiling(E434),Class!$J$2:$K$501,2,true),if(C434="w",vlookup(ceiling(E434),Class!$G$2:$H$501,2,true),if(C434="jv",vlookup(ceiling(E434),Class!$A$2:$B$501,2,true),vlookup(ceiling(E434),Class!$D$2:$E$501,2,true)))))</f>
        <v/>
      </c>
      <c r="C434" s="65"/>
      <c r="D434" s="76"/>
      <c r="E434" s="74"/>
      <c r="F434" s="76"/>
      <c r="G434" s="65"/>
      <c r="H434" s="65"/>
      <c r="I434" s="65"/>
    </row>
    <row r="435">
      <c r="A435" s="4">
        <v>433.0</v>
      </c>
      <c r="B435" s="33" t="str">
        <f>if(isblank(C435),,if(C435="wjv",vlookup(ceiling(E435),Class!$J$2:$K$501,2,true),if(C435="w",vlookup(ceiling(E435),Class!$G$2:$H$501,2,true),if(C435="jv",vlookup(ceiling(E435),Class!$A$2:$B$501,2,true),vlookup(ceiling(E435),Class!$D$2:$E$501,2,true)))))</f>
        <v/>
      </c>
      <c r="C435" s="65"/>
      <c r="D435" s="76"/>
      <c r="E435" s="74"/>
      <c r="F435" s="76"/>
      <c r="G435" s="65"/>
      <c r="H435" s="65"/>
      <c r="I435" s="65"/>
    </row>
    <row r="436">
      <c r="A436" s="4">
        <v>434.0</v>
      </c>
      <c r="B436" s="33" t="str">
        <f>if(isblank(C436),,if(C436="wjv",vlookup(ceiling(E436),Class!$J$2:$K$501,2,true),if(C436="w",vlookup(ceiling(E436),Class!$G$2:$H$501,2,true),if(C436="jv",vlookup(ceiling(E436),Class!$A$2:$B$501,2,true),vlookup(ceiling(E436),Class!$D$2:$E$501,2,true)))))</f>
        <v/>
      </c>
      <c r="C436" s="65"/>
      <c r="D436" s="76"/>
      <c r="E436" s="74"/>
      <c r="F436" s="76"/>
      <c r="G436" s="65"/>
      <c r="H436" s="65"/>
      <c r="I436" s="65"/>
    </row>
    <row r="437">
      <c r="A437" s="4">
        <v>435.0</v>
      </c>
      <c r="B437" s="33" t="str">
        <f>if(isblank(C437),,if(C437="wjv",vlookup(ceiling(E437),Class!$J$2:$K$501,2,true),if(C437="w",vlookup(ceiling(E437),Class!$G$2:$H$501,2,true),if(C437="jv",vlookup(ceiling(E437),Class!$A$2:$B$501,2,true),vlookup(ceiling(E437),Class!$D$2:$E$501,2,true)))))</f>
        <v/>
      </c>
      <c r="C437" s="65"/>
      <c r="D437" s="76"/>
      <c r="E437" s="74"/>
      <c r="F437" s="76"/>
      <c r="G437" s="65"/>
      <c r="H437" s="65"/>
      <c r="I437" s="65"/>
    </row>
    <row r="438">
      <c r="A438" s="4">
        <v>436.0</v>
      </c>
      <c r="B438" s="33" t="str">
        <f>if(isblank(C438),,if(C438="wjv",vlookup(ceiling(E438),Class!$J$2:$K$501,2,true),if(C438="w",vlookup(ceiling(E438),Class!$G$2:$H$501,2,true),if(C438="jv",vlookup(ceiling(E438),Class!$A$2:$B$501,2,true),vlookup(ceiling(E438),Class!$D$2:$E$501,2,true)))))</f>
        <v/>
      </c>
      <c r="C438" s="65"/>
      <c r="D438" s="76"/>
      <c r="E438" s="74"/>
      <c r="F438" s="76"/>
      <c r="G438" s="65"/>
      <c r="H438" s="65"/>
      <c r="I438" s="65"/>
    </row>
    <row r="439">
      <c r="A439" s="4">
        <v>437.0</v>
      </c>
      <c r="B439" s="33" t="str">
        <f>if(isblank(C439),,if(C439="wjv",vlookup(ceiling(E439),Class!$J$2:$K$501,2,true),if(C439="w",vlookup(ceiling(E439),Class!$G$2:$H$501,2,true),if(C439="jv",vlookup(ceiling(E439),Class!$A$2:$B$501,2,true),vlookup(ceiling(E439),Class!$D$2:$E$501,2,true)))))</f>
        <v/>
      </c>
      <c r="C439" s="65"/>
      <c r="D439" s="76"/>
      <c r="E439" s="74"/>
      <c r="F439" s="76"/>
      <c r="G439" s="65"/>
      <c r="H439" s="65"/>
      <c r="I439" s="65"/>
    </row>
    <row r="440">
      <c r="A440" s="4">
        <v>438.0</v>
      </c>
      <c r="B440" s="33" t="str">
        <f>if(isblank(C440),,if(C440="wjv",vlookup(ceiling(E440),Class!$J$2:$K$501,2,true),if(C440="w",vlookup(ceiling(E440),Class!$G$2:$H$501,2,true),if(C440="jv",vlookup(ceiling(E440),Class!$A$2:$B$501,2,true),vlookup(ceiling(E440),Class!$D$2:$E$501,2,true)))))</f>
        <v/>
      </c>
      <c r="C440" s="65"/>
      <c r="D440" s="76"/>
      <c r="E440" s="74"/>
      <c r="F440" s="76"/>
      <c r="G440" s="65"/>
      <c r="H440" s="65"/>
      <c r="I440" s="65"/>
    </row>
    <row r="441">
      <c r="A441" s="4">
        <v>439.0</v>
      </c>
      <c r="B441" s="33" t="str">
        <f>if(isblank(C441),,if(C441="wjv",vlookup(ceiling(E441),Class!$J$2:$K$501,2,true),if(C441="w",vlookup(ceiling(E441),Class!$G$2:$H$501,2,true),if(C441="jv",vlookup(ceiling(E441),Class!$A$2:$B$501,2,true),vlookup(ceiling(E441),Class!$D$2:$E$501,2,true)))))</f>
        <v/>
      </c>
      <c r="C441" s="65"/>
      <c r="D441" s="76"/>
      <c r="E441" s="74"/>
      <c r="F441" s="76"/>
      <c r="G441" s="65"/>
      <c r="H441" s="65"/>
      <c r="I441" s="65"/>
    </row>
    <row r="442">
      <c r="A442" s="4">
        <v>440.0</v>
      </c>
      <c r="B442" s="33" t="str">
        <f>if(isblank(C442),,if(C442="wjv",vlookup(ceiling(E442),Class!$J$2:$K$501,2,true),if(C442="w",vlookup(ceiling(E442),Class!$G$2:$H$501,2,true),if(C442="jv",vlookup(ceiling(E442),Class!$A$2:$B$501,2,true),vlookup(ceiling(E442),Class!$D$2:$E$501,2,true)))))</f>
        <v/>
      </c>
      <c r="C442" s="65"/>
      <c r="D442" s="76"/>
      <c r="E442" s="74"/>
      <c r="F442" s="76"/>
      <c r="G442" s="65"/>
      <c r="H442" s="65"/>
      <c r="I442" s="65"/>
    </row>
    <row r="443">
      <c r="A443" s="4">
        <v>441.0</v>
      </c>
      <c r="B443" s="33" t="str">
        <f>if(isblank(C443),,if(C443="wjv",vlookup(ceiling(E443),Class!$J$2:$K$501,2,true),if(C443="w",vlookup(ceiling(E443),Class!$G$2:$H$501,2,true),if(C443="jv",vlookup(ceiling(E443),Class!$A$2:$B$501,2,true),vlookup(ceiling(E443),Class!$D$2:$E$501,2,true)))))</f>
        <v/>
      </c>
      <c r="C443" s="65"/>
      <c r="D443" s="76"/>
      <c r="E443" s="74"/>
      <c r="F443" s="76"/>
      <c r="G443" s="65"/>
      <c r="H443" s="65"/>
      <c r="I443" s="65"/>
    </row>
    <row r="444">
      <c r="A444" s="4">
        <v>442.0</v>
      </c>
      <c r="B444" s="33" t="str">
        <f>if(isblank(C444),,if(C444="wjv",vlookup(ceiling(E444),Class!$J$2:$K$501,2,true),if(C444="w",vlookup(ceiling(E444),Class!$G$2:$H$501,2,true),if(C444="jv",vlookup(ceiling(E444),Class!$A$2:$B$501,2,true),vlookup(ceiling(E444),Class!$D$2:$E$501,2,true)))))</f>
        <v/>
      </c>
      <c r="C444" s="65"/>
      <c r="D444" s="76"/>
      <c r="E444" s="74"/>
      <c r="F444" s="76"/>
      <c r="G444" s="65"/>
      <c r="H444" s="65"/>
      <c r="I444" s="65"/>
    </row>
    <row r="445">
      <c r="A445" s="4">
        <v>443.0</v>
      </c>
      <c r="B445" s="33" t="str">
        <f>if(isblank(C445),,if(C445="wjv",vlookup(ceiling(E445),Class!$J$2:$K$501,2,true),if(C445="w",vlookup(ceiling(E445),Class!$G$2:$H$501,2,true),if(C445="jv",vlookup(ceiling(E445),Class!$A$2:$B$501,2,true),vlookup(ceiling(E445),Class!$D$2:$E$501,2,true)))))</f>
        <v/>
      </c>
      <c r="C445" s="65"/>
      <c r="D445" s="76"/>
      <c r="E445" s="74"/>
      <c r="F445" s="76"/>
      <c r="G445" s="65"/>
      <c r="H445" s="65"/>
      <c r="I445" s="65"/>
    </row>
    <row r="446">
      <c r="A446" s="4">
        <v>444.0</v>
      </c>
      <c r="B446" s="33" t="str">
        <f>if(isblank(C446),,if(C446="wjv",vlookup(ceiling(E446),Class!$J$2:$K$501,2,true),if(C446="w",vlookup(ceiling(E446),Class!$G$2:$H$501,2,true),if(C446="jv",vlookup(ceiling(E446),Class!$A$2:$B$501,2,true),vlookup(ceiling(E446),Class!$D$2:$E$501,2,true)))))</f>
        <v/>
      </c>
      <c r="C446" s="65"/>
      <c r="D446" s="76"/>
      <c r="E446" s="74"/>
      <c r="F446" s="76"/>
      <c r="G446" s="65"/>
      <c r="H446" s="65"/>
      <c r="I446" s="65"/>
    </row>
    <row r="447">
      <c r="A447" s="4">
        <v>445.0</v>
      </c>
      <c r="B447" s="33" t="str">
        <f>if(isblank(C447),,if(C447="wjv",vlookup(ceiling(E447),Class!$J$2:$K$501,2,true),if(C447="w",vlookup(ceiling(E447),Class!$G$2:$H$501,2,true),if(C447="jv",vlookup(ceiling(E447),Class!$A$2:$B$501,2,true),vlookup(ceiling(E447),Class!$D$2:$E$501,2,true)))))</f>
        <v/>
      </c>
      <c r="C447" s="65"/>
      <c r="D447" s="76"/>
      <c r="E447" s="74"/>
      <c r="F447" s="76"/>
      <c r="G447" s="65"/>
      <c r="H447" s="65"/>
      <c r="I447" s="65"/>
    </row>
    <row r="448">
      <c r="A448" s="4">
        <v>446.0</v>
      </c>
      <c r="B448" s="33" t="str">
        <f>if(isblank(C448),,if(C448="wjv",vlookup(ceiling(E448),Class!$J$2:$K$501,2,true),if(C448="w",vlookup(ceiling(E448),Class!$G$2:$H$501,2,true),if(C448="jv",vlookup(ceiling(E448),Class!$A$2:$B$501,2,true),vlookup(ceiling(E448),Class!$D$2:$E$501,2,true)))))</f>
        <v/>
      </c>
      <c r="C448" s="65"/>
      <c r="D448" s="76"/>
      <c r="E448" s="74"/>
      <c r="F448" s="76"/>
      <c r="G448" s="65"/>
      <c r="H448" s="65"/>
      <c r="I448" s="65"/>
    </row>
    <row r="449">
      <c r="A449" s="4">
        <v>447.0</v>
      </c>
      <c r="B449" s="33" t="str">
        <f>if(isblank(C449),,if(C449="wjv",vlookup(ceiling(E449),Class!$J$2:$K$501,2,true),if(C449="w",vlookup(ceiling(E449),Class!$G$2:$H$501,2,true),if(C449="jv",vlookup(ceiling(E449),Class!$A$2:$B$501,2,true),vlookup(ceiling(E449),Class!$D$2:$E$501,2,true)))))</f>
        <v/>
      </c>
      <c r="C449" s="65"/>
      <c r="D449" s="76"/>
      <c r="E449" s="74"/>
      <c r="F449" s="76"/>
      <c r="G449" s="65"/>
      <c r="H449" s="65"/>
      <c r="I449" s="65"/>
    </row>
    <row r="450">
      <c r="A450" s="4">
        <v>448.0</v>
      </c>
      <c r="B450" s="33" t="str">
        <f>if(isblank(C450),,if(C450="wjv",vlookup(ceiling(E450),Class!$J$2:$K$501,2,true),if(C450="w",vlookup(ceiling(E450),Class!$G$2:$H$501,2,true),if(C450="jv",vlookup(ceiling(E450),Class!$A$2:$B$501,2,true),vlookup(ceiling(E450),Class!$D$2:$E$501,2,true)))))</f>
        <v/>
      </c>
      <c r="C450" s="65"/>
      <c r="D450" s="76"/>
      <c r="E450" s="74"/>
      <c r="F450" s="76"/>
      <c r="G450" s="65"/>
      <c r="H450" s="65"/>
      <c r="I450" s="65"/>
    </row>
    <row r="451">
      <c r="A451" s="4">
        <v>449.0</v>
      </c>
      <c r="B451" s="33" t="str">
        <f>if(isblank(C451),,if(C451="wjv",vlookup(ceiling(E451),Class!$J$2:$K$501,2,true),if(C451="w",vlookup(ceiling(E451),Class!$G$2:$H$501,2,true),if(C451="jv",vlookup(ceiling(E451),Class!$A$2:$B$501,2,true),vlookup(ceiling(E451),Class!$D$2:$E$501,2,true)))))</f>
        <v/>
      </c>
      <c r="C451" s="65"/>
      <c r="D451" s="76"/>
      <c r="E451" s="74"/>
      <c r="F451" s="76"/>
      <c r="G451" s="65"/>
      <c r="H451" s="65"/>
      <c r="I451" s="65"/>
    </row>
    <row r="452">
      <c r="A452" s="4">
        <v>450.0</v>
      </c>
      <c r="B452" s="33" t="str">
        <f>if(isblank(C452),,if(C452="wjv",vlookup(ceiling(E452),Class!$J$2:$K$501,2,true),if(C452="w",vlookup(ceiling(E452),Class!$G$2:$H$501,2,true),if(C452="jv",vlookup(ceiling(E452),Class!$A$2:$B$501,2,true),vlookup(ceiling(E452),Class!$D$2:$E$501,2,true)))))</f>
        <v/>
      </c>
      <c r="C452" s="65"/>
      <c r="D452" s="76"/>
      <c r="E452" s="74"/>
      <c r="F452" s="76"/>
      <c r="G452" s="65"/>
      <c r="H452" s="65"/>
      <c r="I452" s="65"/>
    </row>
    <row r="453">
      <c r="A453" s="4">
        <v>451.0</v>
      </c>
      <c r="B453" s="33" t="str">
        <f>if(isblank(C453),,if(C453="wjv",vlookup(ceiling(E453),Class!$J$2:$K$501,2,true),if(C453="w",vlookup(ceiling(E453),Class!$G$2:$H$501,2,true),if(C453="jv",vlookup(ceiling(E453),Class!$A$2:$B$501,2,true),vlookup(ceiling(E453),Class!$D$2:$E$501,2,true)))))</f>
        <v/>
      </c>
      <c r="C453" s="65"/>
      <c r="D453" s="76"/>
      <c r="E453" s="74"/>
      <c r="F453" s="76"/>
      <c r="G453" s="65"/>
      <c r="H453" s="65"/>
      <c r="I453" s="65"/>
    </row>
    <row r="454">
      <c r="A454" s="4">
        <v>452.0</v>
      </c>
      <c r="B454" s="33" t="str">
        <f>if(isblank(C454),,if(C454="wjv",vlookup(ceiling(E454),Class!$J$2:$K$501,2,true),if(C454="w",vlookup(ceiling(E454),Class!$G$2:$H$501,2,true),if(C454="jv",vlookup(ceiling(E454),Class!$A$2:$B$501,2,true),vlookup(ceiling(E454),Class!$D$2:$E$501,2,true)))))</f>
        <v/>
      </c>
      <c r="C454" s="65"/>
      <c r="D454" s="76"/>
      <c r="E454" s="74"/>
      <c r="F454" s="76"/>
      <c r="G454" s="65"/>
      <c r="H454" s="65"/>
      <c r="I454" s="65"/>
    </row>
    <row r="455">
      <c r="A455" s="4">
        <v>453.0</v>
      </c>
      <c r="B455" s="33" t="str">
        <f>if(isblank(C455),,if(C455="wjv",vlookup(ceiling(E455),Class!$J$2:$K$501,2,true),if(C455="w",vlookup(ceiling(E455),Class!$G$2:$H$501,2,true),if(C455="jv",vlookup(ceiling(E455),Class!$A$2:$B$501,2,true),vlookup(ceiling(E455),Class!$D$2:$E$501,2,true)))))</f>
        <v/>
      </c>
      <c r="C455" s="65"/>
      <c r="D455" s="76"/>
      <c r="E455" s="74"/>
      <c r="F455" s="76"/>
      <c r="G455" s="65"/>
      <c r="H455" s="65"/>
      <c r="I455" s="65"/>
    </row>
    <row r="456">
      <c r="A456" s="4">
        <v>454.0</v>
      </c>
      <c r="B456" s="33" t="str">
        <f>if(isblank(C456),,if(C456="wjv",vlookup(ceiling(E456),Class!$J$2:$K$501,2,true),if(C456="w",vlookup(ceiling(E456),Class!$G$2:$H$501,2,true),if(C456="jv",vlookup(ceiling(E456),Class!$A$2:$B$501,2,true),vlookup(ceiling(E456),Class!$D$2:$E$501,2,true)))))</f>
        <v/>
      </c>
      <c r="C456" s="65"/>
      <c r="D456" s="76"/>
      <c r="E456" s="74"/>
      <c r="F456" s="76"/>
      <c r="G456" s="65"/>
      <c r="H456" s="65"/>
      <c r="I456" s="65"/>
    </row>
    <row r="457">
      <c r="A457" s="4">
        <v>455.0</v>
      </c>
      <c r="B457" s="33" t="str">
        <f>if(isblank(C457),,if(C457="wjv",vlookup(ceiling(E457),Class!$J$2:$K$501,2,true),if(C457="w",vlookup(ceiling(E457),Class!$G$2:$H$501,2,true),if(C457="jv",vlookup(ceiling(E457),Class!$A$2:$B$501,2,true),vlookup(ceiling(E457),Class!$D$2:$E$501,2,true)))))</f>
        <v/>
      </c>
      <c r="C457" s="65"/>
      <c r="D457" s="76"/>
      <c r="E457" s="74"/>
      <c r="F457" s="76"/>
      <c r="G457" s="65"/>
      <c r="H457" s="65"/>
      <c r="I457" s="65"/>
    </row>
    <row r="458">
      <c r="A458" s="4">
        <v>456.0</v>
      </c>
      <c r="B458" s="33" t="str">
        <f>if(isblank(C458),,if(C458="wjv",vlookup(ceiling(E458),Class!$J$2:$K$501,2,true),if(C458="w",vlookup(ceiling(E458),Class!$G$2:$H$501,2,true),if(C458="jv",vlookup(ceiling(E458),Class!$A$2:$B$501,2,true),vlookup(ceiling(E458),Class!$D$2:$E$501,2,true)))))</f>
        <v/>
      </c>
      <c r="C458" s="65"/>
      <c r="D458" s="76"/>
      <c r="E458" s="74"/>
      <c r="F458" s="76"/>
      <c r="G458" s="65"/>
      <c r="H458" s="65"/>
      <c r="I458" s="65"/>
    </row>
    <row r="459">
      <c r="A459" s="4">
        <v>457.0</v>
      </c>
      <c r="B459" s="33" t="str">
        <f>if(isblank(C459),,if(C459="wjv",vlookup(ceiling(E459),Class!$J$2:$K$501,2,true),if(C459="w",vlookup(ceiling(E459),Class!$G$2:$H$501,2,true),if(C459="jv",vlookup(ceiling(E459),Class!$A$2:$B$501,2,true),vlookup(ceiling(E459),Class!$D$2:$E$501,2,true)))))</f>
        <v/>
      </c>
      <c r="C459" s="65"/>
      <c r="D459" s="76"/>
      <c r="E459" s="74"/>
      <c r="F459" s="76"/>
      <c r="G459" s="65"/>
      <c r="H459" s="65"/>
      <c r="I459" s="65"/>
    </row>
    <row r="460">
      <c r="A460" s="4">
        <v>458.0</v>
      </c>
      <c r="B460" s="33" t="str">
        <f>if(isblank(C460),,if(C460="wjv",vlookup(ceiling(E460),Class!$J$2:$K$501,2,true),if(C460="w",vlookup(ceiling(E460),Class!$G$2:$H$501,2,true),if(C460="jv",vlookup(ceiling(E460),Class!$A$2:$B$501,2,true),vlookup(ceiling(E460),Class!$D$2:$E$501,2,true)))))</f>
        <v/>
      </c>
      <c r="C460" s="65"/>
      <c r="D460" s="76"/>
      <c r="E460" s="74"/>
      <c r="F460" s="76"/>
      <c r="G460" s="65"/>
      <c r="H460" s="65"/>
      <c r="I460" s="65"/>
    </row>
    <row r="461">
      <c r="A461" s="4">
        <v>459.0</v>
      </c>
      <c r="B461" s="33" t="str">
        <f>if(isblank(C461),,if(C461="wjv",vlookup(ceiling(E461),Class!$J$2:$K$501,2,true),if(C461="w",vlookup(ceiling(E461),Class!$G$2:$H$501,2,true),if(C461="jv",vlookup(ceiling(E461),Class!$A$2:$B$501,2,true),vlookup(ceiling(E461),Class!$D$2:$E$501,2,true)))))</f>
        <v/>
      </c>
      <c r="C461" s="65"/>
      <c r="D461" s="76"/>
      <c r="E461" s="74"/>
      <c r="F461" s="76"/>
      <c r="G461" s="65"/>
      <c r="H461" s="65"/>
      <c r="I461" s="65"/>
    </row>
    <row r="462">
      <c r="A462" s="4">
        <v>460.0</v>
      </c>
      <c r="B462" s="33" t="str">
        <f>if(isblank(C462),,if(C462="wjv",vlookup(ceiling(E462),Class!$J$2:$K$501,2,true),if(C462="w",vlookup(ceiling(E462),Class!$G$2:$H$501,2,true),if(C462="jv",vlookup(ceiling(E462),Class!$A$2:$B$501,2,true),vlookup(ceiling(E462),Class!$D$2:$E$501,2,true)))))</f>
        <v/>
      </c>
      <c r="C462" s="65"/>
      <c r="D462" s="76"/>
      <c r="E462" s="74"/>
      <c r="F462" s="76"/>
      <c r="G462" s="65"/>
      <c r="H462" s="65"/>
      <c r="I462" s="65"/>
    </row>
    <row r="463">
      <c r="A463" s="4">
        <v>461.0</v>
      </c>
      <c r="B463" s="33" t="str">
        <f>if(isblank(C463),,if(C463="wjv",vlookup(ceiling(E463),Class!$J$2:$K$501,2,true),if(C463="w",vlookup(ceiling(E463),Class!$G$2:$H$501,2,true),if(C463="jv",vlookup(ceiling(E463),Class!$A$2:$B$501,2,true),vlookup(ceiling(E463),Class!$D$2:$E$501,2,true)))))</f>
        <v/>
      </c>
      <c r="C463" s="65"/>
      <c r="D463" s="76"/>
      <c r="E463" s="74"/>
      <c r="F463" s="76"/>
      <c r="G463" s="65"/>
      <c r="H463" s="65"/>
      <c r="I463" s="65"/>
    </row>
    <row r="464">
      <c r="A464" s="4">
        <v>462.0</v>
      </c>
      <c r="B464" s="33" t="str">
        <f>if(isblank(C464),,if(C464="wjv",vlookup(ceiling(E464),Class!$J$2:$K$501,2,true),if(C464="w",vlookup(ceiling(E464),Class!$G$2:$H$501,2,true),if(C464="jv",vlookup(ceiling(E464),Class!$A$2:$B$501,2,true),vlookup(ceiling(E464),Class!$D$2:$E$501,2,true)))))</f>
        <v/>
      </c>
      <c r="C464" s="65"/>
      <c r="D464" s="76"/>
      <c r="E464" s="74"/>
      <c r="F464" s="76"/>
      <c r="G464" s="65"/>
      <c r="H464" s="65"/>
      <c r="I464" s="65"/>
    </row>
    <row r="465">
      <c r="A465" s="4">
        <v>463.0</v>
      </c>
      <c r="B465" s="33" t="str">
        <f>if(isblank(C465),,if(C465="wjv",vlookup(ceiling(E465),Class!$J$2:$K$501,2,true),if(C465="w",vlookup(ceiling(E465),Class!$G$2:$H$501,2,true),if(C465="jv",vlookup(ceiling(E465),Class!$A$2:$B$501,2,true),vlookup(ceiling(E465),Class!$D$2:$E$501,2,true)))))</f>
        <v/>
      </c>
      <c r="C465" s="65"/>
      <c r="D465" s="76"/>
      <c r="E465" s="74"/>
      <c r="F465" s="76"/>
      <c r="G465" s="65"/>
      <c r="H465" s="65"/>
      <c r="I465" s="65"/>
    </row>
    <row r="466">
      <c r="A466" s="4">
        <v>464.0</v>
      </c>
      <c r="B466" s="33" t="str">
        <f>if(isblank(C466),,if(C466="wjv",vlookup(ceiling(E466),Class!$J$2:$K$501,2,true),if(C466="w",vlookup(ceiling(E466),Class!$G$2:$H$501,2,true),if(C466="jv",vlookup(ceiling(E466),Class!$A$2:$B$501,2,true),vlookup(ceiling(E466),Class!$D$2:$E$501,2,true)))))</f>
        <v/>
      </c>
      <c r="C466" s="65"/>
      <c r="D466" s="76"/>
      <c r="E466" s="74"/>
      <c r="F466" s="76"/>
      <c r="G466" s="65"/>
      <c r="H466" s="65"/>
      <c r="I466" s="65"/>
    </row>
    <row r="467">
      <c r="A467" s="4">
        <v>465.0</v>
      </c>
      <c r="B467" s="33" t="str">
        <f>if(isblank(C467),,if(C467="wjv",vlookup(ceiling(E467),Class!$J$2:$K$501,2,true),if(C467="w",vlookup(ceiling(E467),Class!$G$2:$H$501,2,true),if(C467="jv",vlookup(ceiling(E467),Class!$A$2:$B$501,2,true),vlookup(ceiling(E467),Class!$D$2:$E$501,2,true)))))</f>
        <v/>
      </c>
      <c r="C467" s="65"/>
      <c r="D467" s="76"/>
      <c r="E467" s="74"/>
      <c r="F467" s="76"/>
      <c r="G467" s="65"/>
      <c r="H467" s="65"/>
      <c r="I467" s="65"/>
    </row>
    <row r="468">
      <c r="A468" s="4">
        <v>466.0</v>
      </c>
      <c r="B468" s="33" t="str">
        <f>if(isblank(C468),,if(C468="wjv",vlookup(ceiling(E468),Class!$J$2:$K$501,2,true),if(C468="w",vlookup(ceiling(E468),Class!$G$2:$H$501,2,true),if(C468="jv",vlookup(ceiling(E468),Class!$A$2:$B$501,2,true),vlookup(ceiling(E468),Class!$D$2:$E$501,2,true)))))</f>
        <v/>
      </c>
      <c r="C468" s="65"/>
      <c r="D468" s="76"/>
      <c r="E468" s="74"/>
      <c r="F468" s="76"/>
      <c r="G468" s="65"/>
      <c r="H468" s="65"/>
      <c r="I468" s="65"/>
    </row>
    <row r="469">
      <c r="A469" s="4">
        <v>467.0</v>
      </c>
      <c r="B469" s="33" t="str">
        <f>if(isblank(C469),,if(C469="wjv",vlookup(ceiling(E469),Class!$J$2:$K$501,2,true),if(C469="w",vlookup(ceiling(E469),Class!$G$2:$H$501,2,true),if(C469="jv",vlookup(ceiling(E469),Class!$A$2:$B$501,2,true),vlookup(ceiling(E469),Class!$D$2:$E$501,2,true)))))</f>
        <v/>
      </c>
      <c r="C469" s="65"/>
      <c r="D469" s="76"/>
      <c r="E469" s="74"/>
      <c r="F469" s="76"/>
      <c r="G469" s="65"/>
      <c r="H469" s="65"/>
      <c r="I469" s="65"/>
    </row>
    <row r="470">
      <c r="A470" s="4">
        <v>468.0</v>
      </c>
      <c r="B470" s="33" t="str">
        <f>if(isblank(C470),,if(C470="wjv",vlookup(ceiling(E470),Class!$J$2:$K$501,2,true),if(C470="w",vlookup(ceiling(E470),Class!$G$2:$H$501,2,true),if(C470="jv",vlookup(ceiling(E470),Class!$A$2:$B$501,2,true),vlookup(ceiling(E470),Class!$D$2:$E$501,2,true)))))</f>
        <v/>
      </c>
      <c r="C470" s="65"/>
      <c r="D470" s="76"/>
      <c r="E470" s="74"/>
      <c r="F470" s="76"/>
      <c r="G470" s="65"/>
      <c r="H470" s="65"/>
      <c r="I470" s="65"/>
    </row>
    <row r="471">
      <c r="A471" s="4">
        <v>469.0</v>
      </c>
      <c r="B471" s="33" t="str">
        <f>if(isblank(C471),,if(C471="wjv",vlookup(ceiling(E471),Class!$J$2:$K$501,2,true),if(C471="w",vlookup(ceiling(E471),Class!$G$2:$H$501,2,true),if(C471="jv",vlookup(ceiling(E471),Class!$A$2:$B$501,2,true),vlookup(ceiling(E471),Class!$D$2:$E$501,2,true)))))</f>
        <v/>
      </c>
      <c r="C471" s="65"/>
      <c r="D471" s="76"/>
      <c r="E471" s="74"/>
      <c r="F471" s="76"/>
      <c r="G471" s="65"/>
      <c r="H471" s="65"/>
      <c r="I471" s="65"/>
    </row>
    <row r="472">
      <c r="A472" s="4">
        <v>470.0</v>
      </c>
      <c r="B472" s="33" t="str">
        <f>if(isblank(C472),,if(C472="wjv",vlookup(ceiling(E472),Class!$J$2:$K$501,2,true),if(C472="w",vlookup(ceiling(E472),Class!$G$2:$H$501,2,true),if(C472="jv",vlookup(ceiling(E472),Class!$A$2:$B$501,2,true),vlookup(ceiling(E472),Class!$D$2:$E$501,2,true)))))</f>
        <v/>
      </c>
      <c r="C472" s="65"/>
      <c r="D472" s="76"/>
      <c r="E472" s="74"/>
      <c r="F472" s="76"/>
      <c r="G472" s="65"/>
      <c r="H472" s="65"/>
      <c r="I472" s="65"/>
    </row>
    <row r="473">
      <c r="A473" s="4">
        <v>471.0</v>
      </c>
      <c r="B473" s="33" t="str">
        <f>if(isblank(C473),,if(C473="wjv",vlookup(ceiling(E473),Class!$J$2:$K$501,2,true),if(C473="w",vlookup(ceiling(E473),Class!$G$2:$H$501,2,true),if(C473="jv",vlookup(ceiling(E473),Class!$A$2:$B$501,2,true),vlookup(ceiling(E473),Class!$D$2:$E$501,2,true)))))</f>
        <v/>
      </c>
      <c r="C473" s="65"/>
      <c r="D473" s="76"/>
      <c r="E473" s="74"/>
      <c r="F473" s="76"/>
      <c r="G473" s="65"/>
      <c r="H473" s="65"/>
      <c r="I473" s="65"/>
    </row>
    <row r="474">
      <c r="A474" s="4">
        <v>472.0</v>
      </c>
      <c r="B474" s="33" t="str">
        <f>if(isblank(C474),,if(C474="wjv",vlookup(ceiling(E474),Class!$J$2:$K$501,2,true),if(C474="w",vlookup(ceiling(E474),Class!$G$2:$H$501,2,true),if(C474="jv",vlookup(ceiling(E474),Class!$A$2:$B$501,2,true),vlookup(ceiling(E474),Class!$D$2:$E$501,2,true)))))</f>
        <v/>
      </c>
      <c r="C474" s="65"/>
      <c r="D474" s="76"/>
      <c r="E474" s="74"/>
      <c r="F474" s="76"/>
      <c r="G474" s="65"/>
      <c r="H474" s="65"/>
      <c r="I474" s="65"/>
    </row>
    <row r="475">
      <c r="A475" s="4">
        <v>473.0</v>
      </c>
      <c r="B475" s="33" t="str">
        <f>if(isblank(C475),,if(C475="wjv",vlookup(ceiling(E475),Class!$J$2:$K$501,2,true),if(C475="w",vlookup(ceiling(E475),Class!$G$2:$H$501,2,true),if(C475="jv",vlookup(ceiling(E475),Class!$A$2:$B$501,2,true),vlookup(ceiling(E475),Class!$D$2:$E$501,2,true)))))</f>
        <v/>
      </c>
      <c r="C475" s="65"/>
      <c r="D475" s="76"/>
      <c r="E475" s="74"/>
      <c r="F475" s="76"/>
      <c r="G475" s="65"/>
      <c r="H475" s="65"/>
      <c r="I475" s="65"/>
    </row>
    <row r="476">
      <c r="A476" s="4">
        <v>474.0</v>
      </c>
      <c r="B476" s="33" t="str">
        <f>if(isblank(C476),,if(C476="wjv",vlookup(ceiling(E476),Class!$J$2:$K$501,2,true),if(C476="w",vlookup(ceiling(E476),Class!$G$2:$H$501,2,true),if(C476="jv",vlookup(ceiling(E476),Class!$A$2:$B$501,2,true),vlookup(ceiling(E476),Class!$D$2:$E$501,2,true)))))</f>
        <v/>
      </c>
      <c r="C476" s="65"/>
      <c r="D476" s="76"/>
      <c r="E476" s="74"/>
      <c r="F476" s="76"/>
      <c r="G476" s="65"/>
      <c r="H476" s="65"/>
      <c r="I476" s="65"/>
    </row>
    <row r="477">
      <c r="A477" s="4">
        <v>475.0</v>
      </c>
      <c r="B477" s="33" t="str">
        <f>if(isblank(C477),,if(C477="wjv",vlookup(ceiling(E477),Class!$J$2:$K$501,2,true),if(C477="w",vlookup(ceiling(E477),Class!$G$2:$H$501,2,true),if(C477="jv",vlookup(ceiling(E477),Class!$A$2:$B$501,2,true),vlookup(ceiling(E477),Class!$D$2:$E$501,2,true)))))</f>
        <v/>
      </c>
      <c r="C477" s="65"/>
      <c r="D477" s="76"/>
      <c r="E477" s="74"/>
      <c r="F477" s="76"/>
      <c r="G477" s="65"/>
      <c r="H477" s="65"/>
      <c r="I477" s="65"/>
    </row>
    <row r="478">
      <c r="A478" s="4">
        <v>476.0</v>
      </c>
      <c r="B478" s="33" t="str">
        <f>if(isblank(C478),,if(C478="wjv",vlookup(ceiling(E478),Class!$J$2:$K$501,2,true),if(C478="w",vlookup(ceiling(E478),Class!$G$2:$H$501,2,true),if(C478="jv",vlookup(ceiling(E478),Class!$A$2:$B$501,2,true),vlookup(ceiling(E478),Class!$D$2:$E$501,2,true)))))</f>
        <v/>
      </c>
      <c r="C478" s="65"/>
      <c r="D478" s="76"/>
      <c r="E478" s="74"/>
      <c r="F478" s="76"/>
      <c r="G478" s="65"/>
      <c r="H478" s="65"/>
      <c r="I478" s="65"/>
    </row>
    <row r="479">
      <c r="A479" s="4">
        <v>477.0</v>
      </c>
      <c r="B479" s="33" t="str">
        <f>if(isblank(C479),,if(C479="wjv",vlookup(ceiling(E479),Class!$J$2:$K$501,2,true),if(C479="w",vlookup(ceiling(E479),Class!$G$2:$H$501,2,true),if(C479="jv",vlookup(ceiling(E479),Class!$A$2:$B$501,2,true),vlookup(ceiling(E479),Class!$D$2:$E$501,2,true)))))</f>
        <v/>
      </c>
      <c r="C479" s="65"/>
      <c r="D479" s="76"/>
      <c r="E479" s="74"/>
      <c r="F479" s="76"/>
      <c r="G479" s="65"/>
      <c r="H479" s="65"/>
      <c r="I479" s="65"/>
    </row>
    <row r="480">
      <c r="A480" s="4">
        <v>478.0</v>
      </c>
      <c r="B480" s="33" t="str">
        <f>if(isblank(C480),,if(C480="wjv",vlookup(ceiling(E480),Class!$J$2:$K$501,2,true),if(C480="w",vlookup(ceiling(E480),Class!$G$2:$H$501,2,true),if(C480="jv",vlookup(ceiling(E480),Class!$A$2:$B$501,2,true),vlookup(ceiling(E480),Class!$D$2:$E$501,2,true)))))</f>
        <v/>
      </c>
      <c r="C480" s="65"/>
      <c r="D480" s="76"/>
      <c r="E480" s="74"/>
      <c r="F480" s="76"/>
      <c r="G480" s="65"/>
      <c r="H480" s="65"/>
      <c r="I480" s="65"/>
    </row>
    <row r="481">
      <c r="A481" s="4">
        <v>479.0</v>
      </c>
      <c r="B481" s="33" t="str">
        <f>if(isblank(C481),,if(C481="wjv",vlookup(ceiling(E481),Class!$J$2:$K$501,2,true),if(C481="w",vlookup(ceiling(E481),Class!$G$2:$H$501,2,true),if(C481="jv",vlookup(ceiling(E481),Class!$A$2:$B$501,2,true),vlookup(ceiling(E481),Class!$D$2:$E$501,2,true)))))</f>
        <v/>
      </c>
      <c r="C481" s="65"/>
      <c r="D481" s="76"/>
      <c r="E481" s="74"/>
      <c r="F481" s="76"/>
      <c r="G481" s="65"/>
      <c r="H481" s="65"/>
      <c r="I481" s="65"/>
    </row>
    <row r="482">
      <c r="A482" s="4">
        <v>480.0</v>
      </c>
      <c r="B482" s="33" t="str">
        <f>if(isblank(C482),,if(C482="wjv",vlookup(ceiling(E482),Class!$J$2:$K$501,2,true),if(C482="w",vlookup(ceiling(E482),Class!$G$2:$H$501,2,true),if(C482="jv",vlookup(ceiling(E482),Class!$A$2:$B$501,2,true),vlookup(ceiling(E482),Class!$D$2:$E$501,2,true)))))</f>
        <v/>
      </c>
      <c r="C482" s="65"/>
      <c r="D482" s="76"/>
      <c r="E482" s="74"/>
      <c r="F482" s="76"/>
      <c r="G482" s="65"/>
      <c r="H482" s="65"/>
      <c r="I482" s="65"/>
    </row>
    <row r="483">
      <c r="A483" s="4">
        <v>481.0</v>
      </c>
      <c r="B483" s="33" t="str">
        <f>if(isblank(C483),,if(C483="wjv",vlookup(ceiling(E483),Class!$J$2:$K$501,2,true),if(C483="w",vlookup(ceiling(E483),Class!$G$2:$H$501,2,true),if(C483="jv",vlookup(ceiling(E483),Class!$A$2:$B$501,2,true),vlookup(ceiling(E483),Class!$D$2:$E$501,2,true)))))</f>
        <v/>
      </c>
      <c r="C483" s="65"/>
      <c r="D483" s="76"/>
      <c r="E483" s="74"/>
      <c r="F483" s="76"/>
      <c r="G483" s="65"/>
      <c r="H483" s="65"/>
      <c r="I483" s="65"/>
    </row>
    <row r="484">
      <c r="A484" s="4">
        <v>482.0</v>
      </c>
      <c r="B484" s="33" t="str">
        <f>if(isblank(C484),,if(C484="wjv",vlookup(ceiling(E484),Class!$J$2:$K$501,2,true),if(C484="w",vlookup(ceiling(E484),Class!$G$2:$H$501,2,true),if(C484="jv",vlookup(ceiling(E484),Class!$A$2:$B$501,2,true),vlookup(ceiling(E484),Class!$D$2:$E$501,2,true)))))</f>
        <v/>
      </c>
      <c r="C484" s="65"/>
      <c r="D484" s="76"/>
      <c r="E484" s="74"/>
      <c r="F484" s="76"/>
      <c r="G484" s="65"/>
      <c r="H484" s="65"/>
      <c r="I484" s="65"/>
    </row>
    <row r="485">
      <c r="A485" s="4">
        <v>483.0</v>
      </c>
      <c r="B485" s="33" t="str">
        <f>if(isblank(C485),,if(C485="wjv",vlookup(ceiling(E485),Class!$J$2:$K$501,2,true),if(C485="w",vlookup(ceiling(E485),Class!$G$2:$H$501,2,true),if(C485="jv",vlookup(ceiling(E485),Class!$A$2:$B$501,2,true),vlookup(ceiling(E485),Class!$D$2:$E$501,2,true)))))</f>
        <v/>
      </c>
      <c r="C485" s="65"/>
      <c r="D485" s="76"/>
      <c r="E485" s="74"/>
      <c r="F485" s="76"/>
      <c r="G485" s="65"/>
      <c r="H485" s="65"/>
      <c r="I485" s="65"/>
    </row>
    <row r="486">
      <c r="A486" s="4">
        <v>484.0</v>
      </c>
      <c r="B486" s="33" t="str">
        <f>if(isblank(C486),,if(C486="wjv",vlookup(ceiling(E486),Class!$J$2:$K$501,2,true),if(C486="w",vlookup(ceiling(E486),Class!$G$2:$H$501,2,true),if(C486="jv",vlookup(ceiling(E486),Class!$A$2:$B$501,2,true),vlookup(ceiling(E486),Class!$D$2:$E$501,2,true)))))</f>
        <v/>
      </c>
      <c r="C486" s="65"/>
      <c r="D486" s="76"/>
      <c r="E486" s="74"/>
      <c r="F486" s="76"/>
      <c r="G486" s="65"/>
      <c r="H486" s="65"/>
      <c r="I486" s="65"/>
    </row>
    <row r="487">
      <c r="A487" s="4">
        <v>485.0</v>
      </c>
      <c r="B487" s="33" t="str">
        <f>if(isblank(C487),,if(C487="wjv",vlookup(ceiling(E487),Class!$J$2:$K$501,2,true),if(C487="w",vlookup(ceiling(E487),Class!$G$2:$H$501,2,true),if(C487="jv",vlookup(ceiling(E487),Class!$A$2:$B$501,2,true),vlookup(ceiling(E487),Class!$D$2:$E$501,2,true)))))</f>
        <v/>
      </c>
      <c r="C487" s="65"/>
      <c r="D487" s="76"/>
      <c r="E487" s="74"/>
      <c r="F487" s="76"/>
      <c r="G487" s="65"/>
      <c r="H487" s="65"/>
      <c r="I487" s="65"/>
    </row>
    <row r="488">
      <c r="A488" s="4">
        <v>486.0</v>
      </c>
      <c r="B488" s="33" t="str">
        <f>if(isblank(C488),,if(C488="wjv",vlookup(ceiling(E488),Class!$J$2:$K$501,2,true),if(C488="w",vlookup(ceiling(E488),Class!$G$2:$H$501,2,true),if(C488="jv",vlookup(ceiling(E488),Class!$A$2:$B$501,2,true),vlookup(ceiling(E488),Class!$D$2:$E$501,2,true)))))</f>
        <v/>
      </c>
      <c r="C488" s="65"/>
      <c r="D488" s="76"/>
      <c r="E488" s="74"/>
      <c r="F488" s="76"/>
      <c r="G488" s="65"/>
      <c r="H488" s="65"/>
      <c r="I488" s="65"/>
    </row>
    <row r="489">
      <c r="A489" s="4">
        <v>487.0</v>
      </c>
      <c r="B489" s="33" t="str">
        <f>if(isblank(C489),,if(C489="wjv",vlookup(ceiling(E489),Class!$J$2:$K$501,2,true),if(C489="w",vlookup(ceiling(E489),Class!$G$2:$H$501,2,true),if(C489="jv",vlookup(ceiling(E489),Class!$A$2:$B$501,2,true),vlookup(ceiling(E489),Class!$D$2:$E$501,2,true)))))</f>
        <v/>
      </c>
      <c r="C489" s="65"/>
      <c r="D489" s="76"/>
      <c r="E489" s="74"/>
      <c r="F489" s="76"/>
      <c r="G489" s="65"/>
      <c r="H489" s="65"/>
      <c r="I489" s="65"/>
    </row>
    <row r="490">
      <c r="A490" s="4">
        <v>488.0</v>
      </c>
      <c r="B490" s="33" t="str">
        <f>if(isblank(C490),,if(C490="wjv",vlookup(ceiling(E490),Class!$J$2:$K$501,2,true),if(C490="w",vlookup(ceiling(E490),Class!$G$2:$H$501,2,true),if(C490="jv",vlookup(ceiling(E490),Class!$A$2:$B$501,2,true),vlookup(ceiling(E490),Class!$D$2:$E$501,2,true)))))</f>
        <v/>
      </c>
      <c r="C490" s="65"/>
      <c r="D490" s="76"/>
      <c r="E490" s="74"/>
      <c r="F490" s="76"/>
      <c r="G490" s="65"/>
      <c r="H490" s="65"/>
      <c r="I490" s="65"/>
    </row>
    <row r="491">
      <c r="A491" s="4">
        <v>489.0</v>
      </c>
      <c r="B491" s="33" t="str">
        <f>if(isblank(C491),,if(C491="wjv",vlookup(ceiling(E491),Class!$J$2:$K$501,2,true),if(C491="w",vlookup(ceiling(E491),Class!$G$2:$H$501,2,true),if(C491="jv",vlookup(ceiling(E491),Class!$A$2:$B$501,2,true),vlookup(ceiling(E491),Class!$D$2:$E$501,2,true)))))</f>
        <v/>
      </c>
      <c r="C491" s="65"/>
      <c r="D491" s="76"/>
      <c r="E491" s="74"/>
      <c r="F491" s="76"/>
      <c r="G491" s="65"/>
      <c r="H491" s="65"/>
      <c r="I491" s="65"/>
    </row>
    <row r="492">
      <c r="A492" s="4">
        <v>490.0</v>
      </c>
      <c r="B492" s="33" t="str">
        <f>if(isblank(C492),,if(C492="wjv",vlookup(ceiling(E492),Class!$J$2:$K$501,2,true),if(C492="w",vlookup(ceiling(E492),Class!$G$2:$H$501,2,true),if(C492="jv",vlookup(ceiling(E492),Class!$A$2:$B$501,2,true),vlookup(ceiling(E492),Class!$D$2:$E$501,2,true)))))</f>
        <v/>
      </c>
      <c r="C492" s="65"/>
      <c r="D492" s="76"/>
      <c r="E492" s="74"/>
      <c r="F492" s="76"/>
      <c r="G492" s="65"/>
      <c r="H492" s="65"/>
      <c r="I492" s="65"/>
    </row>
    <row r="493">
      <c r="A493" s="4">
        <v>491.0</v>
      </c>
      <c r="B493" s="33" t="str">
        <f>if(isblank(C493),,if(C493="wjv",vlookup(ceiling(E493),Class!$J$2:$K$501,2,true),if(C493="w",vlookup(ceiling(E493),Class!$G$2:$H$501,2,true),if(C493="jv",vlookup(ceiling(E493),Class!$A$2:$B$501,2,true),vlookup(ceiling(E493),Class!$D$2:$E$501,2,true)))))</f>
        <v/>
      </c>
      <c r="C493" s="65"/>
      <c r="D493" s="76"/>
      <c r="E493" s="74"/>
      <c r="F493" s="76"/>
      <c r="G493" s="65"/>
      <c r="H493" s="65"/>
      <c r="I493" s="65"/>
    </row>
    <row r="494">
      <c r="A494" s="4">
        <v>492.0</v>
      </c>
      <c r="B494" s="33" t="str">
        <f>if(isblank(C494),,if(C494="wjv",vlookup(ceiling(E494),Class!$J$2:$K$501,2,true),if(C494="w",vlookup(ceiling(E494),Class!$G$2:$H$501,2,true),if(C494="jv",vlookup(ceiling(E494),Class!$A$2:$B$501,2,true),vlookup(ceiling(E494),Class!$D$2:$E$501,2,true)))))</f>
        <v/>
      </c>
      <c r="C494" s="65"/>
      <c r="D494" s="76"/>
      <c r="E494" s="74"/>
      <c r="F494" s="76"/>
      <c r="G494" s="65"/>
      <c r="H494" s="65"/>
      <c r="I494" s="65"/>
    </row>
    <row r="495">
      <c r="A495" s="4">
        <v>493.0</v>
      </c>
      <c r="B495" s="33" t="str">
        <f>if(isblank(C495),,if(C495="wjv",vlookup(ceiling(E495),Class!$J$2:$K$501,2,true),if(C495="w",vlookup(ceiling(E495),Class!$G$2:$H$501,2,true),if(C495="jv",vlookup(ceiling(E495),Class!$A$2:$B$501,2,true),vlookup(ceiling(E495),Class!$D$2:$E$501,2,true)))))</f>
        <v/>
      </c>
      <c r="C495" s="65"/>
      <c r="D495" s="76"/>
      <c r="E495" s="74"/>
      <c r="F495" s="76"/>
      <c r="G495" s="65"/>
      <c r="H495" s="65"/>
      <c r="I495" s="65"/>
    </row>
    <row r="496">
      <c r="A496" s="4">
        <v>494.0</v>
      </c>
      <c r="B496" s="33" t="str">
        <f>if(isblank(C496),,if(C496="wjv",vlookup(ceiling(E496),Class!$J$2:$K$501,2,true),if(C496="w",vlookup(ceiling(E496),Class!$G$2:$H$501,2,true),if(C496="jv",vlookup(ceiling(E496),Class!$A$2:$B$501,2,true),vlookup(ceiling(E496),Class!$D$2:$E$501,2,true)))))</f>
        <v/>
      </c>
      <c r="C496" s="65"/>
      <c r="D496" s="76"/>
      <c r="E496" s="74"/>
      <c r="F496" s="76"/>
      <c r="G496" s="65"/>
      <c r="H496" s="65"/>
      <c r="I496" s="65"/>
    </row>
    <row r="497">
      <c r="A497" s="4">
        <v>495.0</v>
      </c>
      <c r="B497" s="33" t="str">
        <f>if(isblank(C497),,if(C497="wjv",vlookup(ceiling(E497),Class!$J$2:$K$501,2,true),if(C497="w",vlookup(ceiling(E497),Class!$G$2:$H$501,2,true),if(C497="jv",vlookup(ceiling(E497),Class!$A$2:$B$501,2,true),vlookup(ceiling(E497),Class!$D$2:$E$501,2,true)))))</f>
        <v/>
      </c>
      <c r="C497" s="65"/>
      <c r="D497" s="76"/>
      <c r="E497" s="74"/>
      <c r="F497" s="76"/>
      <c r="G497" s="65"/>
      <c r="H497" s="65"/>
      <c r="I497" s="65"/>
    </row>
    <row r="498">
      <c r="A498" s="4">
        <v>496.0</v>
      </c>
      <c r="B498" s="33" t="str">
        <f>if(isblank(C498),,if(C498="wjv",vlookup(ceiling(E498),Class!$J$2:$K$501,2,true),if(C498="w",vlookup(ceiling(E498),Class!$G$2:$H$501,2,true),if(C498="jv",vlookup(ceiling(E498),Class!$A$2:$B$501,2,true),vlookup(ceiling(E498),Class!$D$2:$E$501,2,true)))))</f>
        <v/>
      </c>
      <c r="C498" s="65"/>
      <c r="D498" s="76"/>
      <c r="E498" s="74"/>
      <c r="F498" s="76"/>
      <c r="G498" s="65"/>
      <c r="H498" s="65"/>
      <c r="I498" s="65"/>
    </row>
    <row r="499">
      <c r="A499" s="4">
        <v>497.0</v>
      </c>
      <c r="B499" s="33" t="str">
        <f>if(isblank(C499),,if(C499="wjv",vlookup(ceiling(E499),Class!$J$2:$K$501,2,true),if(C499="w",vlookup(ceiling(E499),Class!$G$2:$H$501,2,true),if(C499="jv",vlookup(ceiling(E499),Class!$A$2:$B$501,2,true),vlookup(ceiling(E499),Class!$D$2:$E$501,2,true)))))</f>
        <v/>
      </c>
      <c r="C499" s="65"/>
      <c r="D499" s="76"/>
      <c r="E499" s="74"/>
      <c r="F499" s="76"/>
      <c r="G499" s="65"/>
      <c r="H499" s="65"/>
      <c r="I499" s="65"/>
    </row>
    <row r="500">
      <c r="A500" s="4">
        <v>498.0</v>
      </c>
      <c r="B500" s="33" t="str">
        <f>if(isblank(C500),,if(C500="wjv",vlookup(ceiling(E500),Class!$J$2:$K$501,2,true),if(C500="w",vlookup(ceiling(E500),Class!$G$2:$H$501,2,true),if(C500="jv",vlookup(ceiling(E500),Class!$A$2:$B$501,2,true),vlookup(ceiling(E500),Class!$D$2:$E$501,2,true)))))</f>
        <v/>
      </c>
      <c r="C500" s="65"/>
      <c r="D500" s="76"/>
      <c r="E500" s="74"/>
      <c r="F500" s="76"/>
      <c r="G500" s="65"/>
      <c r="H500" s="65"/>
      <c r="I500" s="65"/>
    </row>
    <row r="501">
      <c r="A501" s="4">
        <v>499.0</v>
      </c>
      <c r="B501" s="33" t="str">
        <f>if(isblank(C501),,if(C501="wjv",vlookup(ceiling(E501),Class!$J$2:$K$501,2,true),if(C501="w",vlookup(ceiling(E501),Class!$G$2:$H$501,2,true),if(C501="jv",vlookup(ceiling(E501),Class!$A$2:$B$501,2,true),vlookup(ceiling(E501),Class!$D$2:$E$501,2,true)))))</f>
        <v/>
      </c>
      <c r="C501" s="65"/>
      <c r="D501" s="76"/>
      <c r="E501" s="74"/>
      <c r="F501" s="76"/>
      <c r="G501" s="65"/>
      <c r="H501" s="65"/>
      <c r="I501" s="65"/>
    </row>
    <row r="502">
      <c r="A502" s="4">
        <v>500.0</v>
      </c>
      <c r="B502" s="33" t="str">
        <f>if(isblank(C502),,if(C502="wjv",vlookup(ceiling(E502),Class!$J$2:$K$501,2,true),if(C502="w",vlookup(ceiling(E502),Class!$G$2:$H$501,2,true),if(C502="jv",vlookup(ceiling(E502),Class!$A$2:$B$501,2,true),vlookup(ceiling(E502),Class!$D$2:$E$501,2,true)))))</f>
        <v/>
      </c>
      <c r="C502" s="65"/>
      <c r="D502" s="76"/>
      <c r="E502" s="74"/>
      <c r="F502" s="76"/>
      <c r="G502" s="65"/>
      <c r="H502" s="65"/>
      <c r="I502" s="65"/>
    </row>
    <row r="503">
      <c r="A503" s="4">
        <v>501.0</v>
      </c>
      <c r="B503" s="33" t="str">
        <f>if(isblank(C503),,if(C503="wjv",vlookup(ceiling(E503),Class!$J$2:$K$501,2,true),if(C503="w",vlookup(ceiling(E503),Class!$G$2:$H$501,2,true),if(C503="jv",vlookup(ceiling(E503),Class!$A$2:$B$501,2,true),vlookup(ceiling(E503),Class!$D$2:$E$501,2,true)))))</f>
        <v/>
      </c>
      <c r="C503" s="65"/>
      <c r="D503" s="76"/>
      <c r="E503" s="74"/>
      <c r="F503" s="76"/>
      <c r="G503" s="65"/>
      <c r="H503" s="65"/>
      <c r="I503" s="65"/>
    </row>
    <row r="504">
      <c r="A504" s="4">
        <v>502.0</v>
      </c>
      <c r="B504" s="33" t="str">
        <f>if(isblank(C504),,if(C504="wjv",vlookup(ceiling(E504),Class!$J$2:$K$501,2,true),if(C504="w",vlookup(ceiling(E504),Class!$G$2:$H$501,2,true),if(C504="jv",vlookup(ceiling(E504),Class!$A$2:$B$501,2,true),vlookup(ceiling(E504),Class!$D$2:$E$501,2,true)))))</f>
        <v/>
      </c>
      <c r="C504" s="65"/>
      <c r="D504" s="76"/>
      <c r="E504" s="74"/>
      <c r="F504" s="76"/>
      <c r="G504" s="65"/>
      <c r="H504" s="65"/>
      <c r="I504" s="65"/>
    </row>
    <row r="505">
      <c r="A505" s="4">
        <v>503.0</v>
      </c>
      <c r="B505" s="33" t="str">
        <f>if(isblank(C505),,if(C505="wjv",vlookup(ceiling(E505),Class!$J$2:$K$501,2,true),if(C505="w",vlookup(ceiling(E505),Class!$G$2:$H$501,2,true),if(C505="jv",vlookup(ceiling(E505),Class!$A$2:$B$501,2,true),vlookup(ceiling(E505),Class!$D$2:$E$501,2,true)))))</f>
        <v/>
      </c>
      <c r="C505" s="65"/>
      <c r="D505" s="76"/>
      <c r="E505" s="74"/>
      <c r="F505" s="76"/>
      <c r="G505" s="65"/>
      <c r="H505" s="65"/>
      <c r="I505" s="65"/>
    </row>
    <row r="506">
      <c r="A506" s="4">
        <v>504.0</v>
      </c>
      <c r="B506" s="33" t="str">
        <f>if(isblank(C506),,if(C506="wjv",vlookup(ceiling(E506),Class!$J$2:$K$501,2,true),if(C506="w",vlookup(ceiling(E506),Class!$G$2:$H$501,2,true),if(C506="jv",vlookup(ceiling(E506),Class!$A$2:$B$501,2,true),vlookup(ceiling(E506),Class!$D$2:$E$501,2,true)))))</f>
        <v/>
      </c>
      <c r="C506" s="65"/>
      <c r="D506" s="76"/>
      <c r="E506" s="74"/>
      <c r="F506" s="76"/>
      <c r="G506" s="65"/>
      <c r="H506" s="65"/>
      <c r="I506" s="65"/>
    </row>
    <row r="507">
      <c r="A507" s="4">
        <v>505.0</v>
      </c>
      <c r="B507" s="33" t="str">
        <f>if(isblank(C507),,if(C507="wjv",vlookup(ceiling(E507),Class!$J$2:$K$501,2,true),if(C507="w",vlookup(ceiling(E507),Class!$G$2:$H$501,2,true),if(C507="jv",vlookup(ceiling(E507),Class!$A$2:$B$501,2,true),vlookup(ceiling(E507),Class!$D$2:$E$501,2,true)))))</f>
        <v/>
      </c>
      <c r="C507" s="65"/>
      <c r="D507" s="76"/>
      <c r="E507" s="74"/>
      <c r="F507" s="76"/>
      <c r="G507" s="65"/>
      <c r="H507" s="65"/>
      <c r="I507" s="65"/>
    </row>
    <row r="508">
      <c r="A508" s="4">
        <v>506.0</v>
      </c>
      <c r="B508" s="33" t="str">
        <f>if(isblank(C508),,if(C508="wjv",vlookup(ceiling(E508),Class!$J$2:$K$501,2,true),if(C508="w",vlookup(ceiling(E508),Class!$G$2:$H$501,2,true),if(C508="jv",vlookup(ceiling(E508),Class!$A$2:$B$501,2,true),vlookup(ceiling(E508),Class!$D$2:$E$501,2,true)))))</f>
        <v/>
      </c>
      <c r="C508" s="65"/>
      <c r="D508" s="76"/>
      <c r="E508" s="74"/>
      <c r="F508" s="76"/>
      <c r="G508" s="65"/>
      <c r="H508" s="65"/>
      <c r="I508" s="65"/>
    </row>
    <row r="509">
      <c r="A509" s="4">
        <v>507.0</v>
      </c>
      <c r="B509" s="33" t="str">
        <f>if(isblank(C509),,if(C509="wjv",vlookup(ceiling(E509),Class!$J$2:$K$501,2,true),if(C509="w",vlookup(ceiling(E509),Class!$G$2:$H$501,2,true),if(C509="jv",vlookup(ceiling(E509),Class!$A$2:$B$501,2,true),vlookup(ceiling(E509),Class!$D$2:$E$501,2,true)))))</f>
        <v/>
      </c>
      <c r="C509" s="65"/>
      <c r="D509" s="76"/>
      <c r="E509" s="74"/>
      <c r="F509" s="76"/>
      <c r="G509" s="65"/>
      <c r="H509" s="65"/>
      <c r="I509" s="65"/>
    </row>
    <row r="510">
      <c r="A510" s="4">
        <v>508.0</v>
      </c>
      <c r="B510" s="33" t="str">
        <f>if(isblank(C510),,if(C510="wjv",vlookup(ceiling(E510),Class!$J$2:$K$501,2,true),if(C510="w",vlookup(ceiling(E510),Class!$G$2:$H$501,2,true),if(C510="jv",vlookup(ceiling(E510),Class!$A$2:$B$501,2,true),vlookup(ceiling(E510),Class!$D$2:$E$501,2,true)))))</f>
        <v/>
      </c>
      <c r="C510" s="65"/>
      <c r="D510" s="76"/>
      <c r="E510" s="74"/>
      <c r="F510" s="76"/>
      <c r="G510" s="65"/>
      <c r="H510" s="65"/>
      <c r="I510" s="65"/>
    </row>
    <row r="511">
      <c r="A511" s="4">
        <v>509.0</v>
      </c>
      <c r="B511" s="33" t="str">
        <f>if(isblank(C511),,if(C511="wjv",vlookup(ceiling(E511),Class!$J$2:$K$501,2,true),if(C511="w",vlookup(ceiling(E511),Class!$G$2:$H$501,2,true),if(C511="jv",vlookup(ceiling(E511),Class!$A$2:$B$501,2,true),vlookup(ceiling(E511),Class!$D$2:$E$501,2,true)))))</f>
        <v/>
      </c>
      <c r="C511" s="65"/>
      <c r="D511" s="76"/>
      <c r="E511" s="74"/>
      <c r="F511" s="76"/>
      <c r="G511" s="65"/>
      <c r="H511" s="65"/>
      <c r="I511" s="65"/>
    </row>
    <row r="512">
      <c r="A512" s="4">
        <v>510.0</v>
      </c>
      <c r="B512" s="33" t="str">
        <f>if(isblank(C512),,if(C512="wjv",vlookup(ceiling(E512),Class!$J$2:$K$501,2,true),if(C512="w",vlookup(ceiling(E512),Class!$G$2:$H$501,2,true),if(C512="jv",vlookup(ceiling(E512),Class!$A$2:$B$501,2,true),vlookup(ceiling(E512),Class!$D$2:$E$501,2,true)))))</f>
        <v/>
      </c>
      <c r="C512" s="65"/>
      <c r="D512" s="76"/>
      <c r="E512" s="74"/>
      <c r="F512" s="76"/>
      <c r="G512" s="65"/>
      <c r="H512" s="65"/>
      <c r="I512" s="65"/>
    </row>
    <row r="513">
      <c r="A513" s="4">
        <v>511.0</v>
      </c>
      <c r="B513" s="33" t="str">
        <f>if(isblank(C513),,if(C513="wjv",vlookup(ceiling(E513),Class!$J$2:$K$501,2,true),if(C513="w",vlookup(ceiling(E513),Class!$G$2:$H$501,2,true),if(C513="jv",vlookup(ceiling(E513),Class!$A$2:$B$501,2,true),vlookup(ceiling(E513),Class!$D$2:$E$501,2,true)))))</f>
        <v/>
      </c>
      <c r="C513" s="65"/>
      <c r="D513" s="76"/>
      <c r="E513" s="74"/>
      <c r="F513" s="76"/>
      <c r="G513" s="65"/>
      <c r="H513" s="65"/>
      <c r="I513" s="65"/>
    </row>
    <row r="514">
      <c r="A514" s="4">
        <v>512.0</v>
      </c>
      <c r="B514" s="33" t="str">
        <f>if(isblank(C514),,if(C514="wjv",vlookup(ceiling(E514),Class!$J$2:$K$501,2,true),if(C514="w",vlookup(ceiling(E514),Class!$G$2:$H$501,2,true),if(C514="jv",vlookup(ceiling(E514),Class!$A$2:$B$501,2,true),vlookup(ceiling(E514),Class!$D$2:$E$501,2,true)))))</f>
        <v/>
      </c>
      <c r="C514" s="65"/>
      <c r="D514" s="76"/>
      <c r="E514" s="74"/>
      <c r="F514" s="76"/>
      <c r="G514" s="65"/>
      <c r="H514" s="65"/>
      <c r="I514" s="65"/>
    </row>
    <row r="515">
      <c r="A515" s="4">
        <v>513.0</v>
      </c>
      <c r="B515" s="33" t="str">
        <f>if(isblank(C515),,if(C515="wjv",vlookup(ceiling(E515),Class!$J$2:$K$501,2,true),if(C515="w",vlookup(ceiling(E515),Class!$G$2:$H$501,2,true),if(C515="jv",vlookup(ceiling(E515),Class!$A$2:$B$501,2,true),vlookup(ceiling(E515),Class!$D$2:$E$501,2,true)))))</f>
        <v/>
      </c>
      <c r="C515" s="65"/>
      <c r="D515" s="76"/>
      <c r="E515" s="74"/>
      <c r="F515" s="76"/>
      <c r="G515" s="65"/>
      <c r="H515" s="65"/>
      <c r="I515" s="65"/>
    </row>
    <row r="516">
      <c r="A516" s="4">
        <v>514.0</v>
      </c>
      <c r="B516" s="33" t="str">
        <f>if(isblank(C516),,if(C516="wjv",vlookup(ceiling(E516),Class!$J$2:$K$501,2,true),if(C516="w",vlookup(ceiling(E516),Class!$G$2:$H$501,2,true),if(C516="jv",vlookup(ceiling(E516),Class!$A$2:$B$501,2,true),vlookup(ceiling(E516),Class!$D$2:$E$501,2,true)))))</f>
        <v/>
      </c>
      <c r="C516" s="65"/>
      <c r="D516" s="76"/>
      <c r="E516" s="74"/>
      <c r="F516" s="76"/>
      <c r="G516" s="65"/>
      <c r="H516" s="65"/>
      <c r="I516" s="65"/>
    </row>
    <row r="517">
      <c r="A517" s="4">
        <v>515.0</v>
      </c>
      <c r="B517" s="33" t="str">
        <f>if(isblank(C517),,if(C517="wjv",vlookup(ceiling(E517),Class!$J$2:$K$501,2,true),if(C517="w",vlookup(ceiling(E517),Class!$G$2:$H$501,2,true),if(C517="jv",vlookup(ceiling(E517),Class!$A$2:$B$501,2,true),vlookup(ceiling(E517),Class!$D$2:$E$501,2,true)))))</f>
        <v/>
      </c>
      <c r="C517" s="65"/>
      <c r="D517" s="76"/>
      <c r="E517" s="74"/>
      <c r="F517" s="76"/>
      <c r="G517" s="65"/>
      <c r="H517" s="65"/>
      <c r="I517" s="65"/>
    </row>
    <row r="518">
      <c r="A518" s="4">
        <v>516.0</v>
      </c>
      <c r="B518" s="33" t="str">
        <f>if(isblank(C518),,if(C518="wjv",vlookup(ceiling(E518),Class!$J$2:$K$501,2,true),if(C518="w",vlookup(ceiling(E518),Class!$G$2:$H$501,2,true),if(C518="jv",vlookup(ceiling(E518),Class!$A$2:$B$501,2,true),vlookup(ceiling(E518),Class!$D$2:$E$501,2,true)))))</f>
        <v/>
      </c>
      <c r="C518" s="65"/>
      <c r="D518" s="76"/>
      <c r="E518" s="74"/>
      <c r="F518" s="76"/>
      <c r="G518" s="65"/>
      <c r="H518" s="65"/>
      <c r="I518" s="65"/>
    </row>
    <row r="519">
      <c r="A519" s="4">
        <v>517.0</v>
      </c>
      <c r="B519" s="33" t="str">
        <f>if(isblank(C519),,if(C519="wjv",vlookup(ceiling(E519),Class!$J$2:$K$501,2,true),if(C519="w",vlookup(ceiling(E519),Class!$G$2:$H$501,2,true),if(C519="jv",vlookup(ceiling(E519),Class!$A$2:$B$501,2,true),vlookup(ceiling(E519),Class!$D$2:$E$501,2,true)))))</f>
        <v/>
      </c>
      <c r="C519" s="65"/>
      <c r="D519" s="76"/>
      <c r="E519" s="74"/>
      <c r="F519" s="76"/>
      <c r="G519" s="65"/>
      <c r="H519" s="65"/>
      <c r="I519" s="65"/>
    </row>
    <row r="520">
      <c r="A520" s="4">
        <v>518.0</v>
      </c>
      <c r="B520" s="33" t="str">
        <f>if(isblank(C520),,if(C520="wjv",vlookup(ceiling(E520),Class!$J$2:$K$501,2,true),if(C520="w",vlookup(ceiling(E520),Class!$G$2:$H$501,2,true),if(C520="jv",vlookup(ceiling(E520),Class!$A$2:$B$501,2,true),vlookup(ceiling(E520),Class!$D$2:$E$501,2,true)))))</f>
        <v/>
      </c>
      <c r="C520" s="65"/>
      <c r="D520" s="76"/>
      <c r="E520" s="74"/>
      <c r="F520" s="76"/>
      <c r="G520" s="65"/>
      <c r="H520" s="65"/>
      <c r="I520" s="65"/>
    </row>
    <row r="521">
      <c r="A521" s="4">
        <v>519.0</v>
      </c>
      <c r="B521" s="33" t="str">
        <f>if(isblank(C521),,if(C521="wjv",vlookup(ceiling(E521),Class!$J$2:$K$501,2,true),if(C521="w",vlookup(ceiling(E521),Class!$G$2:$H$501,2,true),if(C521="jv",vlookup(ceiling(E521),Class!$A$2:$B$501,2,true),vlookup(ceiling(E521),Class!$D$2:$E$501,2,true)))))</f>
        <v/>
      </c>
      <c r="C521" s="65"/>
      <c r="D521" s="76"/>
      <c r="E521" s="74"/>
      <c r="F521" s="76"/>
      <c r="G521" s="65"/>
      <c r="H521" s="65"/>
      <c r="I521" s="65"/>
    </row>
    <row r="522">
      <c r="A522" s="4">
        <v>520.0</v>
      </c>
      <c r="B522" s="33" t="str">
        <f>if(isblank(C522),,if(C522="wjv",vlookup(ceiling(E522),Class!$J$2:$K$501,2,true),if(C522="w",vlookup(ceiling(E522),Class!$G$2:$H$501,2,true),if(C522="jv",vlookup(ceiling(E522),Class!$A$2:$B$501,2,true),vlookup(ceiling(E522),Class!$D$2:$E$501,2,true)))))</f>
        <v/>
      </c>
      <c r="C522" s="65"/>
      <c r="D522" s="76"/>
      <c r="E522" s="74"/>
      <c r="F522" s="76"/>
      <c r="G522" s="65"/>
      <c r="H522" s="65"/>
      <c r="I522" s="65"/>
    </row>
    <row r="523">
      <c r="A523" s="4">
        <v>521.0</v>
      </c>
      <c r="B523" s="33" t="str">
        <f>if(isblank(C523),,if(C523="wjv",vlookup(ceiling(E523),Class!$J$2:$K$501,2,true),if(C523="w",vlookup(ceiling(E523),Class!$G$2:$H$501,2,true),if(C523="jv",vlookup(ceiling(E523),Class!$A$2:$B$501,2,true),vlookup(ceiling(E523),Class!$D$2:$E$501,2,true)))))</f>
        <v/>
      </c>
      <c r="C523" s="65"/>
      <c r="D523" s="76"/>
      <c r="E523" s="74"/>
      <c r="F523" s="76"/>
      <c r="G523" s="65"/>
      <c r="H523" s="65"/>
      <c r="I523" s="65"/>
    </row>
    <row r="524">
      <c r="A524" s="4">
        <v>522.0</v>
      </c>
      <c r="B524" s="33" t="str">
        <f>if(isblank(C524),,if(C524="wjv",vlookup(ceiling(E524),Class!$J$2:$K$501,2,true),if(C524="w",vlookup(ceiling(E524),Class!$G$2:$H$501,2,true),if(C524="jv",vlookup(ceiling(E524),Class!$A$2:$B$501,2,true),vlookup(ceiling(E524),Class!$D$2:$E$501,2,true)))))</f>
        <v/>
      </c>
      <c r="C524" s="65"/>
      <c r="D524" s="76"/>
      <c r="E524" s="74"/>
      <c r="F524" s="76"/>
      <c r="G524" s="65"/>
      <c r="H524" s="65"/>
      <c r="I524" s="65"/>
    </row>
    <row r="525">
      <c r="A525" s="4">
        <v>523.0</v>
      </c>
      <c r="B525" s="33" t="str">
        <f>if(isblank(C525),,if(C525="wjv",vlookup(ceiling(E525),Class!$J$2:$K$501,2,true),if(C525="w",vlookup(ceiling(E525),Class!$G$2:$H$501,2,true),if(C525="jv",vlookup(ceiling(E525),Class!$A$2:$B$501,2,true),vlookup(ceiling(E525),Class!$D$2:$E$501,2,true)))))</f>
        <v/>
      </c>
      <c r="C525" s="65"/>
      <c r="D525" s="76"/>
      <c r="E525" s="74"/>
      <c r="F525" s="76"/>
      <c r="G525" s="65"/>
      <c r="H525" s="65"/>
      <c r="I525" s="65"/>
    </row>
    <row r="526">
      <c r="A526" s="4">
        <v>524.0</v>
      </c>
      <c r="B526" s="33" t="str">
        <f>if(isblank(C526),,if(C526="wjv",vlookup(ceiling(E526),Class!$J$2:$K$501,2,true),if(C526="w",vlookup(ceiling(E526),Class!$G$2:$H$501,2,true),if(C526="jv",vlookup(ceiling(E526),Class!$A$2:$B$501,2,true),vlookup(ceiling(E526),Class!$D$2:$E$501,2,true)))))</f>
        <v/>
      </c>
      <c r="C526" s="65"/>
      <c r="D526" s="76"/>
      <c r="E526" s="74"/>
      <c r="F526" s="76"/>
      <c r="G526" s="65"/>
      <c r="H526" s="65"/>
      <c r="I526" s="65"/>
    </row>
    <row r="527">
      <c r="A527" s="4">
        <v>525.0</v>
      </c>
      <c r="B527" s="33" t="str">
        <f>if(isblank(C527),,if(C527="wjv",vlookup(ceiling(E527),Class!$J$2:$K$501,2,true),if(C527="w",vlookup(ceiling(E527),Class!$G$2:$H$501,2,true),if(C527="jv",vlookup(ceiling(E527),Class!$A$2:$B$501,2,true),vlookup(ceiling(E527),Class!$D$2:$E$501,2,true)))))</f>
        <v/>
      </c>
      <c r="C527" s="65"/>
      <c r="D527" s="76"/>
      <c r="E527" s="74"/>
      <c r="F527" s="76"/>
      <c r="G527" s="65"/>
      <c r="H527" s="65"/>
      <c r="I527" s="65"/>
    </row>
    <row r="528">
      <c r="A528" s="4">
        <v>526.0</v>
      </c>
      <c r="B528" s="33" t="str">
        <f>if(isblank(C528),,if(C528="wjv",vlookup(ceiling(E528),Class!$J$2:$K$501,2,true),if(C528="w",vlookup(ceiling(E528),Class!$G$2:$H$501,2,true),if(C528="jv",vlookup(ceiling(E528),Class!$A$2:$B$501,2,true),vlookup(ceiling(E528),Class!$D$2:$E$501,2,true)))))</f>
        <v/>
      </c>
      <c r="C528" s="65"/>
      <c r="D528" s="76"/>
      <c r="E528" s="74"/>
      <c r="F528" s="76"/>
      <c r="G528" s="65"/>
      <c r="H528" s="65"/>
      <c r="I528" s="65"/>
    </row>
    <row r="529">
      <c r="A529" s="4">
        <v>527.0</v>
      </c>
      <c r="B529" s="33" t="str">
        <f>if(isblank(C529),,if(C529="wjv",vlookup(ceiling(E529),Class!$J$2:$K$501,2,true),if(C529="w",vlookup(ceiling(E529),Class!$G$2:$H$501,2,true),if(C529="jv",vlookup(ceiling(E529),Class!$A$2:$B$501,2,true),vlookup(ceiling(E529),Class!$D$2:$E$501,2,true)))))</f>
        <v/>
      </c>
      <c r="C529" s="65"/>
      <c r="D529" s="76"/>
      <c r="E529" s="74"/>
      <c r="F529" s="76"/>
      <c r="G529" s="65"/>
      <c r="H529" s="65"/>
      <c r="I529" s="65"/>
    </row>
    <row r="530">
      <c r="A530" s="4">
        <v>528.0</v>
      </c>
      <c r="B530" s="33" t="str">
        <f>if(isblank(C530),,if(C530="wjv",vlookup(ceiling(E530),Class!$J$2:$K$501,2,true),if(C530="w",vlookup(ceiling(E530),Class!$G$2:$H$501,2,true),if(C530="jv",vlookup(ceiling(E530),Class!$A$2:$B$501,2,true),vlookup(ceiling(E530),Class!$D$2:$E$501,2,true)))))</f>
        <v/>
      </c>
      <c r="C530" s="65"/>
      <c r="D530" s="76"/>
      <c r="E530" s="74"/>
      <c r="F530" s="76"/>
      <c r="G530" s="65"/>
      <c r="H530" s="65"/>
      <c r="I530" s="65"/>
    </row>
    <row r="531">
      <c r="A531" s="4">
        <v>529.0</v>
      </c>
      <c r="B531" s="33" t="str">
        <f>if(isblank(C531),,if(C531="wjv",vlookup(ceiling(E531),Class!$J$2:$K$501,2,true),if(C531="w",vlookup(ceiling(E531),Class!$G$2:$H$501,2,true),if(C531="jv",vlookup(ceiling(E531),Class!$A$2:$B$501,2,true),vlookup(ceiling(E531),Class!$D$2:$E$501,2,true)))))</f>
        <v/>
      </c>
      <c r="C531" s="65"/>
      <c r="D531" s="76"/>
      <c r="E531" s="74"/>
      <c r="F531" s="76"/>
      <c r="G531" s="65"/>
      <c r="H531" s="65"/>
      <c r="I531" s="65"/>
    </row>
    <row r="532">
      <c r="A532" s="4">
        <v>530.0</v>
      </c>
      <c r="B532" s="33" t="str">
        <f>if(isblank(C532),,if(C532="wjv",vlookup(ceiling(E532),Class!$J$2:$K$501,2,true),if(C532="w",vlookup(ceiling(E532),Class!$G$2:$H$501,2,true),if(C532="jv",vlookup(ceiling(E532),Class!$A$2:$B$501,2,true),vlookup(ceiling(E532),Class!$D$2:$E$501,2,true)))))</f>
        <v/>
      </c>
      <c r="C532" s="65"/>
      <c r="D532" s="76"/>
      <c r="E532" s="74"/>
      <c r="F532" s="76"/>
      <c r="G532" s="65"/>
      <c r="H532" s="65"/>
      <c r="I532" s="65"/>
    </row>
    <row r="533">
      <c r="A533" s="4">
        <v>531.0</v>
      </c>
      <c r="B533" s="33" t="str">
        <f>if(isblank(C533),,if(C533="wjv",vlookup(ceiling(E533),Class!$J$2:$K$501,2,true),if(C533="w",vlookup(ceiling(E533),Class!$G$2:$H$501,2,true),if(C533="jv",vlookup(ceiling(E533),Class!$A$2:$B$501,2,true),vlookup(ceiling(E533),Class!$D$2:$E$501,2,true)))))</f>
        <v/>
      </c>
      <c r="C533" s="65"/>
      <c r="D533" s="76"/>
      <c r="E533" s="74"/>
      <c r="F533" s="76"/>
      <c r="G533" s="65"/>
      <c r="H533" s="65"/>
      <c r="I533" s="65"/>
    </row>
    <row r="534">
      <c r="A534" s="4">
        <v>532.0</v>
      </c>
      <c r="B534" s="33" t="str">
        <f>if(isblank(C534),,if(C534="wjv",vlookup(ceiling(E534),Class!$J$2:$K$501,2,true),if(C534="w",vlookup(ceiling(E534),Class!$G$2:$H$501,2,true),if(C534="jv",vlookup(ceiling(E534),Class!$A$2:$B$501,2,true),vlookup(ceiling(E534),Class!$D$2:$E$501,2,true)))))</f>
        <v/>
      </c>
      <c r="C534" s="65"/>
      <c r="D534" s="76"/>
      <c r="E534" s="74"/>
      <c r="F534" s="76"/>
      <c r="G534" s="65"/>
      <c r="H534" s="65"/>
      <c r="I534" s="65"/>
    </row>
    <row r="535">
      <c r="A535" s="4">
        <v>533.0</v>
      </c>
      <c r="B535" s="33" t="str">
        <f>if(isblank(C535),,if(C535="wjv",vlookup(ceiling(E535),Class!$J$2:$K$501,2,true),if(C535="w",vlookup(ceiling(E535),Class!$G$2:$H$501,2,true),if(C535="jv",vlookup(ceiling(E535),Class!$A$2:$B$501,2,true),vlookup(ceiling(E535),Class!$D$2:$E$501,2,true)))))</f>
        <v/>
      </c>
      <c r="C535" s="65"/>
      <c r="D535" s="76"/>
      <c r="E535" s="74"/>
      <c r="F535" s="76"/>
      <c r="G535" s="65"/>
      <c r="H535" s="65"/>
      <c r="I535" s="65"/>
    </row>
    <row r="536">
      <c r="A536" s="4">
        <v>534.0</v>
      </c>
      <c r="B536" s="33" t="str">
        <f>if(isblank(C536),,if(C536="wjv",vlookup(ceiling(E536),Class!$J$2:$K$501,2,true),if(C536="w",vlookup(ceiling(E536),Class!$G$2:$H$501,2,true),if(C536="jv",vlookup(ceiling(E536),Class!$A$2:$B$501,2,true),vlookup(ceiling(E536),Class!$D$2:$E$501,2,true)))))</f>
        <v/>
      </c>
      <c r="C536" s="65"/>
      <c r="D536" s="76"/>
      <c r="E536" s="74"/>
      <c r="F536" s="76"/>
      <c r="G536" s="65"/>
      <c r="H536" s="65"/>
      <c r="I536" s="65"/>
    </row>
    <row r="537">
      <c r="A537" s="4">
        <v>535.0</v>
      </c>
      <c r="B537" s="33" t="str">
        <f>if(isblank(C537),,if(C537="wjv",vlookup(ceiling(E537),Class!$J$2:$K$501,2,true),if(C537="w",vlookup(ceiling(E537),Class!$G$2:$H$501,2,true),if(C537="jv",vlookup(ceiling(E537),Class!$A$2:$B$501,2,true),vlookup(ceiling(E537),Class!$D$2:$E$501,2,true)))))</f>
        <v/>
      </c>
      <c r="C537" s="65"/>
      <c r="D537" s="76"/>
      <c r="E537" s="74"/>
      <c r="F537" s="76"/>
      <c r="G537" s="65"/>
      <c r="H537" s="65"/>
      <c r="I537" s="65"/>
    </row>
    <row r="538">
      <c r="A538" s="4">
        <v>536.0</v>
      </c>
      <c r="B538" s="33" t="str">
        <f>if(isblank(C538),,if(C538="wjv",vlookup(ceiling(E538),Class!$J$2:$K$501,2,true),if(C538="w",vlookup(ceiling(E538),Class!$G$2:$H$501,2,true),if(C538="jv",vlookup(ceiling(E538),Class!$A$2:$B$501,2,true),vlookup(ceiling(E538),Class!$D$2:$E$501,2,true)))))</f>
        <v/>
      </c>
      <c r="C538" s="65"/>
      <c r="D538" s="76"/>
      <c r="E538" s="74"/>
      <c r="F538" s="76"/>
      <c r="G538" s="65"/>
      <c r="H538" s="65"/>
      <c r="I538" s="65"/>
    </row>
    <row r="539">
      <c r="A539" s="4">
        <v>537.0</v>
      </c>
      <c r="B539" s="33" t="str">
        <f>if(isblank(C539),,if(C539="wjv",vlookup(ceiling(E539),Class!$J$2:$K$501,2,true),if(C539="w",vlookup(ceiling(E539),Class!$G$2:$H$501,2,true),if(C539="jv",vlookup(ceiling(E539),Class!$A$2:$B$501,2,true),vlookup(ceiling(E539),Class!$D$2:$E$501,2,true)))))</f>
        <v/>
      </c>
      <c r="C539" s="65"/>
      <c r="D539" s="76"/>
      <c r="E539" s="74"/>
      <c r="F539" s="76"/>
      <c r="G539" s="65"/>
      <c r="H539" s="65"/>
      <c r="I539" s="65"/>
    </row>
    <row r="540">
      <c r="A540" s="4">
        <v>538.0</v>
      </c>
      <c r="B540" s="33" t="str">
        <f>if(isblank(C540),,if(C540="wjv",vlookup(ceiling(E540),Class!$J$2:$K$501,2,true),if(C540="w",vlookup(ceiling(E540),Class!$G$2:$H$501,2,true),if(C540="jv",vlookup(ceiling(E540),Class!$A$2:$B$501,2,true),vlookup(ceiling(E540),Class!$D$2:$E$501,2,true)))))</f>
        <v/>
      </c>
      <c r="C540" s="65"/>
      <c r="D540" s="76"/>
      <c r="E540" s="74"/>
      <c r="F540" s="76"/>
      <c r="G540" s="65"/>
      <c r="H540" s="65"/>
      <c r="I540" s="65"/>
    </row>
    <row r="541">
      <c r="A541" s="4">
        <v>539.0</v>
      </c>
      <c r="B541" s="33" t="str">
        <f>if(isblank(C541),,if(C541="wjv",vlookup(ceiling(E541),Class!$J$2:$K$501,2,true),if(C541="w",vlookup(ceiling(E541),Class!$G$2:$H$501,2,true),if(C541="jv",vlookup(ceiling(E541),Class!$A$2:$B$501,2,true),vlookup(ceiling(E541),Class!$D$2:$E$501,2,true)))))</f>
        <v/>
      </c>
      <c r="C541" s="65"/>
      <c r="D541" s="76"/>
      <c r="E541" s="74"/>
      <c r="F541" s="76"/>
      <c r="G541" s="65"/>
      <c r="H541" s="65"/>
      <c r="I541" s="65"/>
    </row>
    <row r="542">
      <c r="A542" s="4">
        <v>540.0</v>
      </c>
      <c r="B542" s="33" t="str">
        <f>if(isblank(C542),,if(C542="wjv",vlookup(ceiling(E542),Class!$J$2:$K$501,2,true),if(C542="w",vlookup(ceiling(E542),Class!$G$2:$H$501,2,true),if(C542="jv",vlookup(ceiling(E542),Class!$A$2:$B$501,2,true),vlookup(ceiling(E542),Class!$D$2:$E$501,2,true)))))</f>
        <v/>
      </c>
      <c r="C542" s="65"/>
      <c r="D542" s="76"/>
      <c r="E542" s="74"/>
      <c r="F542" s="76"/>
      <c r="G542" s="65"/>
      <c r="H542" s="65"/>
      <c r="I542" s="65"/>
    </row>
    <row r="543">
      <c r="A543" s="4">
        <v>541.0</v>
      </c>
      <c r="B543" s="33" t="str">
        <f>if(isblank(C543),,if(C543="wjv",vlookup(ceiling(E543),Class!$J$2:$K$501,2,true),if(C543="w",vlookup(ceiling(E543),Class!$G$2:$H$501,2,true),if(C543="jv",vlookup(ceiling(E543),Class!$A$2:$B$501,2,true),vlookup(ceiling(E543),Class!$D$2:$E$501,2,true)))))</f>
        <v/>
      </c>
      <c r="C543" s="65"/>
      <c r="D543" s="76"/>
      <c r="E543" s="74"/>
      <c r="F543" s="76"/>
      <c r="G543" s="65"/>
      <c r="H543" s="65"/>
      <c r="I543" s="65"/>
    </row>
    <row r="544">
      <c r="A544" s="4">
        <v>542.0</v>
      </c>
      <c r="B544" s="33" t="str">
        <f>if(isblank(C544),,if(C544="wjv",vlookup(ceiling(E544),Class!$J$2:$K$501,2,true),if(C544="w",vlookup(ceiling(E544),Class!$G$2:$H$501,2,true),if(C544="jv",vlookup(ceiling(E544),Class!$A$2:$B$501,2,true),vlookup(ceiling(E544),Class!$D$2:$E$501,2,true)))))</f>
        <v/>
      </c>
      <c r="C544" s="65"/>
      <c r="D544" s="76"/>
      <c r="E544" s="74"/>
      <c r="F544" s="76"/>
      <c r="G544" s="65"/>
      <c r="H544" s="65"/>
      <c r="I544" s="65"/>
    </row>
    <row r="545">
      <c r="A545" s="4">
        <v>543.0</v>
      </c>
      <c r="B545" s="33" t="str">
        <f>if(isblank(C545),,if(C545="wjv",vlookup(ceiling(E545),Class!$J$2:$K$501,2,true),if(C545="w",vlookup(ceiling(E545),Class!$G$2:$H$501,2,true),if(C545="jv",vlookup(ceiling(E545),Class!$A$2:$B$501,2,true),vlookup(ceiling(E545),Class!$D$2:$E$501,2,true)))))</f>
        <v/>
      </c>
      <c r="C545" s="65"/>
      <c r="D545" s="76"/>
      <c r="E545" s="74"/>
      <c r="F545" s="76"/>
      <c r="G545" s="65"/>
      <c r="H545" s="65"/>
      <c r="I545" s="65"/>
    </row>
    <row r="546">
      <c r="A546" s="4">
        <v>544.0</v>
      </c>
      <c r="B546" s="33" t="str">
        <f>if(isblank(C546),,if(C546="wjv",vlookup(ceiling(E546),Class!$J$2:$K$501,2,true),if(C546="w",vlookup(ceiling(E546),Class!$G$2:$H$501,2,true),if(C546="jv",vlookup(ceiling(E546),Class!$A$2:$B$501,2,true),vlookup(ceiling(E546),Class!$D$2:$E$501,2,true)))))</f>
        <v/>
      </c>
      <c r="C546" s="65"/>
      <c r="D546" s="76"/>
      <c r="E546" s="74"/>
      <c r="F546" s="76"/>
      <c r="G546" s="65"/>
      <c r="H546" s="65"/>
      <c r="I546" s="65"/>
    </row>
    <row r="547">
      <c r="A547" s="4">
        <v>545.0</v>
      </c>
      <c r="B547" s="33" t="str">
        <f>if(isblank(C547),,if(C547="wjv",vlookup(ceiling(E547),Class!$J$2:$K$501,2,true),if(C547="w",vlookup(ceiling(E547),Class!$G$2:$H$501,2,true),if(C547="jv",vlookup(ceiling(E547),Class!$A$2:$B$501,2,true),vlookup(ceiling(E547),Class!$D$2:$E$501,2,true)))))</f>
        <v/>
      </c>
      <c r="C547" s="65"/>
      <c r="D547" s="76"/>
      <c r="E547" s="74"/>
      <c r="F547" s="76"/>
      <c r="G547" s="65"/>
      <c r="H547" s="65"/>
      <c r="I547" s="65"/>
    </row>
    <row r="548">
      <c r="A548" s="4">
        <v>546.0</v>
      </c>
      <c r="B548" s="33" t="str">
        <f>if(isblank(C548),,if(C548="wjv",vlookup(ceiling(E548),Class!$J$2:$K$501,2,true),if(C548="w",vlookup(ceiling(E548),Class!$G$2:$H$501,2,true),if(C548="jv",vlookup(ceiling(E548),Class!$A$2:$B$501,2,true),vlookup(ceiling(E548),Class!$D$2:$E$501,2,true)))))</f>
        <v/>
      </c>
      <c r="C548" s="65"/>
      <c r="D548" s="76"/>
      <c r="E548" s="74"/>
      <c r="F548" s="76"/>
      <c r="G548" s="65"/>
      <c r="H548" s="65"/>
      <c r="I548" s="65"/>
    </row>
    <row r="549">
      <c r="A549" s="4">
        <v>547.0</v>
      </c>
      <c r="B549" s="33" t="str">
        <f>if(isblank(C549),,if(C549="wjv",vlookup(ceiling(E549),Class!$J$2:$K$501,2,true),if(C549="w",vlookup(ceiling(E549),Class!$G$2:$H$501,2,true),if(C549="jv",vlookup(ceiling(E549),Class!$A$2:$B$501,2,true),vlookup(ceiling(E549),Class!$D$2:$E$501,2,true)))))</f>
        <v/>
      </c>
      <c r="C549" s="65"/>
      <c r="D549" s="76"/>
      <c r="E549" s="74"/>
      <c r="F549" s="76"/>
      <c r="G549" s="65"/>
      <c r="H549" s="65"/>
      <c r="I549" s="65"/>
    </row>
    <row r="550">
      <c r="A550" s="4">
        <v>548.0</v>
      </c>
      <c r="B550" s="33" t="str">
        <f>if(isblank(C550),,if(C550="wjv",vlookup(ceiling(E550),Class!$J$2:$K$501,2,true),if(C550="w",vlookup(ceiling(E550),Class!$G$2:$H$501,2,true),if(C550="jv",vlookup(ceiling(E550),Class!$A$2:$B$501,2,true),vlookup(ceiling(E550),Class!$D$2:$E$501,2,true)))))</f>
        <v/>
      </c>
      <c r="C550" s="65"/>
      <c r="D550" s="76"/>
      <c r="E550" s="74"/>
      <c r="F550" s="76"/>
      <c r="G550" s="65"/>
      <c r="H550" s="65"/>
      <c r="I550" s="65"/>
    </row>
    <row r="551">
      <c r="A551" s="4">
        <v>549.0</v>
      </c>
      <c r="B551" s="33" t="str">
        <f>if(isblank(C551),,if(C551="wjv",vlookup(ceiling(E551),Class!$J$2:$K$501,2,true),if(C551="w",vlookup(ceiling(E551),Class!$G$2:$H$501,2,true),if(C551="jv",vlookup(ceiling(E551),Class!$A$2:$B$501,2,true),vlookup(ceiling(E551),Class!$D$2:$E$501,2,true)))))</f>
        <v/>
      </c>
      <c r="C551" s="65"/>
      <c r="D551" s="76"/>
      <c r="E551" s="74"/>
      <c r="F551" s="76"/>
      <c r="G551" s="65"/>
      <c r="H551" s="65"/>
      <c r="I551" s="65"/>
    </row>
    <row r="552">
      <c r="A552" s="4">
        <v>550.0</v>
      </c>
      <c r="B552" s="33" t="str">
        <f>if(isblank(C552),,if(C552="wjv",vlookup(ceiling(E552),Class!$J$2:$K$501,2,true),if(C552="w",vlookup(ceiling(E552),Class!$G$2:$H$501,2,true),if(C552="jv",vlookup(ceiling(E552),Class!$A$2:$B$501,2,true),vlookup(ceiling(E552),Class!$D$2:$E$501,2,true)))))</f>
        <v/>
      </c>
      <c r="C552" s="65"/>
      <c r="D552" s="76"/>
      <c r="E552" s="74"/>
      <c r="F552" s="76"/>
      <c r="G552" s="65"/>
      <c r="H552" s="65"/>
      <c r="I552" s="65"/>
    </row>
    <row r="553">
      <c r="A553" s="4">
        <v>551.0</v>
      </c>
      <c r="B553" s="33" t="str">
        <f>if(isblank(C553),,if(C553="wjv",vlookup(ceiling(E553),Class!$J$2:$K$501,2,true),if(C553="w",vlookup(ceiling(E553),Class!$G$2:$H$501,2,true),if(C553="jv",vlookup(ceiling(E553),Class!$A$2:$B$501,2,true),vlookup(ceiling(E553),Class!$D$2:$E$501,2,true)))))</f>
        <v/>
      </c>
      <c r="C553" s="65"/>
      <c r="D553" s="76"/>
      <c r="E553" s="74"/>
      <c r="F553" s="76"/>
      <c r="G553" s="65"/>
      <c r="H553" s="65"/>
      <c r="I553" s="65"/>
    </row>
    <row r="554">
      <c r="A554" s="4">
        <v>552.0</v>
      </c>
      <c r="B554" s="33" t="str">
        <f>if(isblank(C554),,if(C554="wjv",vlookup(ceiling(E554),Class!$J$2:$K$501,2,true),if(C554="w",vlookup(ceiling(E554),Class!$G$2:$H$501,2,true),if(C554="jv",vlookup(ceiling(E554),Class!$A$2:$B$501,2,true),vlookup(ceiling(E554),Class!$D$2:$E$501,2,true)))))</f>
        <v/>
      </c>
      <c r="C554" s="65"/>
      <c r="D554" s="76"/>
      <c r="E554" s="74"/>
      <c r="F554" s="76"/>
      <c r="G554" s="65"/>
      <c r="H554" s="65"/>
      <c r="I554" s="65"/>
    </row>
    <row r="555">
      <c r="A555" s="4">
        <v>553.0</v>
      </c>
      <c r="B555" s="33" t="str">
        <f>if(isblank(C555),,if(C555="wjv",vlookup(ceiling(E555),Class!$J$2:$K$501,2,true),if(C555="w",vlookup(ceiling(E555),Class!$G$2:$H$501,2,true),if(C555="jv",vlookup(ceiling(E555),Class!$A$2:$B$501,2,true),vlookup(ceiling(E555),Class!$D$2:$E$501,2,true)))))</f>
        <v/>
      </c>
      <c r="C555" s="65"/>
      <c r="D555" s="76"/>
      <c r="E555" s="74"/>
      <c r="F555" s="76"/>
      <c r="G555" s="65"/>
      <c r="H555" s="65"/>
      <c r="I555" s="65"/>
    </row>
    <row r="556">
      <c r="A556" s="4">
        <v>554.0</v>
      </c>
      <c r="B556" s="33" t="str">
        <f>if(isblank(C556),,if(C556="wjv",vlookup(ceiling(E556),Class!$J$2:$K$501,2,true),if(C556="w",vlookup(ceiling(E556),Class!$G$2:$H$501,2,true),if(C556="jv",vlookup(ceiling(E556),Class!$A$2:$B$501,2,true),vlookup(ceiling(E556),Class!$D$2:$E$501,2,true)))))</f>
        <v/>
      </c>
      <c r="C556" s="65"/>
      <c r="D556" s="76"/>
      <c r="E556" s="74"/>
      <c r="F556" s="76"/>
      <c r="G556" s="65"/>
      <c r="H556" s="65"/>
      <c r="I556" s="65"/>
    </row>
    <row r="557">
      <c r="A557" s="4">
        <v>555.0</v>
      </c>
      <c r="B557" s="33" t="str">
        <f>if(isblank(C557),,if(C557="wjv",vlookup(ceiling(E557),Class!$J$2:$K$501,2,true),if(C557="w",vlookup(ceiling(E557),Class!$G$2:$H$501,2,true),if(C557="jv",vlookup(ceiling(E557),Class!$A$2:$B$501,2,true),vlookup(ceiling(E557),Class!$D$2:$E$501,2,true)))))</f>
        <v/>
      </c>
      <c r="C557" s="65"/>
      <c r="D557" s="76"/>
      <c r="E557" s="74"/>
      <c r="F557" s="76"/>
      <c r="G557" s="65"/>
      <c r="H557" s="65"/>
      <c r="I557" s="65"/>
    </row>
    <row r="558">
      <c r="A558" s="4">
        <v>556.0</v>
      </c>
      <c r="B558" s="33" t="str">
        <f>if(isblank(C558),,if(C558="wjv",vlookup(ceiling(E558),Class!$J$2:$K$501,2,true),if(C558="w",vlookup(ceiling(E558),Class!$G$2:$H$501,2,true),if(C558="jv",vlookup(ceiling(E558),Class!$A$2:$B$501,2,true),vlookup(ceiling(E558),Class!$D$2:$E$501,2,true)))))</f>
        <v/>
      </c>
      <c r="C558" s="65"/>
      <c r="D558" s="76"/>
      <c r="E558" s="74"/>
      <c r="F558" s="76"/>
      <c r="G558" s="65"/>
      <c r="H558" s="65"/>
      <c r="I558" s="65"/>
    </row>
    <row r="559">
      <c r="A559" s="4">
        <v>557.0</v>
      </c>
      <c r="B559" s="33" t="str">
        <f>if(isblank(C559),,if(C559="wjv",vlookup(ceiling(E559),Class!$J$2:$K$501,2,true),if(C559="w",vlookup(ceiling(E559),Class!$G$2:$H$501,2,true),if(C559="jv",vlookup(ceiling(E559),Class!$A$2:$B$501,2,true),vlookup(ceiling(E559),Class!$D$2:$E$501,2,true)))))</f>
        <v/>
      </c>
      <c r="C559" s="65"/>
      <c r="D559" s="76"/>
      <c r="E559" s="74"/>
      <c r="F559" s="76"/>
      <c r="G559" s="65"/>
      <c r="H559" s="65"/>
      <c r="I559" s="65"/>
    </row>
    <row r="560">
      <c r="A560" s="4">
        <v>558.0</v>
      </c>
      <c r="B560" s="33" t="str">
        <f>if(isblank(C560),,if(C560="wjv",vlookup(ceiling(E560),Class!$J$2:$K$501,2,true),if(C560="w",vlookup(ceiling(E560),Class!$G$2:$H$501,2,true),if(C560="jv",vlookup(ceiling(E560),Class!$A$2:$B$501,2,true),vlookup(ceiling(E560),Class!$D$2:$E$501,2,true)))))</f>
        <v/>
      </c>
      <c r="C560" s="65"/>
      <c r="D560" s="76"/>
      <c r="E560" s="74"/>
      <c r="F560" s="76"/>
      <c r="G560" s="65"/>
      <c r="H560" s="65"/>
      <c r="I560" s="65"/>
    </row>
    <row r="561">
      <c r="A561" s="4">
        <v>559.0</v>
      </c>
      <c r="B561" s="33" t="str">
        <f>if(isblank(C561),,if(C561="wjv",vlookup(ceiling(E561),Class!$J$2:$K$501,2,true),if(C561="w",vlookup(ceiling(E561),Class!$G$2:$H$501,2,true),if(C561="jv",vlookup(ceiling(E561),Class!$A$2:$B$501,2,true),vlookup(ceiling(E561),Class!$D$2:$E$501,2,true)))))</f>
        <v/>
      </c>
      <c r="C561" s="65"/>
      <c r="D561" s="76"/>
      <c r="E561" s="74"/>
      <c r="F561" s="76"/>
      <c r="G561" s="65"/>
      <c r="H561" s="65"/>
      <c r="I561" s="65"/>
    </row>
    <row r="562">
      <c r="A562" s="4">
        <v>560.0</v>
      </c>
      <c r="B562" s="33" t="str">
        <f>if(isblank(C562),,if(C562="wjv",vlookup(ceiling(E562),Class!$J$2:$K$501,2,true),if(C562="w",vlookup(ceiling(E562),Class!$G$2:$H$501,2,true),if(C562="jv",vlookup(ceiling(E562),Class!$A$2:$B$501,2,true),vlookup(ceiling(E562),Class!$D$2:$E$501,2,true)))))</f>
        <v/>
      </c>
      <c r="C562" s="65"/>
      <c r="D562" s="76"/>
      <c r="E562" s="74"/>
      <c r="F562" s="76"/>
      <c r="G562" s="65"/>
      <c r="H562" s="65"/>
      <c r="I562" s="65"/>
    </row>
    <row r="563">
      <c r="A563" s="4">
        <v>561.0</v>
      </c>
      <c r="B563" s="33" t="str">
        <f>if(isblank(C563),,if(C563="wjv",vlookup(ceiling(E563),Class!$J$2:$K$501,2,true),if(C563="w",vlookup(ceiling(E563),Class!$G$2:$H$501,2,true),if(C563="jv",vlookup(ceiling(E563),Class!$A$2:$B$501,2,true),vlookup(ceiling(E563),Class!$D$2:$E$501,2,true)))))</f>
        <v/>
      </c>
      <c r="C563" s="65"/>
      <c r="D563" s="76"/>
      <c r="E563" s="74"/>
      <c r="F563" s="76"/>
      <c r="G563" s="65"/>
      <c r="H563" s="65"/>
      <c r="I563" s="65"/>
    </row>
    <row r="564">
      <c r="A564" s="4">
        <v>562.0</v>
      </c>
      <c r="B564" s="33" t="str">
        <f>if(isblank(C564),,if(C564="wjv",vlookup(ceiling(E564),Class!$J$2:$K$501,2,true),if(C564="w",vlookup(ceiling(E564),Class!$G$2:$H$501,2,true),if(C564="jv",vlookup(ceiling(E564),Class!$A$2:$B$501,2,true),vlookup(ceiling(E564),Class!$D$2:$E$501,2,true)))))</f>
        <v/>
      </c>
      <c r="C564" s="65"/>
      <c r="D564" s="76"/>
      <c r="E564" s="74"/>
      <c r="F564" s="76"/>
      <c r="G564" s="65"/>
      <c r="H564" s="65"/>
      <c r="I564" s="65"/>
    </row>
    <row r="565">
      <c r="A565" s="4">
        <v>563.0</v>
      </c>
      <c r="B565" s="33" t="str">
        <f>if(isblank(C565),,if(C565="wjv",vlookup(ceiling(E565),Class!$J$2:$K$501,2,true),if(C565="w",vlookup(ceiling(E565),Class!$G$2:$H$501,2,true),if(C565="jv",vlookup(ceiling(E565),Class!$A$2:$B$501,2,true),vlookup(ceiling(E565),Class!$D$2:$E$501,2,true)))))</f>
        <v/>
      </c>
      <c r="C565" s="65"/>
      <c r="D565" s="76"/>
      <c r="E565" s="74"/>
      <c r="F565" s="76"/>
      <c r="G565" s="65"/>
      <c r="H565" s="65"/>
      <c r="I565" s="65"/>
    </row>
    <row r="566">
      <c r="A566" s="4">
        <v>564.0</v>
      </c>
      <c r="B566" s="33" t="str">
        <f>if(isblank(C566),,if(C566="wjv",vlookup(ceiling(E566),Class!$J$2:$K$501,2,true),if(C566="w",vlookup(ceiling(E566),Class!$G$2:$H$501,2,true),if(C566="jv",vlookup(ceiling(E566),Class!$A$2:$B$501,2,true),vlookup(ceiling(E566),Class!$D$2:$E$501,2,true)))))</f>
        <v/>
      </c>
      <c r="C566" s="65"/>
      <c r="D566" s="76"/>
      <c r="E566" s="74"/>
      <c r="F566" s="76"/>
      <c r="G566" s="65"/>
      <c r="H566" s="65"/>
      <c r="I566" s="65"/>
    </row>
    <row r="567">
      <c r="A567" s="4">
        <v>565.0</v>
      </c>
      <c r="B567" s="33" t="str">
        <f>if(isblank(C567),,if(C567="wjv",vlookup(ceiling(E567),Class!$J$2:$K$501,2,true),if(C567="w",vlookup(ceiling(E567),Class!$G$2:$H$501,2,true),if(C567="jv",vlookup(ceiling(E567),Class!$A$2:$B$501,2,true),vlookup(ceiling(E567),Class!$D$2:$E$501,2,true)))))</f>
        <v/>
      </c>
      <c r="C567" s="65"/>
      <c r="D567" s="76"/>
      <c r="E567" s="74"/>
      <c r="F567" s="76"/>
      <c r="G567" s="65"/>
      <c r="H567" s="65"/>
      <c r="I567" s="65"/>
    </row>
    <row r="568">
      <c r="A568" s="4">
        <v>566.0</v>
      </c>
      <c r="B568" s="33" t="str">
        <f>if(isblank(C568),,if(C568="wjv",vlookup(ceiling(E568),Class!$J$2:$K$501,2,true),if(C568="w",vlookup(ceiling(E568),Class!$G$2:$H$501,2,true),if(C568="jv",vlookup(ceiling(E568),Class!$A$2:$B$501,2,true),vlookup(ceiling(E568),Class!$D$2:$E$501,2,true)))))</f>
        <v/>
      </c>
      <c r="C568" s="65"/>
      <c r="D568" s="76"/>
      <c r="E568" s="74"/>
      <c r="F568" s="76"/>
      <c r="G568" s="65"/>
      <c r="H568" s="65"/>
      <c r="I568" s="65"/>
    </row>
    <row r="569">
      <c r="A569" s="4">
        <v>567.0</v>
      </c>
      <c r="B569" s="33" t="str">
        <f>if(isblank(C569),,if(C569="wjv",vlookup(ceiling(E569),Class!$J$2:$K$501,2,true),if(C569="w",vlookup(ceiling(E569),Class!$G$2:$H$501,2,true),if(C569="jv",vlookup(ceiling(E569),Class!$A$2:$B$501,2,true),vlookup(ceiling(E569),Class!$D$2:$E$501,2,true)))))</f>
        <v/>
      </c>
      <c r="C569" s="65"/>
      <c r="D569" s="76"/>
      <c r="E569" s="74"/>
      <c r="F569" s="76"/>
      <c r="G569" s="65"/>
      <c r="H569" s="65"/>
      <c r="I569" s="65"/>
    </row>
    <row r="570">
      <c r="A570" s="4">
        <v>568.0</v>
      </c>
      <c r="B570" s="33" t="str">
        <f>if(isblank(C570),,if(C570="wjv",vlookup(ceiling(E570),Class!$J$2:$K$501,2,true),if(C570="w",vlookup(ceiling(E570),Class!$G$2:$H$501,2,true),if(C570="jv",vlookup(ceiling(E570),Class!$A$2:$B$501,2,true),vlookup(ceiling(E570),Class!$D$2:$E$501,2,true)))))</f>
        <v/>
      </c>
      <c r="C570" s="65"/>
      <c r="D570" s="76"/>
      <c r="E570" s="74"/>
      <c r="F570" s="76"/>
      <c r="G570" s="65"/>
      <c r="H570" s="65"/>
      <c r="I570" s="65"/>
    </row>
    <row r="571">
      <c r="A571" s="4">
        <v>569.0</v>
      </c>
      <c r="B571" s="33" t="str">
        <f>if(isblank(C571),,if(C571="wjv",vlookup(ceiling(E571),Class!$J$2:$K$501,2,true),if(C571="w",vlookup(ceiling(E571),Class!$G$2:$H$501,2,true),if(C571="jv",vlookup(ceiling(E571),Class!$A$2:$B$501,2,true),vlookup(ceiling(E571),Class!$D$2:$E$501,2,true)))))</f>
        <v/>
      </c>
      <c r="C571" s="65"/>
      <c r="D571" s="76"/>
      <c r="E571" s="74"/>
      <c r="F571" s="76"/>
      <c r="G571" s="65"/>
      <c r="H571" s="65"/>
      <c r="I571" s="65"/>
    </row>
    <row r="572">
      <c r="A572" s="4">
        <v>570.0</v>
      </c>
      <c r="B572" s="33" t="str">
        <f>if(isblank(C572),,if(C572="wjv",vlookup(ceiling(E572),Class!$J$2:$K$501,2,true),if(C572="w",vlookup(ceiling(E572),Class!$G$2:$H$501,2,true),if(C572="jv",vlookup(ceiling(E572),Class!$A$2:$B$501,2,true),vlookup(ceiling(E572),Class!$D$2:$E$501,2,true)))))</f>
        <v/>
      </c>
      <c r="C572" s="65"/>
      <c r="D572" s="76"/>
      <c r="E572" s="74"/>
      <c r="F572" s="76"/>
      <c r="G572" s="65"/>
      <c r="H572" s="65"/>
      <c r="I572" s="65"/>
    </row>
    <row r="573">
      <c r="A573" s="4">
        <v>571.0</v>
      </c>
      <c r="B573" s="33" t="str">
        <f>if(isblank(C573),,if(C573="wjv",vlookup(ceiling(E573),Class!$J$2:$K$501,2,true),if(C573="w",vlookup(ceiling(E573),Class!$G$2:$H$501,2,true),if(C573="jv",vlookup(ceiling(E573),Class!$A$2:$B$501,2,true),vlookup(ceiling(E573),Class!$D$2:$E$501,2,true)))))</f>
        <v/>
      </c>
      <c r="C573" s="65"/>
      <c r="D573" s="76"/>
      <c r="E573" s="74"/>
      <c r="F573" s="76"/>
      <c r="G573" s="65"/>
      <c r="H573" s="65"/>
      <c r="I573" s="65"/>
    </row>
    <row r="574">
      <c r="A574" s="4">
        <v>572.0</v>
      </c>
      <c r="B574" s="33" t="str">
        <f>if(isblank(C574),,if(C574="wjv",vlookup(ceiling(E574),Class!$J$2:$K$501,2,true),if(C574="w",vlookup(ceiling(E574),Class!$G$2:$H$501,2,true),if(C574="jv",vlookup(ceiling(E574),Class!$A$2:$B$501,2,true),vlookup(ceiling(E574),Class!$D$2:$E$501,2,true)))))</f>
        <v/>
      </c>
      <c r="C574" s="65"/>
      <c r="D574" s="76"/>
      <c r="E574" s="74"/>
      <c r="F574" s="76"/>
      <c r="G574" s="65"/>
      <c r="H574" s="65"/>
      <c r="I574" s="65"/>
    </row>
    <row r="575">
      <c r="A575" s="4">
        <v>573.0</v>
      </c>
      <c r="B575" s="33" t="str">
        <f>if(isblank(C575),,if(C575="wjv",vlookup(ceiling(E575),Class!$J$2:$K$501,2,true),if(C575="w",vlookup(ceiling(E575),Class!$G$2:$H$501,2,true),if(C575="jv",vlookup(ceiling(E575),Class!$A$2:$B$501,2,true),vlookup(ceiling(E575),Class!$D$2:$E$501,2,true)))))</f>
        <v/>
      </c>
      <c r="C575" s="65"/>
      <c r="D575" s="76"/>
      <c r="E575" s="74"/>
      <c r="F575" s="76"/>
      <c r="G575" s="65"/>
      <c r="H575" s="65"/>
      <c r="I575" s="65"/>
    </row>
    <row r="576">
      <c r="A576" s="4">
        <v>574.0</v>
      </c>
      <c r="B576" s="33" t="str">
        <f>if(isblank(C576),,if(C576="wjv",vlookup(ceiling(E576),Class!$J$2:$K$501,2,true),if(C576="w",vlookup(ceiling(E576),Class!$G$2:$H$501,2,true),if(C576="jv",vlookup(ceiling(E576),Class!$A$2:$B$501,2,true),vlookup(ceiling(E576),Class!$D$2:$E$501,2,true)))))</f>
        <v/>
      </c>
      <c r="C576" s="65"/>
      <c r="D576" s="76"/>
      <c r="E576" s="74"/>
      <c r="F576" s="76"/>
      <c r="G576" s="65"/>
      <c r="H576" s="65"/>
      <c r="I576" s="65"/>
    </row>
    <row r="577">
      <c r="A577" s="4">
        <v>575.0</v>
      </c>
      <c r="B577" s="33" t="str">
        <f>if(isblank(C577),,if(C577="wjv",vlookup(ceiling(E577),Class!$J$2:$K$501,2,true),if(C577="w",vlookup(ceiling(E577),Class!$G$2:$H$501,2,true),if(C577="jv",vlookup(ceiling(E577),Class!$A$2:$B$501,2,true),vlookup(ceiling(E577),Class!$D$2:$E$501,2,true)))))</f>
        <v/>
      </c>
      <c r="C577" s="65"/>
      <c r="D577" s="76"/>
      <c r="E577" s="74"/>
      <c r="F577" s="76"/>
      <c r="G577" s="65"/>
      <c r="H577" s="65"/>
      <c r="I577" s="65"/>
    </row>
    <row r="578">
      <c r="A578" s="4">
        <v>576.0</v>
      </c>
      <c r="B578" s="33" t="str">
        <f>if(isblank(C578),,if(C578="wjv",vlookup(ceiling(E578),Class!$J$2:$K$501,2,true),if(C578="w",vlookup(ceiling(E578),Class!$G$2:$H$501,2,true),if(C578="jv",vlookup(ceiling(E578),Class!$A$2:$B$501,2,true),vlookup(ceiling(E578),Class!$D$2:$E$501,2,true)))))</f>
        <v/>
      </c>
      <c r="C578" s="65"/>
      <c r="D578" s="76"/>
      <c r="E578" s="74"/>
      <c r="F578" s="76"/>
      <c r="G578" s="65"/>
      <c r="H578" s="65"/>
      <c r="I578" s="65"/>
    </row>
    <row r="579">
      <c r="A579" s="4">
        <v>577.0</v>
      </c>
      <c r="B579" s="33" t="str">
        <f>if(isblank(C579),,if(C579="wjv",vlookup(ceiling(E579),Class!$J$2:$K$501,2,true),if(C579="w",vlookup(ceiling(E579),Class!$G$2:$H$501,2,true),if(C579="jv",vlookup(ceiling(E579),Class!$A$2:$B$501,2,true),vlookup(ceiling(E579),Class!$D$2:$E$501,2,true)))))</f>
        <v/>
      </c>
      <c r="C579" s="65"/>
      <c r="D579" s="76"/>
      <c r="E579" s="74"/>
      <c r="F579" s="76"/>
      <c r="G579" s="65"/>
      <c r="H579" s="65"/>
      <c r="I579" s="65"/>
    </row>
    <row r="580">
      <c r="A580" s="4">
        <v>578.0</v>
      </c>
      <c r="B580" s="33" t="str">
        <f>if(isblank(C580),,if(C580="wjv",vlookup(ceiling(E580),Class!$J$2:$K$501,2,true),if(C580="w",vlookup(ceiling(E580),Class!$G$2:$H$501,2,true),if(C580="jv",vlookup(ceiling(E580),Class!$A$2:$B$501,2,true),vlookup(ceiling(E580),Class!$D$2:$E$501,2,true)))))</f>
        <v/>
      </c>
      <c r="C580" s="65"/>
      <c r="D580" s="76"/>
      <c r="E580" s="74"/>
      <c r="F580" s="76"/>
      <c r="G580" s="65"/>
      <c r="H580" s="65"/>
      <c r="I580" s="65"/>
    </row>
    <row r="581">
      <c r="A581" s="4">
        <v>579.0</v>
      </c>
      <c r="B581" s="33" t="str">
        <f>if(isblank(C581),,if(C581="wjv",vlookup(ceiling(E581),Class!$J$2:$K$501,2,true),if(C581="w",vlookup(ceiling(E581),Class!$G$2:$H$501,2,true),if(C581="jv",vlookup(ceiling(E581),Class!$A$2:$B$501,2,true),vlookup(ceiling(E581),Class!$D$2:$E$501,2,true)))))</f>
        <v/>
      </c>
      <c r="C581" s="65"/>
      <c r="D581" s="76"/>
      <c r="E581" s="74"/>
      <c r="F581" s="76"/>
      <c r="G581" s="65"/>
      <c r="H581" s="65"/>
      <c r="I581" s="65"/>
    </row>
    <row r="582">
      <c r="A582" s="4">
        <v>580.0</v>
      </c>
      <c r="B582" s="33" t="str">
        <f>if(isblank(C582),,if(C582="wjv",vlookup(ceiling(E582),Class!$J$2:$K$501,2,true),if(C582="w",vlookup(ceiling(E582),Class!$G$2:$H$501,2,true),if(C582="jv",vlookup(ceiling(E582),Class!$A$2:$B$501,2,true),vlookup(ceiling(E582),Class!$D$2:$E$501,2,true)))))</f>
        <v/>
      </c>
      <c r="C582" s="65"/>
      <c r="D582" s="76"/>
      <c r="E582" s="74"/>
      <c r="F582" s="76"/>
      <c r="G582" s="65"/>
      <c r="H582" s="65"/>
      <c r="I582" s="65"/>
    </row>
    <row r="583">
      <c r="A583" s="4">
        <v>581.0</v>
      </c>
      <c r="B583" s="33" t="str">
        <f>if(isblank(C583),,if(C583="wjv",vlookup(ceiling(E583),Class!$J$2:$K$501,2,true),if(C583="w",vlookup(ceiling(E583),Class!$G$2:$H$501,2,true),if(C583="jv",vlookup(ceiling(E583),Class!$A$2:$B$501,2,true),vlookup(ceiling(E583),Class!$D$2:$E$501,2,true)))))</f>
        <v/>
      </c>
      <c r="C583" s="65"/>
      <c r="D583" s="76"/>
      <c r="E583" s="74"/>
      <c r="F583" s="76"/>
      <c r="G583" s="65"/>
      <c r="H583" s="65"/>
      <c r="I583" s="65"/>
    </row>
    <row r="584">
      <c r="A584" s="4">
        <v>582.0</v>
      </c>
      <c r="B584" s="33" t="str">
        <f>if(isblank(C584),,if(C584="wjv",vlookup(ceiling(E584),Class!$J$2:$K$501,2,true),if(C584="w",vlookup(ceiling(E584),Class!$G$2:$H$501,2,true),if(C584="jv",vlookup(ceiling(E584),Class!$A$2:$B$501,2,true),vlookup(ceiling(E584),Class!$D$2:$E$501,2,true)))))</f>
        <v/>
      </c>
      <c r="C584" s="65"/>
      <c r="D584" s="76"/>
      <c r="E584" s="74"/>
      <c r="F584" s="76"/>
      <c r="G584" s="65"/>
      <c r="H584" s="65"/>
      <c r="I584" s="65"/>
    </row>
    <row r="585">
      <c r="A585" s="4">
        <v>583.0</v>
      </c>
      <c r="B585" s="33" t="str">
        <f>if(isblank(C585),,if(C585="wjv",vlookup(ceiling(E585),Class!$J$2:$K$501,2,true),if(C585="w",vlookup(ceiling(E585),Class!$G$2:$H$501,2,true),if(C585="jv",vlookup(ceiling(E585),Class!$A$2:$B$501,2,true),vlookup(ceiling(E585),Class!$D$2:$E$501,2,true)))))</f>
        <v/>
      </c>
      <c r="C585" s="65"/>
      <c r="D585" s="76"/>
      <c r="E585" s="74"/>
      <c r="F585" s="76"/>
      <c r="G585" s="65"/>
      <c r="H585" s="65"/>
      <c r="I585" s="65"/>
    </row>
    <row r="586">
      <c r="A586" s="4">
        <v>584.0</v>
      </c>
      <c r="B586" s="33" t="str">
        <f>if(isblank(C586),,if(C586="wjv",vlookup(ceiling(E586),Class!$J$2:$K$501,2,true),if(C586="w",vlookup(ceiling(E586),Class!$G$2:$H$501,2,true),if(C586="jv",vlookup(ceiling(E586),Class!$A$2:$B$501,2,true),vlookup(ceiling(E586),Class!$D$2:$E$501,2,true)))))</f>
        <v/>
      </c>
      <c r="C586" s="65"/>
      <c r="D586" s="76"/>
      <c r="E586" s="74"/>
      <c r="F586" s="76"/>
      <c r="G586" s="65"/>
      <c r="H586" s="65"/>
      <c r="I586" s="65"/>
    </row>
    <row r="587">
      <c r="A587" s="4">
        <v>585.0</v>
      </c>
      <c r="B587" s="33" t="str">
        <f>if(isblank(C587),,if(C587="wjv",vlookup(ceiling(E587),Class!$J$2:$K$501,2,true),if(C587="w",vlookup(ceiling(E587),Class!$G$2:$H$501,2,true),if(C587="jv",vlookup(ceiling(E587),Class!$A$2:$B$501,2,true),vlookup(ceiling(E587),Class!$D$2:$E$501,2,true)))))</f>
        <v/>
      </c>
      <c r="C587" s="65"/>
      <c r="D587" s="76"/>
      <c r="E587" s="74"/>
      <c r="F587" s="76"/>
      <c r="G587" s="65"/>
      <c r="H587" s="65"/>
      <c r="I587" s="65"/>
    </row>
    <row r="588">
      <c r="A588" s="4">
        <v>586.0</v>
      </c>
      <c r="B588" s="33" t="str">
        <f>if(isblank(C588),,if(C588="wjv",vlookup(ceiling(E588),Class!$J$2:$K$501,2,true),if(C588="w",vlookup(ceiling(E588),Class!$G$2:$H$501,2,true),if(C588="jv",vlookup(ceiling(E588),Class!$A$2:$B$501,2,true),vlookup(ceiling(E588),Class!$D$2:$E$501,2,true)))))</f>
        <v/>
      </c>
      <c r="C588" s="65"/>
      <c r="D588" s="76"/>
      <c r="E588" s="74"/>
      <c r="F588" s="76"/>
      <c r="G588" s="65"/>
      <c r="H588" s="65"/>
      <c r="I588" s="65"/>
    </row>
    <row r="589">
      <c r="A589" s="4">
        <v>587.0</v>
      </c>
      <c r="B589" s="33" t="str">
        <f>if(isblank(C589),,if(C589="wjv",vlookup(ceiling(E589),Class!$J$2:$K$501,2,true),if(C589="w",vlookup(ceiling(E589),Class!$G$2:$H$501,2,true),if(C589="jv",vlookup(ceiling(E589),Class!$A$2:$B$501,2,true),vlookup(ceiling(E589),Class!$D$2:$E$501,2,true)))))</f>
        <v/>
      </c>
      <c r="C589" s="65"/>
      <c r="D589" s="76"/>
      <c r="E589" s="74"/>
      <c r="F589" s="76"/>
      <c r="G589" s="65"/>
      <c r="H589" s="65"/>
      <c r="I589" s="65"/>
    </row>
    <row r="590">
      <c r="A590" s="4">
        <v>588.0</v>
      </c>
      <c r="B590" s="33" t="str">
        <f>if(isblank(C590),,if(C590="wjv",vlookup(ceiling(E590),Class!$J$2:$K$501,2,true),if(C590="w",vlookup(ceiling(E590),Class!$G$2:$H$501,2,true),if(C590="jv",vlookup(ceiling(E590),Class!$A$2:$B$501,2,true),vlookup(ceiling(E590),Class!$D$2:$E$501,2,true)))))</f>
        <v/>
      </c>
      <c r="C590" s="65"/>
      <c r="D590" s="76"/>
      <c r="E590" s="74"/>
      <c r="F590" s="76"/>
      <c r="G590" s="65"/>
      <c r="H590" s="65"/>
      <c r="I590" s="65"/>
    </row>
    <row r="591">
      <c r="A591" s="4">
        <v>589.0</v>
      </c>
      <c r="B591" s="33" t="str">
        <f>if(isblank(C591),,if(C591="wjv",vlookup(ceiling(E591),Class!$J$2:$K$501,2,true),if(C591="w",vlookup(ceiling(E591),Class!$G$2:$H$501,2,true),if(C591="jv",vlookup(ceiling(E591),Class!$A$2:$B$501,2,true),vlookup(ceiling(E591),Class!$D$2:$E$501,2,true)))))</f>
        <v/>
      </c>
      <c r="C591" s="65"/>
      <c r="D591" s="76"/>
      <c r="E591" s="74"/>
      <c r="F591" s="76"/>
      <c r="G591" s="65"/>
      <c r="H591" s="65"/>
      <c r="I591" s="65"/>
    </row>
    <row r="592">
      <c r="A592" s="4">
        <v>590.0</v>
      </c>
      <c r="B592" s="33" t="str">
        <f>if(isblank(C592),,if(C592="wjv",vlookup(ceiling(E592),Class!$J$2:$K$501,2,true),if(C592="w",vlookup(ceiling(E592),Class!$G$2:$H$501,2,true),if(C592="jv",vlookup(ceiling(E592),Class!$A$2:$B$501,2,true),vlookup(ceiling(E592),Class!$D$2:$E$501,2,true)))))</f>
        <v/>
      </c>
      <c r="C592" s="65"/>
      <c r="D592" s="76"/>
      <c r="E592" s="74"/>
      <c r="F592" s="76"/>
      <c r="G592" s="65"/>
      <c r="H592" s="65"/>
      <c r="I592" s="65"/>
    </row>
    <row r="593">
      <c r="A593" s="4">
        <v>591.0</v>
      </c>
      <c r="B593" s="33" t="str">
        <f>if(isblank(C593),,if(C593="wjv",vlookup(ceiling(E593),Class!$J$2:$K$501,2,true),if(C593="w",vlookup(ceiling(E593),Class!$G$2:$H$501,2,true),if(C593="jv",vlookup(ceiling(E593),Class!$A$2:$B$501,2,true),vlookup(ceiling(E593),Class!$D$2:$E$501,2,true)))))</f>
        <v/>
      </c>
      <c r="C593" s="65"/>
      <c r="D593" s="76"/>
      <c r="E593" s="74"/>
      <c r="F593" s="76"/>
      <c r="G593" s="65"/>
      <c r="H593" s="65"/>
      <c r="I593" s="65"/>
    </row>
    <row r="594">
      <c r="A594" s="4">
        <v>592.0</v>
      </c>
      <c r="B594" s="33" t="str">
        <f>if(isblank(C594),,if(C594="wjv",vlookup(ceiling(E594),Class!$J$2:$K$501,2,true),if(C594="w",vlookup(ceiling(E594),Class!$G$2:$H$501,2,true),if(C594="jv",vlookup(ceiling(E594),Class!$A$2:$B$501,2,true),vlookup(ceiling(E594),Class!$D$2:$E$501,2,true)))))</f>
        <v/>
      </c>
      <c r="C594" s="65"/>
      <c r="D594" s="76"/>
      <c r="E594" s="74"/>
      <c r="F594" s="76"/>
      <c r="G594" s="65"/>
      <c r="H594" s="65"/>
      <c r="I594" s="65"/>
    </row>
    <row r="595">
      <c r="A595" s="4">
        <v>593.0</v>
      </c>
      <c r="B595" s="33" t="str">
        <f>if(isblank(C595),,if(C595="wjv",vlookup(ceiling(E595),Class!$J$2:$K$501,2,true),if(C595="w",vlookup(ceiling(E595),Class!$G$2:$H$501,2,true),if(C595="jv",vlookup(ceiling(E595),Class!$A$2:$B$501,2,true),vlookup(ceiling(E595),Class!$D$2:$E$501,2,true)))))</f>
        <v/>
      </c>
      <c r="C595" s="65"/>
      <c r="D595" s="76"/>
      <c r="E595" s="74"/>
      <c r="F595" s="76"/>
      <c r="G595" s="65"/>
      <c r="H595" s="65"/>
      <c r="I595" s="65"/>
    </row>
    <row r="596">
      <c r="A596" s="4">
        <v>594.0</v>
      </c>
      <c r="B596" s="33" t="str">
        <f>if(isblank(C596),,if(C596="wjv",vlookup(ceiling(E596),Class!$J$2:$K$501,2,true),if(C596="w",vlookup(ceiling(E596),Class!$G$2:$H$501,2,true),if(C596="jv",vlookup(ceiling(E596),Class!$A$2:$B$501,2,true),vlookup(ceiling(E596),Class!$D$2:$E$501,2,true)))))</f>
        <v/>
      </c>
      <c r="C596" s="65"/>
      <c r="D596" s="76"/>
      <c r="E596" s="74"/>
      <c r="F596" s="76"/>
      <c r="G596" s="65"/>
      <c r="H596" s="65"/>
      <c r="I596" s="65"/>
    </row>
    <row r="597">
      <c r="A597" s="4">
        <v>595.0</v>
      </c>
      <c r="B597" s="33" t="str">
        <f>if(isblank(C597),,if(C597="wjv",vlookup(ceiling(E597),Class!$J$2:$K$501,2,true),if(C597="w",vlookup(ceiling(E597),Class!$G$2:$H$501,2,true),if(C597="jv",vlookup(ceiling(E597),Class!$A$2:$B$501,2,true),vlookup(ceiling(E597),Class!$D$2:$E$501,2,true)))))</f>
        <v/>
      </c>
      <c r="C597" s="65"/>
      <c r="D597" s="76"/>
      <c r="E597" s="74"/>
      <c r="F597" s="76"/>
      <c r="G597" s="65"/>
      <c r="H597" s="65"/>
      <c r="I597" s="65"/>
    </row>
    <row r="598">
      <c r="A598" s="4">
        <v>596.0</v>
      </c>
      <c r="B598" s="33" t="str">
        <f>if(isblank(C598),,if(C598="wjv",vlookup(ceiling(E598),Class!$J$2:$K$501,2,true),if(C598="w",vlookup(ceiling(E598),Class!$G$2:$H$501,2,true),if(C598="jv",vlookup(ceiling(E598),Class!$A$2:$B$501,2,true),vlookup(ceiling(E598),Class!$D$2:$E$501,2,true)))))</f>
        <v/>
      </c>
      <c r="C598" s="65"/>
      <c r="D598" s="76"/>
      <c r="E598" s="74"/>
      <c r="F598" s="76"/>
      <c r="G598" s="65"/>
      <c r="H598" s="65"/>
      <c r="I598" s="65"/>
    </row>
    <row r="599">
      <c r="A599" s="4">
        <v>597.0</v>
      </c>
      <c r="B599" s="33" t="str">
        <f>if(isblank(C599),,if(C599="wjv",vlookup(ceiling(E599),Class!$J$2:$K$501,2,true),if(C599="w",vlookup(ceiling(E599),Class!$G$2:$H$501,2,true),if(C599="jv",vlookup(ceiling(E599),Class!$A$2:$B$501,2,true),vlookup(ceiling(E599),Class!$D$2:$E$501,2,true)))))</f>
        <v/>
      </c>
      <c r="C599" s="65"/>
      <c r="D599" s="76"/>
      <c r="E599" s="74"/>
      <c r="F599" s="76"/>
      <c r="G599" s="65"/>
      <c r="H599" s="65"/>
      <c r="I599" s="65"/>
    </row>
    <row r="600">
      <c r="A600" s="4">
        <v>598.0</v>
      </c>
      <c r="B600" s="33" t="str">
        <f>if(isblank(C600),,if(C600="wjv",vlookup(ceiling(E600),Class!$J$2:$K$501,2,true),if(C600="w",vlookup(ceiling(E600),Class!$G$2:$H$501,2,true),if(C600="jv",vlookup(ceiling(E600),Class!$A$2:$B$501,2,true),vlookup(ceiling(E600),Class!$D$2:$E$501,2,true)))))</f>
        <v/>
      </c>
      <c r="C600" s="65"/>
      <c r="D600" s="76"/>
      <c r="E600" s="74"/>
      <c r="F600" s="76"/>
      <c r="G600" s="65"/>
      <c r="H600" s="65"/>
      <c r="I600" s="65"/>
    </row>
    <row r="601">
      <c r="A601" s="4">
        <v>599.0</v>
      </c>
      <c r="B601" s="33" t="str">
        <f>if(isblank(C601),,if(C601="wjv",vlookup(ceiling(E601),Class!$J$2:$K$501,2,true),if(C601="w",vlookup(ceiling(E601),Class!$G$2:$H$501,2,true),if(C601="jv",vlookup(ceiling(E601),Class!$A$2:$B$501,2,true),vlookup(ceiling(E601),Class!$D$2:$E$501,2,true)))))</f>
        <v/>
      </c>
      <c r="C601" s="65"/>
      <c r="D601" s="76"/>
      <c r="E601" s="74"/>
      <c r="F601" s="76"/>
      <c r="G601" s="65"/>
      <c r="H601" s="65"/>
      <c r="I601" s="65"/>
    </row>
    <row r="602">
      <c r="A602" s="4">
        <v>600.0</v>
      </c>
      <c r="B602" s="33" t="str">
        <f>if(isblank(C602),,if(C602="wjv",vlookup(ceiling(E602),Class!$J$2:$K$501,2,true),if(C602="w",vlookup(ceiling(E602),Class!$G$2:$H$501,2,true),if(C602="jv",vlookup(ceiling(E602),Class!$A$2:$B$501,2,true),vlookup(ceiling(E602),Class!$D$2:$E$501,2,true)))))</f>
        <v/>
      </c>
      <c r="C602" s="65"/>
      <c r="D602" s="76"/>
      <c r="E602" s="74"/>
      <c r="F602" s="76"/>
      <c r="G602" s="65"/>
      <c r="H602" s="65"/>
      <c r="I602" s="65"/>
    </row>
  </sheetData>
  <autoFilter ref="$B$2:$I$602"/>
  <mergeCells count="3">
    <mergeCell ref="C1:F1"/>
    <mergeCell ref="G1:I1"/>
    <mergeCell ref="K1:P1"/>
  </mergeCells>
  <dataValidations>
    <dataValidation type="list" allowBlank="1" showErrorMessage="1" sqref="C3:C602">
      <formula1>Entry!$K$16:$K$19</formula1>
    </dataValidation>
  </dataValidation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tabColor rgb="FF000000"/>
    <outlinePr summaryBelow="0" summaryRight="0"/>
  </sheetPr>
  <sheetViews>
    <sheetView workbookViewId="0">
      <pane xSplit="6.0" ySplit="2.0" topLeftCell="G3" activePane="bottomRight" state="frozen"/>
      <selection activeCell="G1" sqref="G1" pane="topRight"/>
      <selection activeCell="A3" sqref="A3" pane="bottomLeft"/>
      <selection activeCell="G3" sqref="G3" pane="bottomRight"/>
    </sheetView>
  </sheetViews>
  <sheetFormatPr customHeight="1" defaultColWidth="14.43" defaultRowHeight="15.75"/>
  <cols>
    <col customWidth="1" min="1" max="1" width="3.57"/>
    <col customWidth="1" min="2" max="2" width="9.43"/>
    <col customWidth="1" min="3" max="3" width="6.86"/>
    <col customWidth="1" min="4" max="4" width="14.71"/>
    <col customWidth="1" min="5" max="5" width="7.86"/>
    <col customWidth="1" min="6" max="6" width="18.29"/>
    <col customWidth="1" min="7" max="18" width="5.71"/>
    <col customWidth="1" min="19" max="19" width="9.86"/>
    <col customWidth="1" min="20" max="20" width="11.0"/>
    <col customWidth="1" hidden="1" min="21" max="21" width="11.0"/>
  </cols>
  <sheetData>
    <row r="1">
      <c r="A1" s="14"/>
      <c r="B1" s="16" t="s">
        <v>19</v>
      </c>
      <c r="C1" s="16" t="s">
        <v>135</v>
      </c>
      <c r="D1" s="57" t="s">
        <v>22</v>
      </c>
      <c r="E1" s="57" t="s">
        <v>23</v>
      </c>
      <c r="F1" s="57" t="s">
        <v>25</v>
      </c>
      <c r="G1" s="57" t="s">
        <v>115</v>
      </c>
      <c r="K1" s="57" t="s">
        <v>116</v>
      </c>
      <c r="O1" s="57" t="s">
        <v>117</v>
      </c>
      <c r="S1" s="57" t="s">
        <v>118</v>
      </c>
      <c r="T1" s="57" t="s">
        <v>119</v>
      </c>
      <c r="U1" s="57"/>
    </row>
    <row r="2">
      <c r="A2" s="81"/>
      <c r="B2" s="83" t="s">
        <v>19</v>
      </c>
      <c r="C2" s="83" t="s">
        <v>135</v>
      </c>
      <c r="D2" s="83" t="s">
        <v>22</v>
      </c>
      <c r="E2" s="84" t="s">
        <v>23</v>
      </c>
      <c r="F2" s="83" t="s">
        <v>25</v>
      </c>
      <c r="G2" s="83" t="s">
        <v>136</v>
      </c>
      <c r="H2" s="83" t="s">
        <v>137</v>
      </c>
      <c r="I2" s="83" t="s">
        <v>138</v>
      </c>
      <c r="J2" s="83" t="s">
        <v>139</v>
      </c>
      <c r="K2" s="83" t="s">
        <v>140</v>
      </c>
      <c r="L2" s="83" t="s">
        <v>141</v>
      </c>
      <c r="M2" s="83" t="s">
        <v>142</v>
      </c>
      <c r="N2" s="83" t="s">
        <v>143</v>
      </c>
      <c r="O2" s="83" t="s">
        <v>144</v>
      </c>
      <c r="P2" s="83" t="s">
        <v>145</v>
      </c>
      <c r="Q2" s="83" t="s">
        <v>146</v>
      </c>
      <c r="R2" s="83" t="s">
        <v>147</v>
      </c>
      <c r="S2" s="83"/>
      <c r="T2" s="84" t="s">
        <v>119</v>
      </c>
      <c r="U2" s="84"/>
    </row>
    <row r="3">
      <c r="A3" s="85">
        <v>1.0</v>
      </c>
      <c r="B3" s="35" t="s">
        <v>47</v>
      </c>
      <c r="C3" s="35" t="s">
        <v>109</v>
      </c>
      <c r="D3" s="86" t="s">
        <v>168</v>
      </c>
      <c r="E3" s="35">
        <v>111.1</v>
      </c>
      <c r="F3" s="86" t="s">
        <v>253</v>
      </c>
      <c r="G3" s="35" t="s">
        <v>235</v>
      </c>
      <c r="H3" s="85" t="s">
        <v>175</v>
      </c>
      <c r="I3" s="85" t="s">
        <v>254</v>
      </c>
      <c r="J3" s="87">
        <f t="shared" ref="J3:J77" si="1">IFERROR(__xludf.DUMMYFUNCTION("if(isblank(B3),,Max(if(right(G3,1)=""g"",split(G3,""g""),),if(right(H3,1)=""g"",split(H3,""g""),),if(right(I3,1)=""g"",split(I3,""g""),)))"),205.0)</f>
        <v>205</v>
      </c>
      <c r="K3" s="35" t="s">
        <v>216</v>
      </c>
      <c r="L3" s="88" t="s">
        <v>153</v>
      </c>
      <c r="M3" s="88" t="s">
        <v>165</v>
      </c>
      <c r="N3" s="87">
        <f t="shared" ref="N3:N77" si="2">IFERROR(__xludf.DUMMYFUNCTION("if(isblank($B3),,Max(if(right(K3,1)=""g"",split(K3,""g""),),if(right(L3,1)=""g"",split(L3,""g""),),if(right(M3,1)=""g"",split(M3,""g""),)))"),105.0)</f>
        <v>105</v>
      </c>
      <c r="O3" s="35" t="s">
        <v>156</v>
      </c>
      <c r="P3" s="88" t="s">
        <v>255</v>
      </c>
      <c r="Q3" s="88" t="s">
        <v>256</v>
      </c>
      <c r="R3" s="87">
        <f t="shared" ref="R3:R77" si="3">IFERROR(__xludf.DUMMYFUNCTION("if(isblank($B3),,Max(if(right(O3,1)=""g"",split(O3,""g""),),if(right(P3,1)=""g"",split(P3,""g""),),if(right(Q3,1)=""g"",split(Q3,""g""),)))"),245.0)</f>
        <v>245</v>
      </c>
      <c r="S3" s="90">
        <f t="shared" ref="S3:S77" si="4">if(isblank(F3),,if(or(and(right(G3,1)="x",right(H3,1)="x",right(I3,1)="x"),and(right(K3,1)="x",right(L3,1)="x",right(M3,1)="x"),and(right(O3,1)="x",right(P3,1)="x",right(Q3,1)="x")),0,J3+N3+R3))</f>
        <v>555</v>
      </c>
      <c r="T3" s="91">
        <f t="shared" ref="T3:T77" si="5">if(isblank(E3),,S3/E3)</f>
        <v>4.99549955</v>
      </c>
      <c r="U3" s="85">
        <f t="shared" ref="U3:U77" si="6">countif(G3:Q3,"*g")</f>
        <v>7</v>
      </c>
    </row>
    <row r="4">
      <c r="A4" s="85">
        <v>2.0</v>
      </c>
      <c r="B4" s="35" t="s">
        <v>47</v>
      </c>
      <c r="C4" s="35" t="s">
        <v>109</v>
      </c>
      <c r="D4" s="86" t="s">
        <v>240</v>
      </c>
      <c r="E4" s="35">
        <v>109.0</v>
      </c>
      <c r="F4" s="86" t="s">
        <v>257</v>
      </c>
      <c r="G4" s="35" t="s">
        <v>224</v>
      </c>
      <c r="H4" s="85" t="s">
        <v>150</v>
      </c>
      <c r="I4" s="85" t="s">
        <v>235</v>
      </c>
      <c r="J4" s="87">
        <f t="shared" si="1"/>
        <v>180</v>
      </c>
      <c r="K4" s="35" t="s">
        <v>172</v>
      </c>
      <c r="L4" s="88" t="s">
        <v>210</v>
      </c>
      <c r="M4" s="88" t="s">
        <v>206</v>
      </c>
      <c r="N4" s="87">
        <f t="shared" si="2"/>
        <v>80</v>
      </c>
      <c r="O4" s="35" t="s">
        <v>190</v>
      </c>
      <c r="P4" s="88" t="s">
        <v>167</v>
      </c>
      <c r="Q4" s="88" t="s">
        <v>255</v>
      </c>
      <c r="R4" s="87">
        <f t="shared" si="3"/>
        <v>245</v>
      </c>
      <c r="S4" s="90">
        <f t="shared" si="4"/>
        <v>505</v>
      </c>
      <c r="T4" s="91">
        <f t="shared" si="5"/>
        <v>4.633027523</v>
      </c>
      <c r="U4" s="85">
        <f t="shared" si="6"/>
        <v>8</v>
      </c>
    </row>
    <row r="5">
      <c r="A5" s="85">
        <v>3.0</v>
      </c>
      <c r="B5" s="35" t="s">
        <v>47</v>
      </c>
      <c r="C5" s="35" t="s">
        <v>109</v>
      </c>
      <c r="D5" s="86" t="s">
        <v>212</v>
      </c>
      <c r="E5" s="35">
        <v>113.2</v>
      </c>
      <c r="F5" s="86" t="s">
        <v>258</v>
      </c>
      <c r="G5" s="35" t="s">
        <v>170</v>
      </c>
      <c r="H5" s="85" t="s">
        <v>202</v>
      </c>
      <c r="I5" s="85" t="s">
        <v>201</v>
      </c>
      <c r="J5" s="87">
        <f t="shared" si="1"/>
        <v>155</v>
      </c>
      <c r="K5" s="35" t="s">
        <v>173</v>
      </c>
      <c r="L5" s="88" t="s">
        <v>216</v>
      </c>
      <c r="M5" s="88" t="s">
        <v>207</v>
      </c>
      <c r="N5" s="87">
        <f t="shared" si="2"/>
        <v>95</v>
      </c>
      <c r="O5" s="35" t="s">
        <v>166</v>
      </c>
      <c r="P5" s="88" t="s">
        <v>156</v>
      </c>
      <c r="Q5" s="88" t="s">
        <v>167</v>
      </c>
      <c r="R5" s="87">
        <f t="shared" si="3"/>
        <v>235</v>
      </c>
      <c r="S5" s="90">
        <f t="shared" si="4"/>
        <v>485</v>
      </c>
      <c r="T5" s="91">
        <f t="shared" si="5"/>
        <v>4.284452297</v>
      </c>
      <c r="U5" s="85">
        <f t="shared" si="6"/>
        <v>7</v>
      </c>
    </row>
    <row r="6" ht="16.5" customHeight="1">
      <c r="A6" s="85">
        <v>4.0</v>
      </c>
      <c r="B6" s="35" t="s">
        <v>47</v>
      </c>
      <c r="C6" s="35" t="s">
        <v>109</v>
      </c>
      <c r="D6" s="86" t="s">
        <v>168</v>
      </c>
      <c r="E6" s="35">
        <v>110.9</v>
      </c>
      <c r="F6" s="86" t="s">
        <v>259</v>
      </c>
      <c r="G6" s="35" t="s">
        <v>197</v>
      </c>
      <c r="H6" s="85" t="s">
        <v>186</v>
      </c>
      <c r="I6" s="85" t="s">
        <v>245</v>
      </c>
      <c r="J6" s="87">
        <f t="shared" si="1"/>
        <v>145</v>
      </c>
      <c r="K6" s="35" t="s">
        <v>210</v>
      </c>
      <c r="L6" s="88" t="s">
        <v>173</v>
      </c>
      <c r="M6" s="88" t="s">
        <v>174</v>
      </c>
      <c r="N6" s="87">
        <f t="shared" si="2"/>
        <v>85</v>
      </c>
      <c r="O6" s="35" t="s">
        <v>182</v>
      </c>
      <c r="P6" s="88" t="s">
        <v>167</v>
      </c>
      <c r="Q6" s="88" t="s">
        <v>255</v>
      </c>
      <c r="R6" s="87">
        <f t="shared" si="3"/>
        <v>245</v>
      </c>
      <c r="S6" s="90">
        <f t="shared" si="4"/>
        <v>475</v>
      </c>
      <c r="T6" s="91">
        <f t="shared" si="5"/>
        <v>4.283137962</v>
      </c>
      <c r="U6" s="85">
        <f t="shared" si="6"/>
        <v>8</v>
      </c>
    </row>
    <row r="7">
      <c r="A7" s="85">
        <v>5.0</v>
      </c>
      <c r="B7" s="35" t="s">
        <v>47</v>
      </c>
      <c r="C7" s="35" t="s">
        <v>109</v>
      </c>
      <c r="D7" s="86" t="s">
        <v>260</v>
      </c>
      <c r="E7" s="35">
        <v>110.2</v>
      </c>
      <c r="F7" s="86" t="s">
        <v>261</v>
      </c>
      <c r="G7" s="35" t="s">
        <v>245</v>
      </c>
      <c r="H7" s="85" t="s">
        <v>202</v>
      </c>
      <c r="I7" s="85" t="s">
        <v>201</v>
      </c>
      <c r="J7" s="87">
        <f t="shared" si="1"/>
        <v>155</v>
      </c>
      <c r="K7" s="35" t="s">
        <v>163</v>
      </c>
      <c r="L7" s="88" t="s">
        <v>216</v>
      </c>
      <c r="M7" s="88" t="s">
        <v>262</v>
      </c>
      <c r="N7" s="87">
        <f t="shared" si="2"/>
        <v>95</v>
      </c>
      <c r="O7" s="35" t="s">
        <v>263</v>
      </c>
      <c r="P7" s="88" t="s">
        <v>190</v>
      </c>
      <c r="Q7" s="88" t="s">
        <v>183</v>
      </c>
      <c r="R7" s="87">
        <f t="shared" si="3"/>
        <v>220</v>
      </c>
      <c r="S7" s="90">
        <f t="shared" si="4"/>
        <v>470</v>
      </c>
      <c r="T7" s="91">
        <f t="shared" si="5"/>
        <v>4.264972777</v>
      </c>
      <c r="U7" s="85">
        <f t="shared" si="6"/>
        <v>6</v>
      </c>
    </row>
    <row r="8">
      <c r="A8" s="85">
        <v>6.0</v>
      </c>
      <c r="B8" s="4" t="s">
        <v>47</v>
      </c>
      <c r="C8" s="35" t="s">
        <v>109</v>
      </c>
      <c r="D8" s="86" t="s">
        <v>264</v>
      </c>
      <c r="E8" s="35">
        <v>113.6</v>
      </c>
      <c r="F8" s="86" t="s">
        <v>265</v>
      </c>
      <c r="G8" s="35" t="s">
        <v>266</v>
      </c>
      <c r="H8" s="85" t="s">
        <v>203</v>
      </c>
      <c r="I8" s="85" t="s">
        <v>150</v>
      </c>
      <c r="J8" s="87">
        <f t="shared" si="1"/>
        <v>175</v>
      </c>
      <c r="K8" s="35" t="s">
        <v>154</v>
      </c>
      <c r="L8" s="88" t="s">
        <v>155</v>
      </c>
      <c r="M8" s="88" t="s">
        <v>155</v>
      </c>
      <c r="N8" s="87">
        <f t="shared" si="2"/>
        <v>110</v>
      </c>
      <c r="O8" s="35" t="s">
        <v>202</v>
      </c>
      <c r="P8" s="88" t="s">
        <v>224</v>
      </c>
      <c r="Q8" s="88" t="s">
        <v>150</v>
      </c>
      <c r="R8" s="87">
        <f t="shared" si="3"/>
        <v>175</v>
      </c>
      <c r="S8" s="90">
        <f t="shared" si="4"/>
        <v>460</v>
      </c>
      <c r="T8" s="91">
        <f t="shared" si="5"/>
        <v>4.049295775</v>
      </c>
      <c r="U8" s="85">
        <f t="shared" si="6"/>
        <v>6</v>
      </c>
    </row>
    <row r="9">
      <c r="A9" s="85">
        <v>7.0</v>
      </c>
      <c r="B9" s="4" t="s">
        <v>47</v>
      </c>
      <c r="C9" s="35" t="s">
        <v>109</v>
      </c>
      <c r="D9" s="86" t="s">
        <v>260</v>
      </c>
      <c r="E9" s="35">
        <v>108.2</v>
      </c>
      <c r="F9" s="86" t="s">
        <v>267</v>
      </c>
      <c r="G9" s="35" t="s">
        <v>245</v>
      </c>
      <c r="H9" s="85" t="s">
        <v>202</v>
      </c>
      <c r="I9" s="85" t="s">
        <v>224</v>
      </c>
      <c r="J9" s="87">
        <f t="shared" si="1"/>
        <v>165</v>
      </c>
      <c r="K9" s="35" t="s">
        <v>188</v>
      </c>
      <c r="L9" s="88" t="s">
        <v>195</v>
      </c>
      <c r="M9" s="88" t="s">
        <v>244</v>
      </c>
      <c r="N9" s="87">
        <f t="shared" si="2"/>
        <v>70</v>
      </c>
      <c r="O9" s="35" t="s">
        <v>175</v>
      </c>
      <c r="P9" s="88" t="s">
        <v>166</v>
      </c>
      <c r="Q9" s="88" t="s">
        <v>183</v>
      </c>
      <c r="R9" s="87">
        <f t="shared" si="3"/>
        <v>220</v>
      </c>
      <c r="S9" s="90">
        <f t="shared" si="4"/>
        <v>455</v>
      </c>
      <c r="T9" s="91">
        <f t="shared" si="5"/>
        <v>4.205175601</v>
      </c>
      <c r="U9" s="85">
        <f t="shared" si="6"/>
        <v>8</v>
      </c>
    </row>
    <row r="10">
      <c r="A10" s="85">
        <v>8.0</v>
      </c>
      <c r="B10" s="35" t="s">
        <v>47</v>
      </c>
      <c r="C10" s="35" t="s">
        <v>109</v>
      </c>
      <c r="D10" s="86" t="s">
        <v>268</v>
      </c>
      <c r="E10" s="35">
        <v>113.8</v>
      </c>
      <c r="F10" s="86" t="s">
        <v>269</v>
      </c>
      <c r="G10" s="35" t="s">
        <v>234</v>
      </c>
      <c r="H10" s="85" t="s">
        <v>245</v>
      </c>
      <c r="I10" s="85" t="s">
        <v>171</v>
      </c>
      <c r="J10" s="87">
        <f t="shared" si="1"/>
        <v>150</v>
      </c>
      <c r="K10" s="35" t="s">
        <v>195</v>
      </c>
      <c r="L10" s="88" t="s">
        <v>189</v>
      </c>
      <c r="M10" s="88" t="s">
        <v>189</v>
      </c>
      <c r="N10" s="87">
        <f t="shared" si="2"/>
        <v>70</v>
      </c>
      <c r="O10" s="35" t="s">
        <v>182</v>
      </c>
      <c r="P10" s="88" t="s">
        <v>183</v>
      </c>
      <c r="Q10" s="88" t="s">
        <v>167</v>
      </c>
      <c r="R10" s="87">
        <f t="shared" si="3"/>
        <v>235</v>
      </c>
      <c r="S10" s="90">
        <f t="shared" si="4"/>
        <v>455</v>
      </c>
      <c r="T10" s="91">
        <f t="shared" si="5"/>
        <v>3.998242531</v>
      </c>
      <c r="U10" s="85">
        <f t="shared" si="6"/>
        <v>7</v>
      </c>
    </row>
    <row r="11">
      <c r="A11" s="85">
        <v>9.0</v>
      </c>
      <c r="B11" s="35" t="s">
        <v>47</v>
      </c>
      <c r="C11" s="35" t="s">
        <v>109</v>
      </c>
      <c r="D11" s="86" t="s">
        <v>260</v>
      </c>
      <c r="E11" s="35">
        <v>112.8</v>
      </c>
      <c r="F11" s="86" t="s">
        <v>270</v>
      </c>
      <c r="G11" s="35" t="s">
        <v>234</v>
      </c>
      <c r="H11" s="85" t="s">
        <v>170</v>
      </c>
      <c r="I11" s="85" t="s">
        <v>171</v>
      </c>
      <c r="J11" s="87">
        <f t="shared" si="1"/>
        <v>150</v>
      </c>
      <c r="K11" s="35" t="s">
        <v>195</v>
      </c>
      <c r="L11" s="88" t="s">
        <v>210</v>
      </c>
      <c r="M11" s="88" t="s">
        <v>206</v>
      </c>
      <c r="N11" s="87">
        <f t="shared" si="2"/>
        <v>80</v>
      </c>
      <c r="O11" s="35" t="s">
        <v>254</v>
      </c>
      <c r="P11" s="88" t="s">
        <v>183</v>
      </c>
      <c r="Q11" s="88" t="s">
        <v>271</v>
      </c>
      <c r="R11" s="87">
        <f t="shared" si="3"/>
        <v>220</v>
      </c>
      <c r="S11" s="90">
        <f t="shared" si="4"/>
        <v>450</v>
      </c>
      <c r="T11" s="91">
        <f t="shared" si="5"/>
        <v>3.989361702</v>
      </c>
      <c r="U11" s="85">
        <f t="shared" si="6"/>
        <v>7</v>
      </c>
    </row>
    <row r="12">
      <c r="A12" s="85">
        <v>10.0</v>
      </c>
      <c r="B12" s="35" t="s">
        <v>47</v>
      </c>
      <c r="C12" s="35" t="s">
        <v>109</v>
      </c>
      <c r="D12" s="86" t="s">
        <v>148</v>
      </c>
      <c r="E12" s="35">
        <v>112.5</v>
      </c>
      <c r="F12" s="86" t="s">
        <v>272</v>
      </c>
      <c r="G12" s="35" t="s">
        <v>170</v>
      </c>
      <c r="H12" s="85" t="s">
        <v>171</v>
      </c>
      <c r="I12" s="85" t="s">
        <v>187</v>
      </c>
      <c r="J12" s="87">
        <f t="shared" si="1"/>
        <v>150</v>
      </c>
      <c r="K12" s="35" t="s">
        <v>172</v>
      </c>
      <c r="L12" s="88" t="s">
        <v>210</v>
      </c>
      <c r="M12" s="88" t="s">
        <v>174</v>
      </c>
      <c r="N12" s="87">
        <f t="shared" si="2"/>
        <v>80</v>
      </c>
      <c r="O12" s="35" t="s">
        <v>182</v>
      </c>
      <c r="P12" s="88" t="s">
        <v>183</v>
      </c>
      <c r="Q12" s="88" t="s">
        <v>273</v>
      </c>
      <c r="R12" s="87">
        <f t="shared" si="3"/>
        <v>220</v>
      </c>
      <c r="S12" s="90">
        <f t="shared" si="4"/>
        <v>450</v>
      </c>
      <c r="T12" s="91">
        <f t="shared" si="5"/>
        <v>4</v>
      </c>
      <c r="U12" s="85">
        <f t="shared" si="6"/>
        <v>6</v>
      </c>
    </row>
    <row r="13">
      <c r="A13" s="85">
        <v>11.0</v>
      </c>
      <c r="B13" s="4" t="s">
        <v>47</v>
      </c>
      <c r="C13" s="35" t="s">
        <v>109</v>
      </c>
      <c r="D13" s="86" t="s">
        <v>177</v>
      </c>
      <c r="E13" s="35">
        <v>107.8</v>
      </c>
      <c r="F13" s="86" t="s">
        <v>274</v>
      </c>
      <c r="G13" s="35" t="s">
        <v>197</v>
      </c>
      <c r="H13" s="85" t="s">
        <v>186</v>
      </c>
      <c r="I13" s="85" t="s">
        <v>245</v>
      </c>
      <c r="J13" s="87">
        <f t="shared" si="1"/>
        <v>145</v>
      </c>
      <c r="K13" s="35" t="s">
        <v>172</v>
      </c>
      <c r="L13" s="88" t="s">
        <v>210</v>
      </c>
      <c r="M13" s="88" t="s">
        <v>174</v>
      </c>
      <c r="N13" s="87">
        <f t="shared" si="2"/>
        <v>80</v>
      </c>
      <c r="O13" s="35" t="s">
        <v>151</v>
      </c>
      <c r="P13" s="88" t="s">
        <v>254</v>
      </c>
      <c r="Q13" s="88" t="s">
        <v>183</v>
      </c>
      <c r="R13" s="87">
        <f t="shared" si="3"/>
        <v>220</v>
      </c>
      <c r="S13" s="90">
        <f t="shared" si="4"/>
        <v>445</v>
      </c>
      <c r="T13" s="91">
        <f t="shared" si="5"/>
        <v>4.128014842</v>
      </c>
      <c r="U13" s="85">
        <f t="shared" si="6"/>
        <v>8</v>
      </c>
    </row>
    <row r="14">
      <c r="A14" s="85">
        <v>12.0</v>
      </c>
      <c r="B14" s="35" t="s">
        <v>47</v>
      </c>
      <c r="C14" s="35" t="s">
        <v>109</v>
      </c>
      <c r="D14" s="86" t="s">
        <v>275</v>
      </c>
      <c r="E14" s="35">
        <v>113.1</v>
      </c>
      <c r="F14" s="86" t="s">
        <v>276</v>
      </c>
      <c r="G14" s="35" t="s">
        <v>170</v>
      </c>
      <c r="H14" s="85" t="s">
        <v>171</v>
      </c>
      <c r="I14" s="85" t="s">
        <v>187</v>
      </c>
      <c r="J14" s="87">
        <f t="shared" si="1"/>
        <v>150</v>
      </c>
      <c r="K14" s="35" t="s">
        <v>173</v>
      </c>
      <c r="L14" s="88" t="s">
        <v>216</v>
      </c>
      <c r="M14" s="88" t="s">
        <v>207</v>
      </c>
      <c r="N14" s="87">
        <f t="shared" si="2"/>
        <v>95</v>
      </c>
      <c r="O14" s="35" t="s">
        <v>151</v>
      </c>
      <c r="P14" s="88" t="s">
        <v>175</v>
      </c>
      <c r="Q14" s="88" t="s">
        <v>211</v>
      </c>
      <c r="R14" s="87">
        <f t="shared" si="3"/>
        <v>195</v>
      </c>
      <c r="S14" s="90">
        <f t="shared" si="4"/>
        <v>440</v>
      </c>
      <c r="T14" s="91">
        <f t="shared" si="5"/>
        <v>3.890362511</v>
      </c>
      <c r="U14" s="85">
        <f t="shared" si="6"/>
        <v>6</v>
      </c>
    </row>
    <row r="15">
      <c r="A15" s="85">
        <v>13.0</v>
      </c>
      <c r="B15" s="35" t="s">
        <v>47</v>
      </c>
      <c r="C15" s="35" t="s">
        <v>109</v>
      </c>
      <c r="D15" s="86" t="s">
        <v>168</v>
      </c>
      <c r="E15" s="35">
        <v>109.8</v>
      </c>
      <c r="F15" s="86" t="s">
        <v>277</v>
      </c>
      <c r="G15" s="35" t="s">
        <v>193</v>
      </c>
      <c r="H15" s="85" t="s">
        <v>234</v>
      </c>
      <c r="I15" s="85" t="s">
        <v>245</v>
      </c>
      <c r="J15" s="87">
        <f t="shared" si="1"/>
        <v>145</v>
      </c>
      <c r="K15" s="35" t="s">
        <v>188</v>
      </c>
      <c r="L15" s="88" t="s">
        <v>195</v>
      </c>
      <c r="M15" s="88" t="s">
        <v>172</v>
      </c>
      <c r="N15" s="87">
        <f t="shared" si="2"/>
        <v>75</v>
      </c>
      <c r="O15" s="35" t="s">
        <v>150</v>
      </c>
      <c r="P15" s="88" t="s">
        <v>182</v>
      </c>
      <c r="Q15" s="88" t="s">
        <v>191</v>
      </c>
      <c r="R15" s="87">
        <f t="shared" si="3"/>
        <v>200</v>
      </c>
      <c r="S15" s="90">
        <f t="shared" si="4"/>
        <v>420</v>
      </c>
      <c r="T15" s="91">
        <f t="shared" si="5"/>
        <v>3.825136612</v>
      </c>
      <c r="U15" s="85">
        <f t="shared" si="6"/>
        <v>8</v>
      </c>
    </row>
    <row r="16">
      <c r="A16" s="85">
        <v>14.0</v>
      </c>
      <c r="B16" s="4" t="s">
        <v>47</v>
      </c>
      <c r="C16" s="35" t="s">
        <v>109</v>
      </c>
      <c r="D16" s="86" t="s">
        <v>278</v>
      </c>
      <c r="E16" s="35">
        <v>107.0</v>
      </c>
      <c r="F16" s="86" t="s">
        <v>279</v>
      </c>
      <c r="G16" s="35" t="s">
        <v>170</v>
      </c>
      <c r="H16" s="85" t="s">
        <v>171</v>
      </c>
      <c r="I16" s="85" t="s">
        <v>280</v>
      </c>
      <c r="J16" s="87">
        <f t="shared" si="1"/>
        <v>150</v>
      </c>
      <c r="K16" s="35" t="s">
        <v>281</v>
      </c>
      <c r="L16" s="88" t="s">
        <v>195</v>
      </c>
      <c r="M16" s="88" t="s">
        <v>210</v>
      </c>
      <c r="N16" s="87">
        <f t="shared" si="2"/>
        <v>80</v>
      </c>
      <c r="O16" s="35" t="s">
        <v>224</v>
      </c>
      <c r="P16" s="88" t="s">
        <v>150</v>
      </c>
      <c r="Q16" s="88" t="s">
        <v>151</v>
      </c>
      <c r="R16" s="87">
        <f t="shared" si="3"/>
        <v>185</v>
      </c>
      <c r="S16" s="90">
        <f t="shared" si="4"/>
        <v>415</v>
      </c>
      <c r="T16" s="91">
        <f t="shared" si="5"/>
        <v>3.878504673</v>
      </c>
      <c r="U16" s="85">
        <f t="shared" si="6"/>
        <v>7</v>
      </c>
    </row>
    <row r="17">
      <c r="A17" s="85">
        <v>15.0</v>
      </c>
      <c r="B17" s="35" t="s">
        <v>47</v>
      </c>
      <c r="C17" s="35" t="s">
        <v>109</v>
      </c>
      <c r="D17" s="86" t="s">
        <v>251</v>
      </c>
      <c r="E17" s="35">
        <v>109.9</v>
      </c>
      <c r="F17" s="86" t="s">
        <v>282</v>
      </c>
      <c r="G17" s="35" t="s">
        <v>193</v>
      </c>
      <c r="H17" s="85" t="s">
        <v>179</v>
      </c>
      <c r="I17" s="85" t="s">
        <v>186</v>
      </c>
      <c r="J17" s="87">
        <f t="shared" si="1"/>
        <v>135</v>
      </c>
      <c r="K17" s="35" t="s">
        <v>195</v>
      </c>
      <c r="L17" s="88" t="s">
        <v>172</v>
      </c>
      <c r="M17" s="88" t="s">
        <v>173</v>
      </c>
      <c r="N17" s="87">
        <f t="shared" si="2"/>
        <v>85</v>
      </c>
      <c r="O17" s="35" t="s">
        <v>235</v>
      </c>
      <c r="P17" s="88" t="s">
        <v>236</v>
      </c>
      <c r="Q17" s="88" t="s">
        <v>175</v>
      </c>
      <c r="R17" s="87">
        <f t="shared" si="3"/>
        <v>195</v>
      </c>
      <c r="S17" s="90">
        <f t="shared" si="4"/>
        <v>415</v>
      </c>
      <c r="T17" s="91">
        <f t="shared" si="5"/>
        <v>3.776160146</v>
      </c>
      <c r="U17" s="85">
        <f t="shared" si="6"/>
        <v>8</v>
      </c>
    </row>
    <row r="18">
      <c r="A18" s="85">
        <v>16.0</v>
      </c>
      <c r="B18" s="35" t="s">
        <v>47</v>
      </c>
      <c r="C18" s="35" t="s">
        <v>109</v>
      </c>
      <c r="D18" s="86" t="s">
        <v>251</v>
      </c>
      <c r="E18" s="35">
        <v>113.0</v>
      </c>
      <c r="F18" s="86" t="s">
        <v>283</v>
      </c>
      <c r="G18" s="35" t="s">
        <v>193</v>
      </c>
      <c r="H18" s="85" t="s">
        <v>234</v>
      </c>
      <c r="I18" s="85" t="s">
        <v>170</v>
      </c>
      <c r="J18" s="87">
        <f t="shared" si="1"/>
        <v>140</v>
      </c>
      <c r="K18" s="35" t="s">
        <v>188</v>
      </c>
      <c r="L18" s="88" t="s">
        <v>244</v>
      </c>
      <c r="M18" s="88" t="s">
        <v>244</v>
      </c>
      <c r="N18" s="87">
        <f t="shared" si="2"/>
        <v>65</v>
      </c>
      <c r="O18" s="35" t="s">
        <v>235</v>
      </c>
      <c r="P18" s="88" t="s">
        <v>175</v>
      </c>
      <c r="Q18" s="88" t="s">
        <v>211</v>
      </c>
      <c r="R18" s="87">
        <f t="shared" si="3"/>
        <v>195</v>
      </c>
      <c r="S18" s="90">
        <f t="shared" si="4"/>
        <v>400</v>
      </c>
      <c r="T18" s="91">
        <f t="shared" si="5"/>
        <v>3.539823009</v>
      </c>
      <c r="U18" s="85">
        <f t="shared" si="6"/>
        <v>6</v>
      </c>
    </row>
    <row r="19">
      <c r="A19" s="85">
        <v>17.0</v>
      </c>
      <c r="B19" s="4" t="s">
        <v>47</v>
      </c>
      <c r="C19" s="35" t="s">
        <v>109</v>
      </c>
      <c r="D19" s="86" t="s">
        <v>240</v>
      </c>
      <c r="E19" s="35">
        <v>109.6</v>
      </c>
      <c r="F19" s="86" t="s">
        <v>284</v>
      </c>
      <c r="G19" s="35" t="s">
        <v>179</v>
      </c>
      <c r="H19" s="85" t="s">
        <v>186</v>
      </c>
      <c r="I19" s="85" t="s">
        <v>245</v>
      </c>
      <c r="J19" s="87">
        <f t="shared" si="1"/>
        <v>145</v>
      </c>
      <c r="K19" s="35" t="s">
        <v>223</v>
      </c>
      <c r="L19" s="88" t="s">
        <v>220</v>
      </c>
      <c r="M19" s="88" t="s">
        <v>231</v>
      </c>
      <c r="N19" s="87">
        <f t="shared" si="2"/>
        <v>60</v>
      </c>
      <c r="O19" s="35" t="s">
        <v>171</v>
      </c>
      <c r="P19" s="88" t="s">
        <v>203</v>
      </c>
      <c r="Q19" s="88" t="s">
        <v>181</v>
      </c>
      <c r="R19" s="87">
        <f t="shared" si="3"/>
        <v>190</v>
      </c>
      <c r="S19" s="90">
        <f t="shared" si="4"/>
        <v>395</v>
      </c>
      <c r="T19" s="91">
        <f t="shared" si="5"/>
        <v>3.604014599</v>
      </c>
      <c r="U19" s="85">
        <f t="shared" si="6"/>
        <v>8</v>
      </c>
    </row>
    <row r="20">
      <c r="A20" s="85">
        <v>18.0</v>
      </c>
      <c r="B20" s="35" t="s">
        <v>47</v>
      </c>
      <c r="C20" s="35" t="s">
        <v>109</v>
      </c>
      <c r="D20" s="86" t="s">
        <v>285</v>
      </c>
      <c r="E20" s="35">
        <v>111.6</v>
      </c>
      <c r="F20" s="86" t="s">
        <v>286</v>
      </c>
      <c r="G20" s="35" t="s">
        <v>210</v>
      </c>
      <c r="H20" s="85" t="s">
        <v>164</v>
      </c>
      <c r="I20" s="85" t="s">
        <v>179</v>
      </c>
      <c r="J20" s="87">
        <f t="shared" si="1"/>
        <v>125</v>
      </c>
      <c r="K20" s="35" t="s">
        <v>220</v>
      </c>
      <c r="L20" s="88" t="s">
        <v>231</v>
      </c>
      <c r="M20" s="88" t="s">
        <v>231</v>
      </c>
      <c r="N20" s="87">
        <f t="shared" si="2"/>
        <v>60</v>
      </c>
      <c r="O20" s="35" t="s">
        <v>224</v>
      </c>
      <c r="P20" s="88" t="s">
        <v>181</v>
      </c>
      <c r="Q20" s="88" t="s">
        <v>254</v>
      </c>
      <c r="R20" s="87">
        <f t="shared" si="3"/>
        <v>205</v>
      </c>
      <c r="S20" s="90">
        <f t="shared" si="4"/>
        <v>390</v>
      </c>
      <c r="T20" s="91">
        <f t="shared" si="5"/>
        <v>3.494623656</v>
      </c>
      <c r="U20" s="85">
        <f t="shared" si="6"/>
        <v>7</v>
      </c>
    </row>
    <row r="21">
      <c r="A21" s="85">
        <v>19.0</v>
      </c>
      <c r="B21" s="35" t="s">
        <v>47</v>
      </c>
      <c r="C21" s="35" t="s">
        <v>109</v>
      </c>
      <c r="D21" s="86" t="s">
        <v>287</v>
      </c>
      <c r="E21" s="35">
        <v>113.3</v>
      </c>
      <c r="F21" s="86" t="s">
        <v>288</v>
      </c>
      <c r="G21" s="35" t="s">
        <v>197</v>
      </c>
      <c r="H21" s="85" t="s">
        <v>198</v>
      </c>
      <c r="I21" s="85" t="s">
        <v>198</v>
      </c>
      <c r="J21" s="87">
        <f t="shared" si="1"/>
        <v>120</v>
      </c>
      <c r="K21" s="35" t="s">
        <v>188</v>
      </c>
      <c r="L21" s="88" t="s">
        <v>195</v>
      </c>
      <c r="M21" s="88" t="s">
        <v>244</v>
      </c>
      <c r="N21" s="87">
        <f t="shared" si="2"/>
        <v>70</v>
      </c>
      <c r="O21" s="35" t="s">
        <v>181</v>
      </c>
      <c r="P21" s="88" t="s">
        <v>182</v>
      </c>
      <c r="Q21" s="88" t="s">
        <v>263</v>
      </c>
      <c r="R21" s="87">
        <f t="shared" si="3"/>
        <v>200</v>
      </c>
      <c r="S21" s="90">
        <f t="shared" si="4"/>
        <v>390</v>
      </c>
      <c r="T21" s="91">
        <f t="shared" si="5"/>
        <v>3.442188879</v>
      </c>
      <c r="U21" s="85">
        <f t="shared" si="6"/>
        <v>5</v>
      </c>
    </row>
    <row r="22">
      <c r="A22" s="85">
        <v>20.0</v>
      </c>
      <c r="B22" s="4" t="s">
        <v>47</v>
      </c>
      <c r="C22" s="35" t="s">
        <v>109</v>
      </c>
      <c r="D22" s="92" t="s">
        <v>212</v>
      </c>
      <c r="E22" s="42">
        <v>110.4</v>
      </c>
      <c r="F22" s="92" t="s">
        <v>289</v>
      </c>
      <c r="G22" s="35" t="s">
        <v>154</v>
      </c>
      <c r="H22" s="85" t="s">
        <v>179</v>
      </c>
      <c r="I22" s="85" t="s">
        <v>180</v>
      </c>
      <c r="J22" s="87">
        <f t="shared" si="1"/>
        <v>125</v>
      </c>
      <c r="K22" s="35" t="s">
        <v>220</v>
      </c>
      <c r="L22" s="88" t="s">
        <v>172</v>
      </c>
      <c r="M22" s="88" t="s">
        <v>206</v>
      </c>
      <c r="N22" s="87">
        <f t="shared" si="2"/>
        <v>75</v>
      </c>
      <c r="O22" s="35" t="s">
        <v>161</v>
      </c>
      <c r="P22" s="88" t="s">
        <v>235</v>
      </c>
      <c r="Q22" s="88" t="s">
        <v>151</v>
      </c>
      <c r="R22" s="87">
        <f t="shared" si="3"/>
        <v>185</v>
      </c>
      <c r="S22" s="90">
        <f t="shared" si="4"/>
        <v>385</v>
      </c>
      <c r="T22" s="91">
        <f t="shared" si="5"/>
        <v>3.487318841</v>
      </c>
      <c r="U22" s="85">
        <f t="shared" si="6"/>
        <v>7</v>
      </c>
    </row>
    <row r="23">
      <c r="A23" s="85">
        <v>21.0</v>
      </c>
      <c r="B23" s="42" t="s">
        <v>47</v>
      </c>
      <c r="C23" s="42" t="s">
        <v>109</v>
      </c>
      <c r="D23" s="92" t="s">
        <v>204</v>
      </c>
      <c r="E23" s="42">
        <v>112.3</v>
      </c>
      <c r="F23" s="92" t="s">
        <v>290</v>
      </c>
      <c r="G23" s="35" t="s">
        <v>243</v>
      </c>
      <c r="H23" s="85" t="s">
        <v>179</v>
      </c>
      <c r="I23" s="85" t="s">
        <v>186</v>
      </c>
      <c r="J23" s="87">
        <f t="shared" si="1"/>
        <v>135</v>
      </c>
      <c r="K23" s="35" t="s">
        <v>188</v>
      </c>
      <c r="L23" s="88" t="s">
        <v>231</v>
      </c>
      <c r="M23" s="88" t="s">
        <v>195</v>
      </c>
      <c r="N23" s="87">
        <f t="shared" si="2"/>
        <v>70</v>
      </c>
      <c r="O23" s="35" t="s">
        <v>202</v>
      </c>
      <c r="P23" s="88" t="s">
        <v>203</v>
      </c>
      <c r="Q23" s="88" t="s">
        <v>162</v>
      </c>
      <c r="R23" s="87">
        <f t="shared" si="3"/>
        <v>170</v>
      </c>
      <c r="S23" s="90">
        <f t="shared" si="4"/>
        <v>375</v>
      </c>
      <c r="T23" s="91">
        <f t="shared" si="5"/>
        <v>3.339269813</v>
      </c>
      <c r="U23" s="85">
        <f t="shared" si="6"/>
        <v>6</v>
      </c>
    </row>
    <row r="24">
      <c r="A24" s="85">
        <v>22.0</v>
      </c>
      <c r="B24" s="42" t="s">
        <v>47</v>
      </c>
      <c r="C24" s="42" t="s">
        <v>109</v>
      </c>
      <c r="D24" s="92" t="s">
        <v>212</v>
      </c>
      <c r="E24" s="42">
        <v>113.6</v>
      </c>
      <c r="F24" s="92" t="s">
        <v>291</v>
      </c>
      <c r="G24" s="35" t="s">
        <v>197</v>
      </c>
      <c r="H24" s="85" t="s">
        <v>186</v>
      </c>
      <c r="I24" s="85" t="s">
        <v>194</v>
      </c>
      <c r="J24" s="87">
        <f t="shared" si="1"/>
        <v>135</v>
      </c>
      <c r="K24" s="35" t="s">
        <v>244</v>
      </c>
      <c r="L24" s="88" t="s">
        <v>174</v>
      </c>
      <c r="M24" s="88" t="s">
        <v>207</v>
      </c>
      <c r="N24" s="87">
        <f t="shared" si="2"/>
        <v>0</v>
      </c>
      <c r="O24" s="35" t="s">
        <v>245</v>
      </c>
      <c r="P24" s="88" t="s">
        <v>224</v>
      </c>
      <c r="Q24" s="88" t="s">
        <v>151</v>
      </c>
      <c r="R24" s="87">
        <f t="shared" si="3"/>
        <v>185</v>
      </c>
      <c r="S24" s="90">
        <f t="shared" si="4"/>
        <v>0</v>
      </c>
      <c r="T24" s="91">
        <f t="shared" si="5"/>
        <v>0</v>
      </c>
      <c r="U24" s="85">
        <f t="shared" si="6"/>
        <v>5</v>
      </c>
    </row>
    <row r="25">
      <c r="A25" s="85">
        <v>23.0</v>
      </c>
      <c r="B25" s="55"/>
      <c r="C25" s="55"/>
      <c r="D25" s="94"/>
      <c r="E25" s="55"/>
      <c r="F25" s="94"/>
      <c r="G25" s="35"/>
      <c r="H25" s="85"/>
      <c r="I25" s="85"/>
      <c r="J25" s="87" t="str">
        <f t="shared" si="1"/>
        <v/>
      </c>
      <c r="K25" s="35"/>
      <c r="L25" s="88"/>
      <c r="M25" s="88"/>
      <c r="N25" s="87" t="str">
        <f t="shared" si="2"/>
        <v/>
      </c>
      <c r="O25" s="35"/>
      <c r="P25" s="88"/>
      <c r="Q25" s="88"/>
      <c r="R25" s="87" t="str">
        <f t="shared" si="3"/>
        <v/>
      </c>
      <c r="S25" s="90" t="str">
        <f t="shared" si="4"/>
        <v/>
      </c>
      <c r="T25" s="91" t="str">
        <f t="shared" si="5"/>
        <v/>
      </c>
      <c r="U25" s="85">
        <f t="shared" si="6"/>
        <v>0</v>
      </c>
    </row>
    <row r="26">
      <c r="A26" s="85">
        <v>24.0</v>
      </c>
      <c r="B26" s="55"/>
      <c r="C26" s="40"/>
      <c r="D26" s="54"/>
      <c r="E26" s="40"/>
      <c r="F26" s="54"/>
      <c r="G26" s="35"/>
      <c r="H26" s="85"/>
      <c r="I26" s="85"/>
      <c r="J26" s="87" t="str">
        <f t="shared" si="1"/>
        <v/>
      </c>
      <c r="K26" s="35"/>
      <c r="L26" s="88"/>
      <c r="M26" s="88"/>
      <c r="N26" s="87" t="str">
        <f t="shared" si="2"/>
        <v/>
      </c>
      <c r="O26" s="35"/>
      <c r="P26" s="88"/>
      <c r="Q26" s="88"/>
      <c r="R26" s="87" t="str">
        <f t="shared" si="3"/>
        <v/>
      </c>
      <c r="S26" s="90" t="str">
        <f t="shared" si="4"/>
        <v/>
      </c>
      <c r="T26" s="91" t="str">
        <f t="shared" si="5"/>
        <v/>
      </c>
      <c r="U26" s="85">
        <f t="shared" si="6"/>
        <v>0</v>
      </c>
    </row>
    <row r="27">
      <c r="A27" s="85">
        <v>25.0</v>
      </c>
      <c r="B27" s="55"/>
      <c r="C27" s="40"/>
      <c r="D27" s="54"/>
      <c r="E27" s="40"/>
      <c r="F27" s="54"/>
      <c r="G27" s="35"/>
      <c r="H27" s="85"/>
      <c r="I27" s="85"/>
      <c r="J27" s="87" t="str">
        <f t="shared" si="1"/>
        <v/>
      </c>
      <c r="K27" s="35"/>
      <c r="L27" s="88"/>
      <c r="M27" s="88"/>
      <c r="N27" s="87" t="str">
        <f t="shared" si="2"/>
        <v/>
      </c>
      <c r="O27" s="35"/>
      <c r="P27" s="88"/>
      <c r="Q27" s="88"/>
      <c r="R27" s="87" t="str">
        <f t="shared" si="3"/>
        <v/>
      </c>
      <c r="S27" s="90" t="str">
        <f t="shared" si="4"/>
        <v/>
      </c>
      <c r="T27" s="91" t="str">
        <f t="shared" si="5"/>
        <v/>
      </c>
      <c r="U27" s="85">
        <f t="shared" si="6"/>
        <v>0</v>
      </c>
    </row>
    <row r="28">
      <c r="A28" s="85">
        <v>26.0</v>
      </c>
      <c r="B28" s="55"/>
      <c r="C28" s="40"/>
      <c r="D28" s="54"/>
      <c r="E28" s="40"/>
      <c r="F28" s="54"/>
      <c r="G28" s="35"/>
      <c r="H28" s="85"/>
      <c r="I28" s="85"/>
      <c r="J28" s="87" t="str">
        <f t="shared" si="1"/>
        <v/>
      </c>
      <c r="K28" s="35"/>
      <c r="L28" s="88"/>
      <c r="M28" s="88"/>
      <c r="N28" s="87" t="str">
        <f t="shared" si="2"/>
        <v/>
      </c>
      <c r="O28" s="35"/>
      <c r="P28" s="88"/>
      <c r="Q28" s="88"/>
      <c r="R28" s="87" t="str">
        <f t="shared" si="3"/>
        <v/>
      </c>
      <c r="S28" s="90" t="str">
        <f t="shared" si="4"/>
        <v/>
      </c>
      <c r="T28" s="91" t="str">
        <f t="shared" si="5"/>
        <v/>
      </c>
      <c r="U28" s="85">
        <f t="shared" si="6"/>
        <v>0</v>
      </c>
    </row>
    <row r="29">
      <c r="A29" s="85">
        <v>27.0</v>
      </c>
      <c r="B29" s="55"/>
      <c r="C29" s="40"/>
      <c r="D29" s="54"/>
      <c r="E29" s="40"/>
      <c r="F29" s="54"/>
      <c r="G29" s="35"/>
      <c r="H29" s="85"/>
      <c r="I29" s="85"/>
      <c r="J29" s="87" t="str">
        <f t="shared" si="1"/>
        <v/>
      </c>
      <c r="K29" s="35"/>
      <c r="L29" s="88"/>
      <c r="M29" s="88"/>
      <c r="N29" s="87" t="str">
        <f t="shared" si="2"/>
        <v/>
      </c>
      <c r="O29" s="35"/>
      <c r="P29" s="88"/>
      <c r="Q29" s="88"/>
      <c r="R29" s="87" t="str">
        <f t="shared" si="3"/>
        <v/>
      </c>
      <c r="S29" s="90" t="str">
        <f t="shared" si="4"/>
        <v/>
      </c>
      <c r="T29" s="91" t="str">
        <f t="shared" si="5"/>
        <v/>
      </c>
      <c r="U29" s="85">
        <f t="shared" si="6"/>
        <v>0</v>
      </c>
    </row>
    <row r="30">
      <c r="A30" s="85">
        <v>28.0</v>
      </c>
      <c r="B30" s="55"/>
      <c r="C30" s="40"/>
      <c r="D30" s="54"/>
      <c r="E30" s="40"/>
      <c r="F30" s="54"/>
      <c r="G30" s="35"/>
      <c r="H30" s="85"/>
      <c r="I30" s="85"/>
      <c r="J30" s="87" t="str">
        <f t="shared" si="1"/>
        <v/>
      </c>
      <c r="K30" s="35"/>
      <c r="L30" s="88"/>
      <c r="M30" s="88"/>
      <c r="N30" s="87" t="str">
        <f t="shared" si="2"/>
        <v/>
      </c>
      <c r="O30" s="35"/>
      <c r="P30" s="88"/>
      <c r="Q30" s="88"/>
      <c r="R30" s="87" t="str">
        <f t="shared" si="3"/>
        <v/>
      </c>
      <c r="S30" s="90" t="str">
        <f t="shared" si="4"/>
        <v/>
      </c>
      <c r="T30" s="91" t="str">
        <f t="shared" si="5"/>
        <v/>
      </c>
      <c r="U30" s="85">
        <f t="shared" si="6"/>
        <v>0</v>
      </c>
    </row>
    <row r="31">
      <c r="A31" s="85">
        <v>29.0</v>
      </c>
      <c r="B31" s="55"/>
      <c r="C31" s="40"/>
      <c r="D31" s="54"/>
      <c r="E31" s="40"/>
      <c r="F31" s="54"/>
      <c r="G31" s="35"/>
      <c r="H31" s="85"/>
      <c r="I31" s="85"/>
      <c r="J31" s="87" t="str">
        <f t="shared" si="1"/>
        <v/>
      </c>
      <c r="K31" s="35"/>
      <c r="L31" s="88"/>
      <c r="M31" s="88"/>
      <c r="N31" s="87" t="str">
        <f t="shared" si="2"/>
        <v/>
      </c>
      <c r="O31" s="35"/>
      <c r="P31" s="88"/>
      <c r="Q31" s="88"/>
      <c r="R31" s="87" t="str">
        <f t="shared" si="3"/>
        <v/>
      </c>
      <c r="S31" s="90" t="str">
        <f t="shared" si="4"/>
        <v/>
      </c>
      <c r="T31" s="91" t="str">
        <f t="shared" si="5"/>
        <v/>
      </c>
      <c r="U31" s="85">
        <f t="shared" si="6"/>
        <v>0</v>
      </c>
    </row>
    <row r="32">
      <c r="A32" s="85">
        <v>30.0</v>
      </c>
      <c r="B32" s="55"/>
      <c r="C32" s="40"/>
      <c r="D32" s="54"/>
      <c r="E32" s="40"/>
      <c r="F32" s="54"/>
      <c r="G32" s="35"/>
      <c r="H32" s="85"/>
      <c r="I32" s="85"/>
      <c r="J32" s="87" t="str">
        <f t="shared" si="1"/>
        <v/>
      </c>
      <c r="K32" s="35"/>
      <c r="L32" s="88"/>
      <c r="M32" s="88"/>
      <c r="N32" s="87" t="str">
        <f t="shared" si="2"/>
        <v/>
      </c>
      <c r="O32" s="35"/>
      <c r="P32" s="88"/>
      <c r="Q32" s="88"/>
      <c r="R32" s="87" t="str">
        <f t="shared" si="3"/>
        <v/>
      </c>
      <c r="S32" s="90" t="str">
        <f t="shared" si="4"/>
        <v/>
      </c>
      <c r="T32" s="91" t="str">
        <f t="shared" si="5"/>
        <v/>
      </c>
      <c r="U32" s="85">
        <f t="shared" si="6"/>
        <v>0</v>
      </c>
    </row>
    <row r="33">
      <c r="A33" s="85">
        <v>31.0</v>
      </c>
      <c r="B33" s="55"/>
      <c r="C33" s="40"/>
      <c r="D33" s="54"/>
      <c r="E33" s="40"/>
      <c r="F33" s="54"/>
      <c r="G33" s="35"/>
      <c r="H33" s="85"/>
      <c r="I33" s="85"/>
      <c r="J33" s="87" t="str">
        <f t="shared" si="1"/>
        <v/>
      </c>
      <c r="K33" s="35"/>
      <c r="L33" s="88"/>
      <c r="M33" s="88"/>
      <c r="N33" s="87" t="str">
        <f t="shared" si="2"/>
        <v/>
      </c>
      <c r="O33" s="35"/>
      <c r="P33" s="88"/>
      <c r="Q33" s="88"/>
      <c r="R33" s="87" t="str">
        <f t="shared" si="3"/>
        <v/>
      </c>
      <c r="S33" s="90" t="str">
        <f t="shared" si="4"/>
        <v/>
      </c>
      <c r="T33" s="91" t="str">
        <f t="shared" si="5"/>
        <v/>
      </c>
      <c r="U33" s="85">
        <f t="shared" si="6"/>
        <v>0</v>
      </c>
    </row>
    <row r="34">
      <c r="A34" s="85">
        <v>32.0</v>
      </c>
      <c r="B34" s="55"/>
      <c r="C34" s="40"/>
      <c r="D34" s="54"/>
      <c r="E34" s="40"/>
      <c r="F34" s="54"/>
      <c r="G34" s="35"/>
      <c r="H34" s="85"/>
      <c r="I34" s="85"/>
      <c r="J34" s="87" t="str">
        <f t="shared" si="1"/>
        <v/>
      </c>
      <c r="K34" s="35"/>
      <c r="L34" s="88"/>
      <c r="M34" s="88"/>
      <c r="N34" s="87" t="str">
        <f t="shared" si="2"/>
        <v/>
      </c>
      <c r="O34" s="35"/>
      <c r="P34" s="88"/>
      <c r="Q34" s="88"/>
      <c r="R34" s="87" t="str">
        <f t="shared" si="3"/>
        <v/>
      </c>
      <c r="S34" s="90" t="str">
        <f t="shared" si="4"/>
        <v/>
      </c>
      <c r="T34" s="91" t="str">
        <f t="shared" si="5"/>
        <v/>
      </c>
      <c r="U34" s="85">
        <f t="shared" si="6"/>
        <v>0</v>
      </c>
    </row>
    <row r="35">
      <c r="A35" s="85">
        <v>33.0</v>
      </c>
      <c r="B35" s="55"/>
      <c r="C35" s="40"/>
      <c r="D35" s="54"/>
      <c r="E35" s="40"/>
      <c r="F35" s="54"/>
      <c r="G35" s="35"/>
      <c r="H35" s="85"/>
      <c r="I35" s="85"/>
      <c r="J35" s="87" t="str">
        <f t="shared" si="1"/>
        <v/>
      </c>
      <c r="K35" s="35"/>
      <c r="L35" s="88"/>
      <c r="M35" s="88"/>
      <c r="N35" s="87" t="str">
        <f t="shared" si="2"/>
        <v/>
      </c>
      <c r="O35" s="35"/>
      <c r="P35" s="88"/>
      <c r="Q35" s="88"/>
      <c r="R35" s="87" t="str">
        <f t="shared" si="3"/>
        <v/>
      </c>
      <c r="S35" s="90" t="str">
        <f t="shared" si="4"/>
        <v/>
      </c>
      <c r="T35" s="91" t="str">
        <f t="shared" si="5"/>
        <v/>
      </c>
      <c r="U35" s="85">
        <f t="shared" si="6"/>
        <v>0</v>
      </c>
    </row>
    <row r="36">
      <c r="A36" s="85">
        <v>34.0</v>
      </c>
      <c r="B36" s="55"/>
      <c r="C36" s="40"/>
      <c r="D36" s="54"/>
      <c r="E36" s="40"/>
      <c r="F36" s="54"/>
      <c r="G36" s="35"/>
      <c r="H36" s="85"/>
      <c r="I36" s="85"/>
      <c r="J36" s="87" t="str">
        <f t="shared" si="1"/>
        <v/>
      </c>
      <c r="K36" s="35"/>
      <c r="L36" s="88"/>
      <c r="M36" s="88"/>
      <c r="N36" s="87" t="str">
        <f t="shared" si="2"/>
        <v/>
      </c>
      <c r="O36" s="35"/>
      <c r="P36" s="88"/>
      <c r="Q36" s="88"/>
      <c r="R36" s="87" t="str">
        <f t="shared" si="3"/>
        <v/>
      </c>
      <c r="S36" s="90" t="str">
        <f t="shared" si="4"/>
        <v/>
      </c>
      <c r="T36" s="91" t="str">
        <f t="shared" si="5"/>
        <v/>
      </c>
      <c r="U36" s="85">
        <f t="shared" si="6"/>
        <v>0</v>
      </c>
    </row>
    <row r="37">
      <c r="A37" s="85">
        <v>35.0</v>
      </c>
      <c r="B37" s="55"/>
      <c r="C37" s="40"/>
      <c r="D37" s="54"/>
      <c r="E37" s="40"/>
      <c r="F37" s="54"/>
      <c r="G37" s="35"/>
      <c r="H37" s="85"/>
      <c r="I37" s="85"/>
      <c r="J37" s="87" t="str">
        <f t="shared" si="1"/>
        <v/>
      </c>
      <c r="K37" s="35"/>
      <c r="L37" s="88"/>
      <c r="M37" s="88"/>
      <c r="N37" s="87" t="str">
        <f t="shared" si="2"/>
        <v/>
      </c>
      <c r="O37" s="35"/>
      <c r="P37" s="88"/>
      <c r="Q37" s="88"/>
      <c r="R37" s="87" t="str">
        <f t="shared" si="3"/>
        <v/>
      </c>
      <c r="S37" s="90" t="str">
        <f t="shared" si="4"/>
        <v/>
      </c>
      <c r="T37" s="91" t="str">
        <f t="shared" si="5"/>
        <v/>
      </c>
      <c r="U37" s="85">
        <f t="shared" si="6"/>
        <v>0</v>
      </c>
    </row>
    <row r="38">
      <c r="A38" s="85">
        <v>36.0</v>
      </c>
      <c r="B38" s="55"/>
      <c r="C38" s="40"/>
      <c r="D38" s="54"/>
      <c r="E38" s="40"/>
      <c r="F38" s="54"/>
      <c r="G38" s="35"/>
      <c r="H38" s="85"/>
      <c r="I38" s="85"/>
      <c r="J38" s="87" t="str">
        <f t="shared" si="1"/>
        <v/>
      </c>
      <c r="K38" s="35"/>
      <c r="L38" s="88"/>
      <c r="M38" s="88"/>
      <c r="N38" s="87" t="str">
        <f t="shared" si="2"/>
        <v/>
      </c>
      <c r="O38" s="35"/>
      <c r="P38" s="88"/>
      <c r="Q38" s="88"/>
      <c r="R38" s="87" t="str">
        <f t="shared" si="3"/>
        <v/>
      </c>
      <c r="S38" s="90" t="str">
        <f t="shared" si="4"/>
        <v/>
      </c>
      <c r="T38" s="91" t="str">
        <f t="shared" si="5"/>
        <v/>
      </c>
      <c r="U38" s="85">
        <f t="shared" si="6"/>
        <v>0</v>
      </c>
    </row>
    <row r="39">
      <c r="A39" s="85">
        <v>37.0</v>
      </c>
      <c r="B39" s="55"/>
      <c r="C39" s="40"/>
      <c r="D39" s="54"/>
      <c r="E39" s="40"/>
      <c r="F39" s="54"/>
      <c r="G39" s="35"/>
      <c r="H39" s="85"/>
      <c r="I39" s="85"/>
      <c r="J39" s="87" t="str">
        <f t="shared" si="1"/>
        <v/>
      </c>
      <c r="K39" s="35"/>
      <c r="L39" s="88"/>
      <c r="M39" s="88"/>
      <c r="N39" s="87" t="str">
        <f t="shared" si="2"/>
        <v/>
      </c>
      <c r="O39" s="35"/>
      <c r="P39" s="88"/>
      <c r="Q39" s="88"/>
      <c r="R39" s="87" t="str">
        <f t="shared" si="3"/>
        <v/>
      </c>
      <c r="S39" s="90" t="str">
        <f t="shared" si="4"/>
        <v/>
      </c>
      <c r="T39" s="91" t="str">
        <f t="shared" si="5"/>
        <v/>
      </c>
      <c r="U39" s="85">
        <f t="shared" si="6"/>
        <v>0</v>
      </c>
    </row>
    <row r="40">
      <c r="A40" s="85">
        <v>38.0</v>
      </c>
      <c r="B40" s="55"/>
      <c r="C40" s="40"/>
      <c r="D40" s="54"/>
      <c r="E40" s="40"/>
      <c r="F40" s="54"/>
      <c r="G40" s="35"/>
      <c r="H40" s="85"/>
      <c r="I40" s="85"/>
      <c r="J40" s="87" t="str">
        <f t="shared" si="1"/>
        <v/>
      </c>
      <c r="K40" s="35"/>
      <c r="L40" s="88"/>
      <c r="M40" s="88"/>
      <c r="N40" s="87" t="str">
        <f t="shared" si="2"/>
        <v/>
      </c>
      <c r="O40" s="35"/>
      <c r="P40" s="88"/>
      <c r="Q40" s="88"/>
      <c r="R40" s="87" t="str">
        <f t="shared" si="3"/>
        <v/>
      </c>
      <c r="S40" s="90" t="str">
        <f t="shared" si="4"/>
        <v/>
      </c>
      <c r="T40" s="91" t="str">
        <f t="shared" si="5"/>
        <v/>
      </c>
      <c r="U40" s="85">
        <f t="shared" si="6"/>
        <v>0</v>
      </c>
    </row>
    <row r="41">
      <c r="A41" s="85">
        <v>39.0</v>
      </c>
      <c r="B41" s="55"/>
      <c r="C41" s="40"/>
      <c r="D41" s="54"/>
      <c r="E41" s="40"/>
      <c r="F41" s="54"/>
      <c r="G41" s="35"/>
      <c r="H41" s="85"/>
      <c r="I41" s="85"/>
      <c r="J41" s="87" t="str">
        <f t="shared" si="1"/>
        <v/>
      </c>
      <c r="K41" s="35"/>
      <c r="L41" s="88"/>
      <c r="M41" s="88"/>
      <c r="N41" s="87" t="str">
        <f t="shared" si="2"/>
        <v/>
      </c>
      <c r="O41" s="35"/>
      <c r="P41" s="88"/>
      <c r="Q41" s="88"/>
      <c r="R41" s="87" t="str">
        <f t="shared" si="3"/>
        <v/>
      </c>
      <c r="S41" s="90" t="str">
        <f t="shared" si="4"/>
        <v/>
      </c>
      <c r="T41" s="91" t="str">
        <f t="shared" si="5"/>
        <v/>
      </c>
      <c r="U41" s="85">
        <f t="shared" si="6"/>
        <v>0</v>
      </c>
    </row>
    <row r="42">
      <c r="A42" s="85">
        <v>40.0</v>
      </c>
      <c r="B42" s="35"/>
      <c r="C42" s="65"/>
      <c r="D42" s="76"/>
      <c r="E42" s="93"/>
      <c r="F42" s="76"/>
      <c r="G42" s="35"/>
      <c r="H42" s="85"/>
      <c r="I42" s="85"/>
      <c r="J42" s="87" t="str">
        <f t="shared" si="1"/>
        <v/>
      </c>
      <c r="K42" s="35"/>
      <c r="L42" s="88"/>
      <c r="M42" s="88"/>
      <c r="N42" s="87" t="str">
        <f t="shared" si="2"/>
        <v/>
      </c>
      <c r="O42" s="35"/>
      <c r="P42" s="88"/>
      <c r="Q42" s="88"/>
      <c r="R42" s="87" t="str">
        <f t="shared" si="3"/>
        <v/>
      </c>
      <c r="S42" s="90" t="str">
        <f t="shared" si="4"/>
        <v/>
      </c>
      <c r="T42" s="91" t="str">
        <f t="shared" si="5"/>
        <v/>
      </c>
      <c r="U42" s="85">
        <f t="shared" si="6"/>
        <v>0</v>
      </c>
    </row>
    <row r="43">
      <c r="A43" s="85">
        <v>41.0</v>
      </c>
      <c r="B43" s="35"/>
      <c r="C43" s="65"/>
      <c r="D43" s="76"/>
      <c r="E43" s="93"/>
      <c r="F43" s="76"/>
      <c r="G43" s="35"/>
      <c r="H43" s="85"/>
      <c r="I43" s="85"/>
      <c r="J43" s="87" t="str">
        <f t="shared" si="1"/>
        <v/>
      </c>
      <c r="K43" s="35"/>
      <c r="L43" s="88"/>
      <c r="M43" s="88"/>
      <c r="N43" s="87" t="str">
        <f t="shared" si="2"/>
        <v/>
      </c>
      <c r="O43" s="35"/>
      <c r="P43" s="88"/>
      <c r="Q43" s="88"/>
      <c r="R43" s="87" t="str">
        <f t="shared" si="3"/>
        <v/>
      </c>
      <c r="S43" s="90" t="str">
        <f t="shared" si="4"/>
        <v/>
      </c>
      <c r="T43" s="91" t="str">
        <f t="shared" si="5"/>
        <v/>
      </c>
      <c r="U43" s="85">
        <f t="shared" si="6"/>
        <v>0</v>
      </c>
    </row>
    <row r="44">
      <c r="A44" s="85">
        <v>42.0</v>
      </c>
      <c r="B44" s="35"/>
      <c r="C44" s="65"/>
      <c r="D44" s="76"/>
      <c r="E44" s="93"/>
      <c r="F44" s="76"/>
      <c r="G44" s="35"/>
      <c r="H44" s="85"/>
      <c r="I44" s="85"/>
      <c r="J44" s="87" t="str">
        <f t="shared" si="1"/>
        <v/>
      </c>
      <c r="K44" s="35"/>
      <c r="L44" s="88"/>
      <c r="M44" s="88"/>
      <c r="N44" s="87" t="str">
        <f t="shared" si="2"/>
        <v/>
      </c>
      <c r="O44" s="35"/>
      <c r="P44" s="88"/>
      <c r="Q44" s="88"/>
      <c r="R44" s="87" t="str">
        <f t="shared" si="3"/>
        <v/>
      </c>
      <c r="S44" s="90" t="str">
        <f t="shared" si="4"/>
        <v/>
      </c>
      <c r="T44" s="91" t="str">
        <f t="shared" si="5"/>
        <v/>
      </c>
      <c r="U44" s="85">
        <f t="shared" si="6"/>
        <v>0</v>
      </c>
    </row>
    <row r="45">
      <c r="A45" s="85">
        <v>43.0</v>
      </c>
      <c r="B45" s="35"/>
      <c r="C45" s="65"/>
      <c r="D45" s="76"/>
      <c r="E45" s="93"/>
      <c r="F45" s="76"/>
      <c r="G45" s="35"/>
      <c r="H45" s="85"/>
      <c r="I45" s="85"/>
      <c r="J45" s="87" t="str">
        <f t="shared" si="1"/>
        <v/>
      </c>
      <c r="K45" s="35"/>
      <c r="L45" s="88"/>
      <c r="M45" s="88"/>
      <c r="N45" s="87" t="str">
        <f t="shared" si="2"/>
        <v/>
      </c>
      <c r="O45" s="35"/>
      <c r="P45" s="88"/>
      <c r="Q45" s="88"/>
      <c r="R45" s="87" t="str">
        <f t="shared" si="3"/>
        <v/>
      </c>
      <c r="S45" s="90" t="str">
        <f t="shared" si="4"/>
        <v/>
      </c>
      <c r="T45" s="91" t="str">
        <f t="shared" si="5"/>
        <v/>
      </c>
      <c r="U45" s="85">
        <f t="shared" si="6"/>
        <v>0</v>
      </c>
    </row>
    <row r="46">
      <c r="A46" s="85">
        <v>44.0</v>
      </c>
      <c r="B46" s="35"/>
      <c r="C46" s="65"/>
      <c r="D46" s="76"/>
      <c r="E46" s="93"/>
      <c r="F46" s="76"/>
      <c r="G46" s="35"/>
      <c r="H46" s="85"/>
      <c r="I46" s="85"/>
      <c r="J46" s="87" t="str">
        <f t="shared" si="1"/>
        <v/>
      </c>
      <c r="K46" s="35"/>
      <c r="L46" s="88"/>
      <c r="M46" s="88"/>
      <c r="N46" s="87" t="str">
        <f t="shared" si="2"/>
        <v/>
      </c>
      <c r="O46" s="35"/>
      <c r="P46" s="88"/>
      <c r="Q46" s="88"/>
      <c r="R46" s="87" t="str">
        <f t="shared" si="3"/>
        <v/>
      </c>
      <c r="S46" s="90" t="str">
        <f t="shared" si="4"/>
        <v/>
      </c>
      <c r="T46" s="91" t="str">
        <f t="shared" si="5"/>
        <v/>
      </c>
      <c r="U46" s="85">
        <f t="shared" si="6"/>
        <v>0</v>
      </c>
    </row>
    <row r="47">
      <c r="A47" s="85">
        <v>45.0</v>
      </c>
      <c r="B47" s="35"/>
      <c r="C47" s="65"/>
      <c r="D47" s="76"/>
      <c r="E47" s="93"/>
      <c r="F47" s="76"/>
      <c r="G47" s="35"/>
      <c r="H47" s="85"/>
      <c r="I47" s="85"/>
      <c r="J47" s="87" t="str">
        <f t="shared" si="1"/>
        <v/>
      </c>
      <c r="K47" s="35"/>
      <c r="L47" s="88"/>
      <c r="M47" s="88"/>
      <c r="N47" s="87" t="str">
        <f t="shared" si="2"/>
        <v/>
      </c>
      <c r="O47" s="35"/>
      <c r="P47" s="88"/>
      <c r="Q47" s="88"/>
      <c r="R47" s="87" t="str">
        <f t="shared" si="3"/>
        <v/>
      </c>
      <c r="S47" s="90" t="str">
        <f t="shared" si="4"/>
        <v/>
      </c>
      <c r="T47" s="91" t="str">
        <f t="shared" si="5"/>
        <v/>
      </c>
      <c r="U47" s="85">
        <f t="shared" si="6"/>
        <v>0</v>
      </c>
    </row>
    <row r="48">
      <c r="A48" s="85">
        <v>46.0</v>
      </c>
      <c r="B48" s="35"/>
      <c r="C48" s="65"/>
      <c r="D48" s="76"/>
      <c r="E48" s="93"/>
      <c r="F48" s="76"/>
      <c r="G48" s="35"/>
      <c r="H48" s="85"/>
      <c r="I48" s="85"/>
      <c r="J48" s="87" t="str">
        <f t="shared" si="1"/>
        <v/>
      </c>
      <c r="K48" s="35"/>
      <c r="L48" s="88"/>
      <c r="M48" s="88"/>
      <c r="N48" s="87" t="str">
        <f t="shared" si="2"/>
        <v/>
      </c>
      <c r="O48" s="35"/>
      <c r="P48" s="88"/>
      <c r="Q48" s="88"/>
      <c r="R48" s="87" t="str">
        <f t="shared" si="3"/>
        <v/>
      </c>
      <c r="S48" s="90" t="str">
        <f t="shared" si="4"/>
        <v/>
      </c>
      <c r="T48" s="91" t="str">
        <f t="shared" si="5"/>
        <v/>
      </c>
      <c r="U48" s="85">
        <f t="shared" si="6"/>
        <v>0</v>
      </c>
    </row>
    <row r="49">
      <c r="A49" s="85">
        <v>47.0</v>
      </c>
      <c r="B49" s="35"/>
      <c r="C49" s="65"/>
      <c r="D49" s="76"/>
      <c r="E49" s="93"/>
      <c r="F49" s="76"/>
      <c r="G49" s="35"/>
      <c r="H49" s="85"/>
      <c r="I49" s="85"/>
      <c r="J49" s="87" t="str">
        <f t="shared" si="1"/>
        <v/>
      </c>
      <c r="K49" s="35"/>
      <c r="L49" s="88"/>
      <c r="M49" s="88"/>
      <c r="N49" s="87" t="str">
        <f t="shared" si="2"/>
        <v/>
      </c>
      <c r="O49" s="35"/>
      <c r="P49" s="88"/>
      <c r="Q49" s="88"/>
      <c r="R49" s="87" t="str">
        <f t="shared" si="3"/>
        <v/>
      </c>
      <c r="S49" s="90" t="str">
        <f t="shared" si="4"/>
        <v/>
      </c>
      <c r="T49" s="91" t="str">
        <f t="shared" si="5"/>
        <v/>
      </c>
      <c r="U49" s="85">
        <f t="shared" si="6"/>
        <v>0</v>
      </c>
    </row>
    <row r="50">
      <c r="A50" s="85">
        <v>48.0</v>
      </c>
      <c r="B50" s="35"/>
      <c r="C50" s="65"/>
      <c r="D50" s="76"/>
      <c r="E50" s="93"/>
      <c r="F50" s="76"/>
      <c r="G50" s="35"/>
      <c r="H50" s="85"/>
      <c r="I50" s="85"/>
      <c r="J50" s="87" t="str">
        <f t="shared" si="1"/>
        <v/>
      </c>
      <c r="K50" s="35"/>
      <c r="L50" s="88"/>
      <c r="M50" s="88"/>
      <c r="N50" s="87" t="str">
        <f t="shared" si="2"/>
        <v/>
      </c>
      <c r="O50" s="35"/>
      <c r="P50" s="88"/>
      <c r="Q50" s="88"/>
      <c r="R50" s="87" t="str">
        <f t="shared" si="3"/>
        <v/>
      </c>
      <c r="S50" s="90" t="str">
        <f t="shared" si="4"/>
        <v/>
      </c>
      <c r="T50" s="91" t="str">
        <f t="shared" si="5"/>
        <v/>
      </c>
      <c r="U50" s="85">
        <f t="shared" si="6"/>
        <v>0</v>
      </c>
    </row>
    <row r="51">
      <c r="A51" s="85">
        <v>49.0</v>
      </c>
      <c r="B51" s="35"/>
      <c r="C51" s="65"/>
      <c r="D51" s="76"/>
      <c r="E51" s="93"/>
      <c r="F51" s="76"/>
      <c r="G51" s="35"/>
      <c r="H51" s="85"/>
      <c r="I51" s="85"/>
      <c r="J51" s="87" t="str">
        <f t="shared" si="1"/>
        <v/>
      </c>
      <c r="K51" s="35"/>
      <c r="L51" s="88"/>
      <c r="M51" s="88"/>
      <c r="N51" s="87" t="str">
        <f t="shared" si="2"/>
        <v/>
      </c>
      <c r="O51" s="35"/>
      <c r="P51" s="88"/>
      <c r="Q51" s="88"/>
      <c r="R51" s="87" t="str">
        <f t="shared" si="3"/>
        <v/>
      </c>
      <c r="S51" s="90" t="str">
        <f t="shared" si="4"/>
        <v/>
      </c>
      <c r="T51" s="91" t="str">
        <f t="shared" si="5"/>
        <v/>
      </c>
      <c r="U51" s="85">
        <f t="shared" si="6"/>
        <v>0</v>
      </c>
    </row>
    <row r="52">
      <c r="A52" s="85">
        <v>50.0</v>
      </c>
      <c r="B52" s="35"/>
      <c r="C52" s="65"/>
      <c r="D52" s="76"/>
      <c r="E52" s="93"/>
      <c r="F52" s="76"/>
      <c r="G52" s="35"/>
      <c r="H52" s="85"/>
      <c r="I52" s="85"/>
      <c r="J52" s="87" t="str">
        <f t="shared" si="1"/>
        <v/>
      </c>
      <c r="K52" s="35"/>
      <c r="L52" s="88"/>
      <c r="M52" s="88"/>
      <c r="N52" s="87" t="str">
        <f t="shared" si="2"/>
        <v/>
      </c>
      <c r="O52" s="35"/>
      <c r="P52" s="88"/>
      <c r="Q52" s="88"/>
      <c r="R52" s="87" t="str">
        <f t="shared" si="3"/>
        <v/>
      </c>
      <c r="S52" s="90" t="str">
        <f t="shared" si="4"/>
        <v/>
      </c>
      <c r="T52" s="91" t="str">
        <f t="shared" si="5"/>
        <v/>
      </c>
      <c r="U52" s="85">
        <f t="shared" si="6"/>
        <v>0</v>
      </c>
    </row>
    <row r="53">
      <c r="A53" s="85">
        <v>51.0</v>
      </c>
      <c r="B53" s="35"/>
      <c r="C53" s="65"/>
      <c r="D53" s="76"/>
      <c r="E53" s="93"/>
      <c r="F53" s="76"/>
      <c r="G53" s="35"/>
      <c r="H53" s="85"/>
      <c r="I53" s="85"/>
      <c r="J53" s="87" t="str">
        <f t="shared" si="1"/>
        <v/>
      </c>
      <c r="K53" s="35"/>
      <c r="L53" s="88"/>
      <c r="M53" s="88"/>
      <c r="N53" s="87" t="str">
        <f t="shared" si="2"/>
        <v/>
      </c>
      <c r="O53" s="35"/>
      <c r="P53" s="88"/>
      <c r="Q53" s="88"/>
      <c r="R53" s="87" t="str">
        <f t="shared" si="3"/>
        <v/>
      </c>
      <c r="S53" s="90" t="str">
        <f t="shared" si="4"/>
        <v/>
      </c>
      <c r="T53" s="91" t="str">
        <f t="shared" si="5"/>
        <v/>
      </c>
      <c r="U53" s="85">
        <f t="shared" si="6"/>
        <v>0</v>
      </c>
    </row>
    <row r="54">
      <c r="A54" s="85">
        <v>52.0</v>
      </c>
      <c r="B54" s="35"/>
      <c r="C54" s="65"/>
      <c r="D54" s="76"/>
      <c r="E54" s="93"/>
      <c r="F54" s="76"/>
      <c r="G54" s="35"/>
      <c r="H54" s="85"/>
      <c r="I54" s="85"/>
      <c r="J54" s="87" t="str">
        <f t="shared" si="1"/>
        <v/>
      </c>
      <c r="K54" s="35"/>
      <c r="L54" s="88"/>
      <c r="M54" s="88"/>
      <c r="N54" s="87" t="str">
        <f t="shared" si="2"/>
        <v/>
      </c>
      <c r="O54" s="35"/>
      <c r="P54" s="88"/>
      <c r="Q54" s="88"/>
      <c r="R54" s="87" t="str">
        <f t="shared" si="3"/>
        <v/>
      </c>
      <c r="S54" s="90" t="str">
        <f t="shared" si="4"/>
        <v/>
      </c>
      <c r="T54" s="91" t="str">
        <f t="shared" si="5"/>
        <v/>
      </c>
      <c r="U54" s="85">
        <f t="shared" si="6"/>
        <v>0</v>
      </c>
    </row>
    <row r="55">
      <c r="A55" s="85">
        <v>53.0</v>
      </c>
      <c r="B55" s="35"/>
      <c r="C55" s="65"/>
      <c r="D55" s="76"/>
      <c r="E55" s="93"/>
      <c r="F55" s="76"/>
      <c r="G55" s="35"/>
      <c r="H55" s="85"/>
      <c r="I55" s="85"/>
      <c r="J55" s="87" t="str">
        <f t="shared" si="1"/>
        <v/>
      </c>
      <c r="K55" s="35"/>
      <c r="L55" s="88"/>
      <c r="M55" s="88"/>
      <c r="N55" s="87" t="str">
        <f t="shared" si="2"/>
        <v/>
      </c>
      <c r="O55" s="35"/>
      <c r="P55" s="88"/>
      <c r="Q55" s="88"/>
      <c r="R55" s="87" t="str">
        <f t="shared" si="3"/>
        <v/>
      </c>
      <c r="S55" s="90" t="str">
        <f t="shared" si="4"/>
        <v/>
      </c>
      <c r="T55" s="91" t="str">
        <f t="shared" si="5"/>
        <v/>
      </c>
      <c r="U55" s="85">
        <f t="shared" si="6"/>
        <v>0</v>
      </c>
    </row>
    <row r="56">
      <c r="A56" s="85">
        <v>54.0</v>
      </c>
      <c r="B56" s="35"/>
      <c r="C56" s="65"/>
      <c r="D56" s="76"/>
      <c r="E56" s="93"/>
      <c r="F56" s="76"/>
      <c r="G56" s="35"/>
      <c r="H56" s="85"/>
      <c r="I56" s="85"/>
      <c r="J56" s="87" t="str">
        <f t="shared" si="1"/>
        <v/>
      </c>
      <c r="K56" s="35"/>
      <c r="L56" s="88"/>
      <c r="M56" s="88"/>
      <c r="N56" s="87" t="str">
        <f t="shared" si="2"/>
        <v/>
      </c>
      <c r="O56" s="35"/>
      <c r="P56" s="88"/>
      <c r="Q56" s="88"/>
      <c r="R56" s="87" t="str">
        <f t="shared" si="3"/>
        <v/>
      </c>
      <c r="S56" s="90" t="str">
        <f t="shared" si="4"/>
        <v/>
      </c>
      <c r="T56" s="91" t="str">
        <f t="shared" si="5"/>
        <v/>
      </c>
      <c r="U56" s="85">
        <f t="shared" si="6"/>
        <v>0</v>
      </c>
    </row>
    <row r="57">
      <c r="A57" s="85">
        <v>55.0</v>
      </c>
      <c r="B57" s="35"/>
      <c r="C57" s="65"/>
      <c r="D57" s="76"/>
      <c r="E57" s="93"/>
      <c r="F57" s="76"/>
      <c r="G57" s="35"/>
      <c r="H57" s="85"/>
      <c r="I57" s="85"/>
      <c r="J57" s="87" t="str">
        <f t="shared" si="1"/>
        <v/>
      </c>
      <c r="K57" s="35"/>
      <c r="L57" s="88"/>
      <c r="M57" s="88"/>
      <c r="N57" s="87" t="str">
        <f t="shared" si="2"/>
        <v/>
      </c>
      <c r="O57" s="35"/>
      <c r="P57" s="88"/>
      <c r="Q57" s="88"/>
      <c r="R57" s="87" t="str">
        <f t="shared" si="3"/>
        <v/>
      </c>
      <c r="S57" s="90" t="str">
        <f t="shared" si="4"/>
        <v/>
      </c>
      <c r="T57" s="91" t="str">
        <f t="shared" si="5"/>
        <v/>
      </c>
      <c r="U57" s="85">
        <f t="shared" si="6"/>
        <v>0</v>
      </c>
    </row>
    <row r="58">
      <c r="A58" s="85">
        <v>56.0</v>
      </c>
      <c r="B58" s="35"/>
      <c r="C58" s="65"/>
      <c r="D58" s="76"/>
      <c r="E58" s="93"/>
      <c r="F58" s="76"/>
      <c r="G58" s="35"/>
      <c r="H58" s="85"/>
      <c r="I58" s="85"/>
      <c r="J58" s="87" t="str">
        <f t="shared" si="1"/>
        <v/>
      </c>
      <c r="K58" s="35"/>
      <c r="L58" s="88"/>
      <c r="M58" s="88"/>
      <c r="N58" s="87" t="str">
        <f t="shared" si="2"/>
        <v/>
      </c>
      <c r="O58" s="35"/>
      <c r="P58" s="88"/>
      <c r="Q58" s="88"/>
      <c r="R58" s="87" t="str">
        <f t="shared" si="3"/>
        <v/>
      </c>
      <c r="S58" s="90" t="str">
        <f t="shared" si="4"/>
        <v/>
      </c>
      <c r="T58" s="91" t="str">
        <f t="shared" si="5"/>
        <v/>
      </c>
      <c r="U58" s="85">
        <f t="shared" si="6"/>
        <v>0</v>
      </c>
    </row>
    <row r="59">
      <c r="A59" s="85">
        <v>57.0</v>
      </c>
      <c r="B59" s="35"/>
      <c r="C59" s="65"/>
      <c r="D59" s="76"/>
      <c r="E59" s="93"/>
      <c r="F59" s="76"/>
      <c r="G59" s="35"/>
      <c r="H59" s="85"/>
      <c r="I59" s="85"/>
      <c r="J59" s="87" t="str">
        <f t="shared" si="1"/>
        <v/>
      </c>
      <c r="K59" s="35"/>
      <c r="L59" s="88"/>
      <c r="M59" s="88"/>
      <c r="N59" s="87" t="str">
        <f t="shared" si="2"/>
        <v/>
      </c>
      <c r="O59" s="35"/>
      <c r="P59" s="88"/>
      <c r="Q59" s="88"/>
      <c r="R59" s="87" t="str">
        <f t="shared" si="3"/>
        <v/>
      </c>
      <c r="S59" s="90" t="str">
        <f t="shared" si="4"/>
        <v/>
      </c>
      <c r="T59" s="91" t="str">
        <f t="shared" si="5"/>
        <v/>
      </c>
      <c r="U59" s="85">
        <f t="shared" si="6"/>
        <v>0</v>
      </c>
    </row>
    <row r="60">
      <c r="A60" s="85">
        <v>58.0</v>
      </c>
      <c r="B60" s="35"/>
      <c r="C60" s="65"/>
      <c r="D60" s="76"/>
      <c r="E60" s="93"/>
      <c r="F60" s="76"/>
      <c r="G60" s="35"/>
      <c r="H60" s="85"/>
      <c r="I60" s="85"/>
      <c r="J60" s="87" t="str">
        <f t="shared" si="1"/>
        <v/>
      </c>
      <c r="K60" s="35"/>
      <c r="L60" s="88"/>
      <c r="M60" s="88"/>
      <c r="N60" s="87" t="str">
        <f t="shared" si="2"/>
        <v/>
      </c>
      <c r="O60" s="35"/>
      <c r="P60" s="88"/>
      <c r="Q60" s="88"/>
      <c r="R60" s="87" t="str">
        <f t="shared" si="3"/>
        <v/>
      </c>
      <c r="S60" s="90" t="str">
        <f t="shared" si="4"/>
        <v/>
      </c>
      <c r="T60" s="91" t="str">
        <f t="shared" si="5"/>
        <v/>
      </c>
      <c r="U60" s="85">
        <f t="shared" si="6"/>
        <v>0</v>
      </c>
    </row>
    <row r="61">
      <c r="A61" s="85">
        <v>59.0</v>
      </c>
      <c r="B61" s="35"/>
      <c r="C61" s="65"/>
      <c r="D61" s="76"/>
      <c r="E61" s="93"/>
      <c r="F61" s="76"/>
      <c r="G61" s="35"/>
      <c r="H61" s="85"/>
      <c r="I61" s="85"/>
      <c r="J61" s="87" t="str">
        <f t="shared" si="1"/>
        <v/>
      </c>
      <c r="K61" s="35"/>
      <c r="L61" s="88"/>
      <c r="M61" s="88"/>
      <c r="N61" s="87" t="str">
        <f t="shared" si="2"/>
        <v/>
      </c>
      <c r="O61" s="35"/>
      <c r="P61" s="88"/>
      <c r="Q61" s="88"/>
      <c r="R61" s="87" t="str">
        <f t="shared" si="3"/>
        <v/>
      </c>
      <c r="S61" s="90" t="str">
        <f t="shared" si="4"/>
        <v/>
      </c>
      <c r="T61" s="91" t="str">
        <f t="shared" si="5"/>
        <v/>
      </c>
      <c r="U61" s="85">
        <f t="shared" si="6"/>
        <v>0</v>
      </c>
    </row>
    <row r="62">
      <c r="A62" s="85">
        <v>60.0</v>
      </c>
      <c r="B62" s="35"/>
      <c r="C62" s="65"/>
      <c r="D62" s="76"/>
      <c r="E62" s="93"/>
      <c r="F62" s="76"/>
      <c r="G62" s="35"/>
      <c r="H62" s="85"/>
      <c r="I62" s="85"/>
      <c r="J62" s="87" t="str">
        <f t="shared" si="1"/>
        <v/>
      </c>
      <c r="K62" s="35"/>
      <c r="L62" s="88"/>
      <c r="M62" s="88"/>
      <c r="N62" s="87" t="str">
        <f t="shared" si="2"/>
        <v/>
      </c>
      <c r="O62" s="35"/>
      <c r="P62" s="88"/>
      <c r="Q62" s="88"/>
      <c r="R62" s="87" t="str">
        <f t="shared" si="3"/>
        <v/>
      </c>
      <c r="S62" s="90" t="str">
        <f t="shared" si="4"/>
        <v/>
      </c>
      <c r="T62" s="91" t="str">
        <f t="shared" si="5"/>
        <v/>
      </c>
      <c r="U62" s="85">
        <f t="shared" si="6"/>
        <v>0</v>
      </c>
    </row>
    <row r="63">
      <c r="A63" s="85">
        <v>61.0</v>
      </c>
      <c r="B63" s="35"/>
      <c r="C63" s="65"/>
      <c r="D63" s="76"/>
      <c r="E63" s="93"/>
      <c r="F63" s="76"/>
      <c r="G63" s="35"/>
      <c r="H63" s="85"/>
      <c r="I63" s="85"/>
      <c r="J63" s="87" t="str">
        <f t="shared" si="1"/>
        <v/>
      </c>
      <c r="K63" s="35"/>
      <c r="L63" s="88"/>
      <c r="M63" s="88"/>
      <c r="N63" s="87" t="str">
        <f t="shared" si="2"/>
        <v/>
      </c>
      <c r="O63" s="35"/>
      <c r="P63" s="88"/>
      <c r="Q63" s="88"/>
      <c r="R63" s="87" t="str">
        <f t="shared" si="3"/>
        <v/>
      </c>
      <c r="S63" s="90" t="str">
        <f t="shared" si="4"/>
        <v/>
      </c>
      <c r="T63" s="91" t="str">
        <f t="shared" si="5"/>
        <v/>
      </c>
      <c r="U63" s="85">
        <f t="shared" si="6"/>
        <v>0</v>
      </c>
    </row>
    <row r="64">
      <c r="A64" s="85">
        <v>62.0</v>
      </c>
      <c r="B64" s="35"/>
      <c r="C64" s="65"/>
      <c r="D64" s="76"/>
      <c r="E64" s="93"/>
      <c r="F64" s="76"/>
      <c r="G64" s="35"/>
      <c r="H64" s="85"/>
      <c r="I64" s="85"/>
      <c r="J64" s="87" t="str">
        <f t="shared" si="1"/>
        <v/>
      </c>
      <c r="K64" s="35"/>
      <c r="L64" s="88"/>
      <c r="M64" s="88"/>
      <c r="N64" s="87" t="str">
        <f t="shared" si="2"/>
        <v/>
      </c>
      <c r="O64" s="35"/>
      <c r="P64" s="88"/>
      <c r="Q64" s="88"/>
      <c r="R64" s="87" t="str">
        <f t="shared" si="3"/>
        <v/>
      </c>
      <c r="S64" s="90" t="str">
        <f t="shared" si="4"/>
        <v/>
      </c>
      <c r="T64" s="91" t="str">
        <f t="shared" si="5"/>
        <v/>
      </c>
      <c r="U64" s="85">
        <f t="shared" si="6"/>
        <v>0</v>
      </c>
    </row>
    <row r="65">
      <c r="A65" s="85">
        <v>63.0</v>
      </c>
      <c r="B65" s="35"/>
      <c r="C65" s="65"/>
      <c r="D65" s="76"/>
      <c r="E65" s="93"/>
      <c r="F65" s="76"/>
      <c r="G65" s="35"/>
      <c r="H65" s="85"/>
      <c r="I65" s="85"/>
      <c r="J65" s="87" t="str">
        <f t="shared" si="1"/>
        <v/>
      </c>
      <c r="K65" s="35"/>
      <c r="L65" s="88"/>
      <c r="M65" s="88"/>
      <c r="N65" s="87" t="str">
        <f t="shared" si="2"/>
        <v/>
      </c>
      <c r="O65" s="35"/>
      <c r="P65" s="88"/>
      <c r="Q65" s="88"/>
      <c r="R65" s="87" t="str">
        <f t="shared" si="3"/>
        <v/>
      </c>
      <c r="S65" s="90" t="str">
        <f t="shared" si="4"/>
        <v/>
      </c>
      <c r="T65" s="91" t="str">
        <f t="shared" si="5"/>
        <v/>
      </c>
      <c r="U65" s="85">
        <f t="shared" si="6"/>
        <v>0</v>
      </c>
    </row>
    <row r="66">
      <c r="A66" s="85">
        <v>64.0</v>
      </c>
      <c r="B66" s="35"/>
      <c r="C66" s="65"/>
      <c r="D66" s="76"/>
      <c r="E66" s="93"/>
      <c r="F66" s="76"/>
      <c r="G66" s="35"/>
      <c r="H66" s="85"/>
      <c r="I66" s="85"/>
      <c r="J66" s="87" t="str">
        <f t="shared" si="1"/>
        <v/>
      </c>
      <c r="K66" s="35"/>
      <c r="L66" s="88"/>
      <c r="M66" s="88"/>
      <c r="N66" s="87" t="str">
        <f t="shared" si="2"/>
        <v/>
      </c>
      <c r="O66" s="35"/>
      <c r="P66" s="88"/>
      <c r="Q66" s="88"/>
      <c r="R66" s="87" t="str">
        <f t="shared" si="3"/>
        <v/>
      </c>
      <c r="S66" s="90" t="str">
        <f t="shared" si="4"/>
        <v/>
      </c>
      <c r="T66" s="91" t="str">
        <f t="shared" si="5"/>
        <v/>
      </c>
      <c r="U66" s="85">
        <f t="shared" si="6"/>
        <v>0</v>
      </c>
    </row>
    <row r="67">
      <c r="A67" s="85">
        <v>65.0</v>
      </c>
      <c r="B67" s="35"/>
      <c r="C67" s="65"/>
      <c r="D67" s="76"/>
      <c r="E67" s="93"/>
      <c r="F67" s="76"/>
      <c r="G67" s="35"/>
      <c r="H67" s="85"/>
      <c r="I67" s="85"/>
      <c r="J67" s="87" t="str">
        <f t="shared" si="1"/>
        <v/>
      </c>
      <c r="K67" s="35"/>
      <c r="L67" s="88"/>
      <c r="M67" s="88"/>
      <c r="N67" s="87" t="str">
        <f t="shared" si="2"/>
        <v/>
      </c>
      <c r="O67" s="35"/>
      <c r="P67" s="88"/>
      <c r="Q67" s="88"/>
      <c r="R67" s="87" t="str">
        <f t="shared" si="3"/>
        <v/>
      </c>
      <c r="S67" s="90" t="str">
        <f t="shared" si="4"/>
        <v/>
      </c>
      <c r="T67" s="91" t="str">
        <f t="shared" si="5"/>
        <v/>
      </c>
      <c r="U67" s="85">
        <f t="shared" si="6"/>
        <v>0</v>
      </c>
    </row>
    <row r="68">
      <c r="A68" s="85">
        <v>66.0</v>
      </c>
      <c r="B68" s="35"/>
      <c r="C68" s="65"/>
      <c r="D68" s="76"/>
      <c r="E68" s="93"/>
      <c r="F68" s="76"/>
      <c r="G68" s="35"/>
      <c r="H68" s="85"/>
      <c r="I68" s="85"/>
      <c r="J68" s="87" t="str">
        <f t="shared" si="1"/>
        <v/>
      </c>
      <c r="K68" s="35"/>
      <c r="L68" s="88"/>
      <c r="M68" s="88"/>
      <c r="N68" s="87" t="str">
        <f t="shared" si="2"/>
        <v/>
      </c>
      <c r="O68" s="35"/>
      <c r="P68" s="88"/>
      <c r="Q68" s="88"/>
      <c r="R68" s="87" t="str">
        <f t="shared" si="3"/>
        <v/>
      </c>
      <c r="S68" s="90" t="str">
        <f t="shared" si="4"/>
        <v/>
      </c>
      <c r="T68" s="91" t="str">
        <f t="shared" si="5"/>
        <v/>
      </c>
      <c r="U68" s="85">
        <f t="shared" si="6"/>
        <v>0</v>
      </c>
    </row>
    <row r="69">
      <c r="A69" s="85">
        <v>67.0</v>
      </c>
      <c r="B69" s="35"/>
      <c r="C69" s="65"/>
      <c r="D69" s="76"/>
      <c r="E69" s="93"/>
      <c r="F69" s="76"/>
      <c r="G69" s="35"/>
      <c r="H69" s="85"/>
      <c r="I69" s="85"/>
      <c r="J69" s="87" t="str">
        <f t="shared" si="1"/>
        <v/>
      </c>
      <c r="K69" s="35"/>
      <c r="L69" s="88"/>
      <c r="M69" s="88"/>
      <c r="N69" s="87" t="str">
        <f t="shared" si="2"/>
        <v/>
      </c>
      <c r="O69" s="35"/>
      <c r="P69" s="88"/>
      <c r="Q69" s="88"/>
      <c r="R69" s="87" t="str">
        <f t="shared" si="3"/>
        <v/>
      </c>
      <c r="S69" s="90" t="str">
        <f t="shared" si="4"/>
        <v/>
      </c>
      <c r="T69" s="91" t="str">
        <f t="shared" si="5"/>
        <v/>
      </c>
      <c r="U69" s="85">
        <f t="shared" si="6"/>
        <v>0</v>
      </c>
    </row>
    <row r="70">
      <c r="A70" s="85">
        <v>68.0</v>
      </c>
      <c r="B70" s="35"/>
      <c r="C70" s="65"/>
      <c r="D70" s="76"/>
      <c r="E70" s="93"/>
      <c r="F70" s="76"/>
      <c r="G70" s="35"/>
      <c r="H70" s="85"/>
      <c r="I70" s="85"/>
      <c r="J70" s="87" t="str">
        <f t="shared" si="1"/>
        <v/>
      </c>
      <c r="K70" s="35"/>
      <c r="L70" s="88"/>
      <c r="M70" s="88"/>
      <c r="N70" s="87" t="str">
        <f t="shared" si="2"/>
        <v/>
      </c>
      <c r="O70" s="35"/>
      <c r="P70" s="88"/>
      <c r="Q70" s="88"/>
      <c r="R70" s="87" t="str">
        <f t="shared" si="3"/>
        <v/>
      </c>
      <c r="S70" s="90" t="str">
        <f t="shared" si="4"/>
        <v/>
      </c>
      <c r="T70" s="91" t="str">
        <f t="shared" si="5"/>
        <v/>
      </c>
      <c r="U70" s="85">
        <f t="shared" si="6"/>
        <v>0</v>
      </c>
    </row>
    <row r="71">
      <c r="A71" s="85">
        <v>69.0</v>
      </c>
      <c r="B71" s="35"/>
      <c r="C71" s="65"/>
      <c r="D71" s="76"/>
      <c r="E71" s="93"/>
      <c r="F71" s="76"/>
      <c r="G71" s="35"/>
      <c r="H71" s="85"/>
      <c r="I71" s="85"/>
      <c r="J71" s="87" t="str">
        <f t="shared" si="1"/>
        <v/>
      </c>
      <c r="K71" s="35"/>
      <c r="L71" s="88"/>
      <c r="M71" s="88"/>
      <c r="N71" s="87" t="str">
        <f t="shared" si="2"/>
        <v/>
      </c>
      <c r="O71" s="35"/>
      <c r="P71" s="88"/>
      <c r="Q71" s="88"/>
      <c r="R71" s="87" t="str">
        <f t="shared" si="3"/>
        <v/>
      </c>
      <c r="S71" s="90" t="str">
        <f t="shared" si="4"/>
        <v/>
      </c>
      <c r="T71" s="91" t="str">
        <f t="shared" si="5"/>
        <v/>
      </c>
      <c r="U71" s="85">
        <f t="shared" si="6"/>
        <v>0</v>
      </c>
    </row>
    <row r="72">
      <c r="A72" s="85">
        <v>70.0</v>
      </c>
      <c r="B72" s="35"/>
      <c r="C72" s="65"/>
      <c r="D72" s="76"/>
      <c r="E72" s="93"/>
      <c r="F72" s="76"/>
      <c r="G72" s="35"/>
      <c r="H72" s="85"/>
      <c r="I72" s="85"/>
      <c r="J72" s="87" t="str">
        <f t="shared" si="1"/>
        <v/>
      </c>
      <c r="K72" s="35"/>
      <c r="L72" s="88"/>
      <c r="M72" s="88"/>
      <c r="N72" s="87" t="str">
        <f t="shared" si="2"/>
        <v/>
      </c>
      <c r="O72" s="35"/>
      <c r="P72" s="88"/>
      <c r="Q72" s="88"/>
      <c r="R72" s="87" t="str">
        <f t="shared" si="3"/>
        <v/>
      </c>
      <c r="S72" s="90" t="str">
        <f t="shared" si="4"/>
        <v/>
      </c>
      <c r="T72" s="91" t="str">
        <f t="shared" si="5"/>
        <v/>
      </c>
      <c r="U72" s="85">
        <f t="shared" si="6"/>
        <v>0</v>
      </c>
    </row>
    <row r="73">
      <c r="A73" s="85">
        <v>71.0</v>
      </c>
      <c r="B73" s="35"/>
      <c r="C73" s="65"/>
      <c r="D73" s="76"/>
      <c r="E73" s="93"/>
      <c r="F73" s="76"/>
      <c r="G73" s="35"/>
      <c r="H73" s="85"/>
      <c r="I73" s="85"/>
      <c r="J73" s="87" t="str">
        <f t="shared" si="1"/>
        <v/>
      </c>
      <c r="K73" s="35"/>
      <c r="L73" s="88"/>
      <c r="M73" s="88"/>
      <c r="N73" s="87" t="str">
        <f t="shared" si="2"/>
        <v/>
      </c>
      <c r="O73" s="35"/>
      <c r="P73" s="88"/>
      <c r="Q73" s="88"/>
      <c r="R73" s="87" t="str">
        <f t="shared" si="3"/>
        <v/>
      </c>
      <c r="S73" s="90" t="str">
        <f t="shared" si="4"/>
        <v/>
      </c>
      <c r="T73" s="91" t="str">
        <f t="shared" si="5"/>
        <v/>
      </c>
      <c r="U73" s="85">
        <f t="shared" si="6"/>
        <v>0</v>
      </c>
    </row>
    <row r="74">
      <c r="A74" s="85">
        <v>72.0</v>
      </c>
      <c r="B74" s="35"/>
      <c r="C74" s="65"/>
      <c r="D74" s="76"/>
      <c r="E74" s="93"/>
      <c r="F74" s="76"/>
      <c r="G74" s="35"/>
      <c r="H74" s="85"/>
      <c r="I74" s="85"/>
      <c r="J74" s="87" t="str">
        <f t="shared" si="1"/>
        <v/>
      </c>
      <c r="K74" s="35"/>
      <c r="L74" s="88"/>
      <c r="M74" s="88"/>
      <c r="N74" s="87" t="str">
        <f t="shared" si="2"/>
        <v/>
      </c>
      <c r="O74" s="35"/>
      <c r="P74" s="88"/>
      <c r="Q74" s="88"/>
      <c r="R74" s="87" t="str">
        <f t="shared" si="3"/>
        <v/>
      </c>
      <c r="S74" s="90" t="str">
        <f t="shared" si="4"/>
        <v/>
      </c>
      <c r="T74" s="91" t="str">
        <f t="shared" si="5"/>
        <v/>
      </c>
      <c r="U74" s="85">
        <f t="shared" si="6"/>
        <v>0</v>
      </c>
    </row>
    <row r="75">
      <c r="A75" s="85">
        <v>73.0</v>
      </c>
      <c r="B75" s="35"/>
      <c r="C75" s="65"/>
      <c r="D75" s="76"/>
      <c r="E75" s="93"/>
      <c r="F75" s="76"/>
      <c r="G75" s="35"/>
      <c r="H75" s="85"/>
      <c r="I75" s="85"/>
      <c r="J75" s="87" t="str">
        <f t="shared" si="1"/>
        <v/>
      </c>
      <c r="K75" s="35"/>
      <c r="L75" s="88"/>
      <c r="M75" s="88"/>
      <c r="N75" s="87" t="str">
        <f t="shared" si="2"/>
        <v/>
      </c>
      <c r="O75" s="35"/>
      <c r="P75" s="88"/>
      <c r="Q75" s="88"/>
      <c r="R75" s="87" t="str">
        <f t="shared" si="3"/>
        <v/>
      </c>
      <c r="S75" s="90" t="str">
        <f t="shared" si="4"/>
        <v/>
      </c>
      <c r="T75" s="91" t="str">
        <f t="shared" si="5"/>
        <v/>
      </c>
      <c r="U75" s="85">
        <f t="shared" si="6"/>
        <v>0</v>
      </c>
    </row>
    <row r="76">
      <c r="A76" s="85">
        <v>74.0</v>
      </c>
      <c r="B76" s="35"/>
      <c r="C76" s="65"/>
      <c r="D76" s="76"/>
      <c r="E76" s="93"/>
      <c r="F76" s="76"/>
      <c r="G76" s="35"/>
      <c r="H76" s="85"/>
      <c r="I76" s="85"/>
      <c r="J76" s="87" t="str">
        <f t="shared" si="1"/>
        <v/>
      </c>
      <c r="K76" s="35"/>
      <c r="L76" s="88"/>
      <c r="M76" s="88"/>
      <c r="N76" s="87" t="str">
        <f t="shared" si="2"/>
        <v/>
      </c>
      <c r="O76" s="35"/>
      <c r="P76" s="88"/>
      <c r="Q76" s="88"/>
      <c r="R76" s="87" t="str">
        <f t="shared" si="3"/>
        <v/>
      </c>
      <c r="S76" s="90" t="str">
        <f t="shared" si="4"/>
        <v/>
      </c>
      <c r="T76" s="91" t="str">
        <f t="shared" si="5"/>
        <v/>
      </c>
      <c r="U76" s="85">
        <f t="shared" si="6"/>
        <v>0</v>
      </c>
    </row>
    <row r="77">
      <c r="A77" s="85">
        <v>75.0</v>
      </c>
      <c r="B77" s="35"/>
      <c r="C77" s="65"/>
      <c r="D77" s="76"/>
      <c r="E77" s="93"/>
      <c r="F77" s="76"/>
      <c r="G77" s="35"/>
      <c r="H77" s="85"/>
      <c r="I77" s="85"/>
      <c r="J77" s="87" t="str">
        <f t="shared" si="1"/>
        <v/>
      </c>
      <c r="K77" s="35"/>
      <c r="L77" s="88"/>
      <c r="M77" s="88"/>
      <c r="N77" s="87" t="str">
        <f t="shared" si="2"/>
        <v/>
      </c>
      <c r="O77" s="35"/>
      <c r="P77" s="88"/>
      <c r="Q77" s="88"/>
      <c r="R77" s="87" t="str">
        <f t="shared" si="3"/>
        <v/>
      </c>
      <c r="S77" s="90" t="str">
        <f t="shared" si="4"/>
        <v/>
      </c>
      <c r="T77" s="91" t="str">
        <f t="shared" si="5"/>
        <v/>
      </c>
      <c r="U77" s="85">
        <f t="shared" si="6"/>
        <v>0</v>
      </c>
    </row>
  </sheetData>
  <autoFilter ref="$B$2:$T$77"/>
  <customSheetViews>
    <customSheetView guid="{B0C17AAF-6872-48F8-A58E-565BF6C8DB27}" filter="1" showAutoFilter="1">
      <autoFilter ref="$C$2:$T$52"/>
    </customSheetView>
  </customSheetViews>
  <mergeCells count="3">
    <mergeCell ref="G1:J1"/>
    <mergeCell ref="O1:R1"/>
    <mergeCell ref="K1:N1"/>
  </mergeCells>
  <conditionalFormatting sqref="G3:I77 K3:M77 O3:Q77">
    <cfRule type="endsWith" dxfId="2" priority="1" operator="endsWith" text="g">
      <formula>RIGHT((G3),LEN("g"))=("g")</formula>
    </cfRule>
  </conditionalFormatting>
  <conditionalFormatting sqref="G3:I77 K3:M77 O3:Q77">
    <cfRule type="endsWith" dxfId="1" priority="2" operator="endsWith" text="x">
      <formula>RIGHT((G3),LEN("x"))=("x")</formula>
    </cfRule>
  </conditionalFormatting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tabColor rgb="FF000000"/>
    <outlinePr summaryBelow="0" summaryRight="0"/>
  </sheetPr>
  <sheetViews>
    <sheetView workbookViewId="0">
      <pane xSplit="6.0" ySplit="2.0" topLeftCell="G3" activePane="bottomRight" state="frozen"/>
      <selection activeCell="G1" sqref="G1" pane="topRight"/>
      <selection activeCell="A3" sqref="A3" pane="bottomLeft"/>
      <selection activeCell="G3" sqref="G3" pane="bottomRight"/>
    </sheetView>
  </sheetViews>
  <sheetFormatPr customHeight="1" defaultColWidth="14.43" defaultRowHeight="15.75"/>
  <cols>
    <col customWidth="1" min="1" max="1" width="3.57"/>
    <col customWidth="1" min="2" max="2" width="10.57"/>
    <col customWidth="1" min="3" max="3" width="6.86"/>
    <col customWidth="1" min="4" max="4" width="14.71"/>
    <col customWidth="1" min="5" max="5" width="7.57"/>
    <col customWidth="1" min="6" max="6" width="18.29"/>
    <col customWidth="1" min="7" max="15" width="5.71"/>
    <col customWidth="1" min="16" max="16" width="7.43"/>
    <col customWidth="1" min="17" max="18" width="5.71"/>
    <col customWidth="1" min="19" max="19" width="9.86"/>
    <col customWidth="1" min="20" max="20" width="11.0"/>
    <col customWidth="1" hidden="1" min="21" max="21" width="11.0"/>
  </cols>
  <sheetData>
    <row r="1">
      <c r="A1" s="14"/>
      <c r="B1" s="16" t="s">
        <v>19</v>
      </c>
      <c r="C1" s="16" t="s">
        <v>135</v>
      </c>
      <c r="D1" s="57" t="s">
        <v>22</v>
      </c>
      <c r="E1" s="57" t="s">
        <v>23</v>
      </c>
      <c r="F1" s="57" t="s">
        <v>25</v>
      </c>
      <c r="G1" s="57" t="s">
        <v>115</v>
      </c>
      <c r="K1" s="57" t="s">
        <v>116</v>
      </c>
      <c r="O1" s="57" t="s">
        <v>117</v>
      </c>
      <c r="S1" s="57" t="s">
        <v>118</v>
      </c>
      <c r="T1" s="57" t="s">
        <v>119</v>
      </c>
      <c r="U1" s="57"/>
    </row>
    <row r="2">
      <c r="A2" s="81"/>
      <c r="B2" s="83" t="s">
        <v>19</v>
      </c>
      <c r="C2" s="83" t="s">
        <v>135</v>
      </c>
      <c r="D2" s="83" t="s">
        <v>22</v>
      </c>
      <c r="E2" s="84" t="s">
        <v>23</v>
      </c>
      <c r="F2" s="83" t="s">
        <v>25</v>
      </c>
      <c r="G2" s="83" t="s">
        <v>136</v>
      </c>
      <c r="H2" s="83" t="s">
        <v>137</v>
      </c>
      <c r="I2" s="83" t="s">
        <v>138</v>
      </c>
      <c r="J2" s="83" t="s">
        <v>139</v>
      </c>
      <c r="K2" s="83" t="s">
        <v>140</v>
      </c>
      <c r="L2" s="83" t="s">
        <v>141</v>
      </c>
      <c r="M2" s="83" t="s">
        <v>142</v>
      </c>
      <c r="N2" s="83" t="s">
        <v>143</v>
      </c>
      <c r="O2" s="83" t="s">
        <v>144</v>
      </c>
      <c r="P2" s="83" t="s">
        <v>145</v>
      </c>
      <c r="Q2" s="83" t="s">
        <v>146</v>
      </c>
      <c r="R2" s="83" t="s">
        <v>147</v>
      </c>
      <c r="S2" s="83"/>
      <c r="T2" s="84" t="s">
        <v>119</v>
      </c>
      <c r="U2" s="84"/>
    </row>
    <row r="3">
      <c r="A3" s="85">
        <v>1.0</v>
      </c>
      <c r="B3" s="4" t="s">
        <v>51</v>
      </c>
      <c r="C3" s="35" t="s">
        <v>109</v>
      </c>
      <c r="D3" s="86" t="s">
        <v>168</v>
      </c>
      <c r="E3" s="35">
        <v>118.8</v>
      </c>
      <c r="F3" s="86" t="s">
        <v>292</v>
      </c>
      <c r="G3" s="35" t="s">
        <v>175</v>
      </c>
      <c r="H3" s="85" t="s">
        <v>254</v>
      </c>
      <c r="I3" s="89" t="s">
        <v>263</v>
      </c>
      <c r="J3" s="87">
        <f t="shared" ref="J3:J77" si="1">IFERROR(__xludf.DUMMYFUNCTION("if(isblank(B3),,Max(if(right(G3,1)=""g"",split(G3,""g""),),if(right(H3,1)=""g"",split(H3,""g""),),if(right(I3,1)=""g"",split(I3,""g""),)))"),205.0)</f>
        <v>205</v>
      </c>
      <c r="K3" s="35" t="s">
        <v>216</v>
      </c>
      <c r="L3" s="88" t="s">
        <v>153</v>
      </c>
      <c r="M3" s="88" t="s">
        <v>154</v>
      </c>
      <c r="N3" s="87">
        <f t="shared" ref="N3:N77" si="2">IFERROR(__xludf.DUMMYFUNCTION("if(isblank($B3),,Max(if(right(K3,1)=""g"",split(K3,""g""),),if(right(L3,1)=""g"",split(L3,""g""),),if(right(M3,1)=""g"",split(M3,""g""),)))"),110.0)</f>
        <v>110</v>
      </c>
      <c r="O3" s="35" t="s">
        <v>156</v>
      </c>
      <c r="P3" s="88" t="s">
        <v>176</v>
      </c>
      <c r="Q3" s="88" t="s">
        <v>293</v>
      </c>
      <c r="R3" s="87">
        <f t="shared" ref="R3:R77" si="3">IFERROR(__xludf.DUMMYFUNCTION("if(isblank($B3),,Max(if(right(O3,1)=""g"",split(O3,""g""),),if(right(P3,1)=""g"",split(P3,""g""),),if(right(Q3,1)=""g"",split(Q3,""g""),)))"),265.0)</f>
        <v>265</v>
      </c>
      <c r="S3" s="90">
        <f t="shared" ref="S3:S77" si="4">if(isblank(F3),,if(or(and(right(G3,1)="x",right(H3,1)="x",right(I3,1)="x"),and(right(K3,1)="x",right(L3,1)="x",right(M3,1)="x"),and(right(O3,1)="x",right(P3,1)="x",right(Q3,1)="x")),0,J3+N3+R3))</f>
        <v>580</v>
      </c>
      <c r="T3" s="91">
        <f t="shared" ref="T3:T77" si="5">if(isblank(E3),,S3/E3)</f>
        <v>4.882154882</v>
      </c>
      <c r="U3" s="85">
        <f t="shared" ref="U3:U77" si="6">countif(G3:Q3,"*g")</f>
        <v>8</v>
      </c>
    </row>
    <row r="4">
      <c r="A4" s="85">
        <v>2.0</v>
      </c>
      <c r="B4" s="35" t="s">
        <v>51</v>
      </c>
      <c r="C4" s="35" t="s">
        <v>109</v>
      </c>
      <c r="D4" s="86" t="s">
        <v>212</v>
      </c>
      <c r="E4" s="35">
        <v>120.6</v>
      </c>
      <c r="F4" s="86" t="s">
        <v>294</v>
      </c>
      <c r="G4" s="35" t="s">
        <v>151</v>
      </c>
      <c r="H4" s="85" t="s">
        <v>254</v>
      </c>
      <c r="I4" s="89" t="s">
        <v>263</v>
      </c>
      <c r="J4" s="87">
        <f t="shared" si="1"/>
        <v>205</v>
      </c>
      <c r="K4" s="35" t="s">
        <v>227</v>
      </c>
      <c r="L4" s="88" t="s">
        <v>193</v>
      </c>
      <c r="M4" s="88" t="s">
        <v>243</v>
      </c>
      <c r="N4" s="87">
        <f t="shared" si="2"/>
        <v>115</v>
      </c>
      <c r="O4" s="35" t="s">
        <v>190</v>
      </c>
      <c r="P4" s="88" t="s">
        <v>156</v>
      </c>
      <c r="Q4" s="88" t="s">
        <v>295</v>
      </c>
      <c r="R4" s="87">
        <f t="shared" si="3"/>
        <v>225</v>
      </c>
      <c r="S4" s="90">
        <f t="shared" si="4"/>
        <v>545</v>
      </c>
      <c r="T4" s="91">
        <f t="shared" si="5"/>
        <v>4.51907131</v>
      </c>
      <c r="U4" s="85">
        <f t="shared" si="6"/>
        <v>5</v>
      </c>
    </row>
    <row r="5">
      <c r="A5" s="85">
        <v>3.0</v>
      </c>
      <c r="B5" s="35" t="s">
        <v>51</v>
      </c>
      <c r="C5" s="35" t="s">
        <v>109</v>
      </c>
      <c r="D5" s="86" t="s">
        <v>168</v>
      </c>
      <c r="E5" s="85">
        <v>115.3</v>
      </c>
      <c r="F5" s="86" t="s">
        <v>296</v>
      </c>
      <c r="G5" s="35" t="s">
        <v>151</v>
      </c>
      <c r="H5" s="85" t="s">
        <v>236</v>
      </c>
      <c r="I5" s="89" t="s">
        <v>208</v>
      </c>
      <c r="J5" s="87">
        <f t="shared" si="1"/>
        <v>185</v>
      </c>
      <c r="K5" s="35" t="s">
        <v>173</v>
      </c>
      <c r="L5" s="88" t="s">
        <v>216</v>
      </c>
      <c r="M5" s="88" t="s">
        <v>207</v>
      </c>
      <c r="N5" s="87">
        <f t="shared" si="2"/>
        <v>95</v>
      </c>
      <c r="O5" s="35" t="s">
        <v>156</v>
      </c>
      <c r="P5" s="88" t="s">
        <v>293</v>
      </c>
      <c r="Q5" s="88" t="s">
        <v>297</v>
      </c>
      <c r="R5" s="87">
        <f t="shared" si="3"/>
        <v>265</v>
      </c>
      <c r="S5" s="90">
        <f t="shared" si="4"/>
        <v>545</v>
      </c>
      <c r="T5" s="91">
        <f t="shared" si="5"/>
        <v>4.726799653</v>
      </c>
      <c r="U5" s="85">
        <f t="shared" si="6"/>
        <v>5</v>
      </c>
    </row>
    <row r="6" ht="16.5" customHeight="1">
      <c r="A6" s="85">
        <v>4.0</v>
      </c>
      <c r="B6" s="35" t="s">
        <v>51</v>
      </c>
      <c r="C6" s="35" t="s">
        <v>109</v>
      </c>
      <c r="D6" s="86" t="s">
        <v>240</v>
      </c>
      <c r="E6" s="35">
        <v>119.6</v>
      </c>
      <c r="F6" s="86" t="s">
        <v>298</v>
      </c>
      <c r="G6" s="35" t="s">
        <v>203</v>
      </c>
      <c r="H6" s="85" t="s">
        <v>235</v>
      </c>
      <c r="I6" s="89" t="s">
        <v>181</v>
      </c>
      <c r="J6" s="87">
        <f t="shared" si="1"/>
        <v>190</v>
      </c>
      <c r="K6" s="35" t="s">
        <v>163</v>
      </c>
      <c r="L6" s="88" t="s">
        <v>164</v>
      </c>
      <c r="M6" s="88" t="s">
        <v>153</v>
      </c>
      <c r="N6" s="87">
        <f t="shared" si="2"/>
        <v>105</v>
      </c>
      <c r="O6" s="35" t="s">
        <v>175</v>
      </c>
      <c r="P6" s="88" t="s">
        <v>183</v>
      </c>
      <c r="Q6" s="88" t="s">
        <v>167</v>
      </c>
      <c r="R6" s="87">
        <f t="shared" si="3"/>
        <v>235</v>
      </c>
      <c r="S6" s="90">
        <f t="shared" si="4"/>
        <v>530</v>
      </c>
      <c r="T6" s="91">
        <f t="shared" si="5"/>
        <v>4.431438127</v>
      </c>
      <c r="U6" s="85">
        <f t="shared" si="6"/>
        <v>9</v>
      </c>
    </row>
    <row r="7">
      <c r="A7" s="85">
        <v>5.0</v>
      </c>
      <c r="B7" s="4" t="s">
        <v>51</v>
      </c>
      <c r="C7" s="35" t="s">
        <v>109</v>
      </c>
      <c r="D7" s="86" t="s">
        <v>260</v>
      </c>
      <c r="E7" s="35">
        <v>120.4</v>
      </c>
      <c r="F7" s="86" t="s">
        <v>299</v>
      </c>
      <c r="G7" s="35" t="s">
        <v>150</v>
      </c>
      <c r="H7" s="85" t="s">
        <v>151</v>
      </c>
      <c r="I7" s="89" t="s">
        <v>175</v>
      </c>
      <c r="J7" s="87">
        <f t="shared" si="1"/>
        <v>195</v>
      </c>
      <c r="K7" s="35" t="s">
        <v>163</v>
      </c>
      <c r="L7" s="88" t="s">
        <v>216</v>
      </c>
      <c r="M7" s="88" t="s">
        <v>207</v>
      </c>
      <c r="N7" s="87">
        <f t="shared" si="2"/>
        <v>95</v>
      </c>
      <c r="O7" s="35" t="s">
        <v>190</v>
      </c>
      <c r="P7" s="88" t="s">
        <v>156</v>
      </c>
      <c r="Q7" s="88" t="s">
        <v>167</v>
      </c>
      <c r="R7" s="87">
        <f t="shared" si="3"/>
        <v>235</v>
      </c>
      <c r="S7" s="90">
        <f t="shared" si="4"/>
        <v>525</v>
      </c>
      <c r="T7" s="91">
        <f t="shared" si="5"/>
        <v>4.360465116</v>
      </c>
      <c r="U7" s="85">
        <f t="shared" si="6"/>
        <v>8</v>
      </c>
    </row>
    <row r="8">
      <c r="A8" s="85">
        <v>6.0</v>
      </c>
      <c r="B8" s="35" t="s">
        <v>51</v>
      </c>
      <c r="C8" s="35" t="s">
        <v>109</v>
      </c>
      <c r="D8" s="86" t="s">
        <v>221</v>
      </c>
      <c r="E8" s="35">
        <v>122.4</v>
      </c>
      <c r="F8" s="86" t="s">
        <v>300</v>
      </c>
      <c r="G8" s="35" t="s">
        <v>151</v>
      </c>
      <c r="H8" s="85" t="s">
        <v>182</v>
      </c>
      <c r="I8" s="89" t="s">
        <v>301</v>
      </c>
      <c r="J8" s="87">
        <f t="shared" si="1"/>
        <v>200</v>
      </c>
      <c r="K8" s="35" t="s">
        <v>216</v>
      </c>
      <c r="L8" s="88" t="s">
        <v>153</v>
      </c>
      <c r="M8" s="88" t="s">
        <v>165</v>
      </c>
      <c r="N8" s="87">
        <f t="shared" si="2"/>
        <v>105</v>
      </c>
      <c r="O8" s="35" t="s">
        <v>151</v>
      </c>
      <c r="P8" s="88" t="s">
        <v>182</v>
      </c>
      <c r="Q8" s="88" t="s">
        <v>190</v>
      </c>
      <c r="R8" s="87">
        <f t="shared" si="3"/>
        <v>215</v>
      </c>
      <c r="S8" s="90">
        <f t="shared" si="4"/>
        <v>520</v>
      </c>
      <c r="T8" s="91">
        <f t="shared" si="5"/>
        <v>4.248366013</v>
      </c>
      <c r="U8" s="85">
        <f t="shared" si="6"/>
        <v>7</v>
      </c>
    </row>
    <row r="9">
      <c r="A9" s="85">
        <v>7.0</v>
      </c>
      <c r="B9" s="35" t="s">
        <v>51</v>
      </c>
      <c r="C9" s="35" t="s">
        <v>109</v>
      </c>
      <c r="D9" s="86" t="s">
        <v>264</v>
      </c>
      <c r="E9" s="35">
        <v>120.8</v>
      </c>
      <c r="F9" s="86" t="s">
        <v>302</v>
      </c>
      <c r="G9" s="35" t="s">
        <v>201</v>
      </c>
      <c r="H9" s="85" t="s">
        <v>224</v>
      </c>
      <c r="I9" s="89" t="s">
        <v>151</v>
      </c>
      <c r="J9" s="87">
        <f t="shared" si="1"/>
        <v>185</v>
      </c>
      <c r="K9" s="35" t="s">
        <v>216</v>
      </c>
      <c r="L9" s="88" t="s">
        <v>262</v>
      </c>
      <c r="M9" s="88" t="s">
        <v>262</v>
      </c>
      <c r="N9" s="87">
        <f t="shared" si="2"/>
        <v>95</v>
      </c>
      <c r="O9" s="35" t="s">
        <v>175</v>
      </c>
      <c r="P9" s="88" t="s">
        <v>156</v>
      </c>
      <c r="Q9" s="88" t="s">
        <v>167</v>
      </c>
      <c r="R9" s="87">
        <f t="shared" si="3"/>
        <v>235</v>
      </c>
      <c r="S9" s="90">
        <f t="shared" si="4"/>
        <v>515</v>
      </c>
      <c r="T9" s="91">
        <f t="shared" si="5"/>
        <v>4.263245033</v>
      </c>
      <c r="U9" s="85">
        <f t="shared" si="6"/>
        <v>6</v>
      </c>
    </row>
    <row r="10">
      <c r="A10" s="85">
        <v>8.0</v>
      </c>
      <c r="B10" s="35" t="s">
        <v>51</v>
      </c>
      <c r="C10" s="35" t="s">
        <v>109</v>
      </c>
      <c r="D10" s="86" t="s">
        <v>303</v>
      </c>
      <c r="E10" s="35">
        <v>121.0</v>
      </c>
      <c r="F10" s="86" t="s">
        <v>304</v>
      </c>
      <c r="G10" s="35" t="s">
        <v>203</v>
      </c>
      <c r="H10" s="85" t="s">
        <v>151</v>
      </c>
      <c r="I10" s="89" t="s">
        <v>211</v>
      </c>
      <c r="J10" s="87">
        <f t="shared" si="1"/>
        <v>185</v>
      </c>
      <c r="K10" s="35" t="s">
        <v>172</v>
      </c>
      <c r="L10" s="88" t="s">
        <v>173</v>
      </c>
      <c r="M10" s="88" t="s">
        <v>163</v>
      </c>
      <c r="N10" s="87">
        <f t="shared" si="2"/>
        <v>90</v>
      </c>
      <c r="O10" s="35" t="s">
        <v>166</v>
      </c>
      <c r="P10" s="88" t="s">
        <v>183</v>
      </c>
      <c r="Q10" s="88" t="s">
        <v>167</v>
      </c>
      <c r="R10" s="87">
        <f t="shared" si="3"/>
        <v>235</v>
      </c>
      <c r="S10" s="90">
        <f t="shared" si="4"/>
        <v>510</v>
      </c>
      <c r="T10" s="91">
        <f t="shared" si="5"/>
        <v>4.214876033</v>
      </c>
      <c r="U10" s="85">
        <f t="shared" si="6"/>
        <v>8</v>
      </c>
    </row>
    <row r="11">
      <c r="A11" s="85">
        <v>9.0</v>
      </c>
      <c r="B11" s="35" t="s">
        <v>51</v>
      </c>
      <c r="C11" s="35" t="s">
        <v>109</v>
      </c>
      <c r="D11" s="86" t="s">
        <v>214</v>
      </c>
      <c r="E11" s="85">
        <v>119.2</v>
      </c>
      <c r="F11" s="86" t="s">
        <v>305</v>
      </c>
      <c r="G11" s="35" t="s">
        <v>202</v>
      </c>
      <c r="H11" s="85" t="s">
        <v>151</v>
      </c>
      <c r="I11" s="89" t="s">
        <v>175</v>
      </c>
      <c r="J11" s="87">
        <f t="shared" si="1"/>
        <v>195</v>
      </c>
      <c r="K11" s="35" t="s">
        <v>172</v>
      </c>
      <c r="L11" s="88" t="s">
        <v>173</v>
      </c>
      <c r="M11" s="88" t="s">
        <v>174</v>
      </c>
      <c r="N11" s="87">
        <f t="shared" si="2"/>
        <v>85</v>
      </c>
      <c r="O11" s="35" t="s">
        <v>175</v>
      </c>
      <c r="P11" s="88" t="s">
        <v>190</v>
      </c>
      <c r="Q11" s="88" t="s">
        <v>191</v>
      </c>
      <c r="R11" s="87">
        <f t="shared" si="3"/>
        <v>215</v>
      </c>
      <c r="S11" s="90">
        <f t="shared" si="4"/>
        <v>495</v>
      </c>
      <c r="T11" s="91">
        <f t="shared" si="5"/>
        <v>4.152684564</v>
      </c>
      <c r="U11" s="85">
        <f t="shared" si="6"/>
        <v>7</v>
      </c>
    </row>
    <row r="12">
      <c r="A12" s="85">
        <v>10.0</v>
      </c>
      <c r="B12" s="35" t="s">
        <v>51</v>
      </c>
      <c r="C12" s="35" t="s">
        <v>109</v>
      </c>
      <c r="D12" s="86" t="s">
        <v>221</v>
      </c>
      <c r="E12" s="85">
        <v>120.2</v>
      </c>
      <c r="F12" s="86" t="s">
        <v>306</v>
      </c>
      <c r="G12" s="35" t="s">
        <v>170</v>
      </c>
      <c r="H12" s="85" t="s">
        <v>202</v>
      </c>
      <c r="I12" s="89" t="s">
        <v>224</v>
      </c>
      <c r="J12" s="87">
        <f t="shared" si="1"/>
        <v>165</v>
      </c>
      <c r="K12" s="35" t="s">
        <v>195</v>
      </c>
      <c r="L12" s="88" t="s">
        <v>210</v>
      </c>
      <c r="M12" s="88" t="s">
        <v>206</v>
      </c>
      <c r="N12" s="87">
        <f t="shared" si="2"/>
        <v>80</v>
      </c>
      <c r="O12" s="35" t="s">
        <v>181</v>
      </c>
      <c r="P12" s="88" t="s">
        <v>254</v>
      </c>
      <c r="Q12" s="88" t="s">
        <v>156</v>
      </c>
      <c r="R12" s="87">
        <f t="shared" si="3"/>
        <v>225</v>
      </c>
      <c r="S12" s="90">
        <f t="shared" si="4"/>
        <v>470</v>
      </c>
      <c r="T12" s="91">
        <f t="shared" si="5"/>
        <v>3.91014975</v>
      </c>
      <c r="U12" s="85">
        <f t="shared" si="6"/>
        <v>8</v>
      </c>
    </row>
    <row r="13">
      <c r="A13" s="85">
        <v>11.0</v>
      </c>
      <c r="B13" s="4" t="s">
        <v>51</v>
      </c>
      <c r="C13" s="35" t="s">
        <v>109</v>
      </c>
      <c r="D13" s="86" t="s">
        <v>212</v>
      </c>
      <c r="E13" s="35">
        <v>119.9</v>
      </c>
      <c r="F13" s="86" t="s">
        <v>307</v>
      </c>
      <c r="G13" s="35" t="s">
        <v>170</v>
      </c>
      <c r="H13" s="85" t="s">
        <v>202</v>
      </c>
      <c r="I13" s="89" t="s">
        <v>225</v>
      </c>
      <c r="J13" s="87">
        <f t="shared" si="1"/>
        <v>155</v>
      </c>
      <c r="K13" s="35" t="s">
        <v>172</v>
      </c>
      <c r="L13" s="88" t="s">
        <v>173</v>
      </c>
      <c r="M13" s="88" t="s">
        <v>174</v>
      </c>
      <c r="N13" s="87">
        <f t="shared" si="2"/>
        <v>85</v>
      </c>
      <c r="O13" s="35" t="s">
        <v>151</v>
      </c>
      <c r="P13" s="88" t="s">
        <v>182</v>
      </c>
      <c r="Q13" s="88" t="s">
        <v>308</v>
      </c>
      <c r="R13" s="87">
        <f t="shared" si="3"/>
        <v>230</v>
      </c>
      <c r="S13" s="90">
        <f t="shared" si="4"/>
        <v>470</v>
      </c>
      <c r="T13" s="91">
        <f t="shared" si="5"/>
        <v>3.919933278</v>
      </c>
      <c r="U13" s="85">
        <f t="shared" si="6"/>
        <v>7</v>
      </c>
    </row>
    <row r="14">
      <c r="A14" s="85">
        <v>12.0</v>
      </c>
      <c r="B14" s="35" t="s">
        <v>51</v>
      </c>
      <c r="C14" s="35" t="s">
        <v>109</v>
      </c>
      <c r="D14" s="86" t="s">
        <v>204</v>
      </c>
      <c r="E14" s="35">
        <v>122.6</v>
      </c>
      <c r="F14" s="86" t="s">
        <v>309</v>
      </c>
      <c r="G14" s="35" t="s">
        <v>186</v>
      </c>
      <c r="H14" s="85" t="s">
        <v>187</v>
      </c>
      <c r="I14" s="89" t="s">
        <v>187</v>
      </c>
      <c r="J14" s="87">
        <f t="shared" si="1"/>
        <v>135</v>
      </c>
      <c r="K14" s="35" t="s">
        <v>172</v>
      </c>
      <c r="L14" s="88" t="s">
        <v>163</v>
      </c>
      <c r="M14" s="88" t="s">
        <v>207</v>
      </c>
      <c r="N14" s="87">
        <f t="shared" si="2"/>
        <v>90</v>
      </c>
      <c r="O14" s="35" t="s">
        <v>190</v>
      </c>
      <c r="P14" s="88" t="s">
        <v>308</v>
      </c>
      <c r="Q14" s="88" t="s">
        <v>255</v>
      </c>
      <c r="R14" s="87">
        <f t="shared" si="3"/>
        <v>245</v>
      </c>
      <c r="S14" s="90">
        <f t="shared" si="4"/>
        <v>470</v>
      </c>
      <c r="T14" s="91">
        <f t="shared" si="5"/>
        <v>3.83360522</v>
      </c>
      <c r="U14" s="85">
        <f t="shared" si="6"/>
        <v>6</v>
      </c>
    </row>
    <row r="15">
      <c r="A15" s="85">
        <v>13.0</v>
      </c>
      <c r="B15" s="35" t="s">
        <v>51</v>
      </c>
      <c r="C15" s="35" t="s">
        <v>109</v>
      </c>
      <c r="D15" s="86" t="s">
        <v>275</v>
      </c>
      <c r="E15" s="35">
        <v>120.6</v>
      </c>
      <c r="F15" s="86" t="s">
        <v>310</v>
      </c>
      <c r="G15" s="35" t="s">
        <v>245</v>
      </c>
      <c r="H15" s="85" t="s">
        <v>202</v>
      </c>
      <c r="I15" s="89" t="s">
        <v>224</v>
      </c>
      <c r="J15" s="87">
        <f t="shared" si="1"/>
        <v>165</v>
      </c>
      <c r="K15" s="35" t="s">
        <v>173</v>
      </c>
      <c r="L15" s="88" t="s">
        <v>216</v>
      </c>
      <c r="M15" s="88" t="s">
        <v>262</v>
      </c>
      <c r="N15" s="87">
        <f t="shared" si="2"/>
        <v>95</v>
      </c>
      <c r="O15" s="35" t="s">
        <v>224</v>
      </c>
      <c r="P15" s="88" t="s">
        <v>150</v>
      </c>
      <c r="Q15" s="88" t="s">
        <v>181</v>
      </c>
      <c r="R15" s="87">
        <f t="shared" si="3"/>
        <v>190</v>
      </c>
      <c r="S15" s="90">
        <f t="shared" si="4"/>
        <v>450</v>
      </c>
      <c r="T15" s="91">
        <f t="shared" si="5"/>
        <v>3.731343284</v>
      </c>
      <c r="U15" s="85">
        <f t="shared" si="6"/>
        <v>8</v>
      </c>
    </row>
    <row r="16">
      <c r="A16" s="85">
        <v>14.0</v>
      </c>
      <c r="B16" s="35" t="s">
        <v>51</v>
      </c>
      <c r="C16" s="35" t="s">
        <v>109</v>
      </c>
      <c r="D16" s="86" t="s">
        <v>212</v>
      </c>
      <c r="E16" s="35">
        <v>121.3</v>
      </c>
      <c r="F16" s="86" t="s">
        <v>311</v>
      </c>
      <c r="G16" s="35" t="s">
        <v>245</v>
      </c>
      <c r="H16" s="85" t="s">
        <v>161</v>
      </c>
      <c r="I16" s="89" t="s">
        <v>266</v>
      </c>
      <c r="J16" s="87">
        <f t="shared" si="1"/>
        <v>160</v>
      </c>
      <c r="K16" s="35" t="s">
        <v>217</v>
      </c>
      <c r="L16" s="88" t="s">
        <v>188</v>
      </c>
      <c r="M16" s="88" t="s">
        <v>172</v>
      </c>
      <c r="N16" s="87">
        <f t="shared" si="2"/>
        <v>75</v>
      </c>
      <c r="O16" s="35" t="s">
        <v>150</v>
      </c>
      <c r="P16" s="88" t="s">
        <v>151</v>
      </c>
      <c r="Q16" s="88" t="s">
        <v>211</v>
      </c>
      <c r="R16" s="87">
        <f t="shared" si="3"/>
        <v>185</v>
      </c>
      <c r="S16" s="90">
        <f t="shared" si="4"/>
        <v>420</v>
      </c>
      <c r="T16" s="91">
        <f t="shared" si="5"/>
        <v>3.462489695</v>
      </c>
      <c r="U16" s="85">
        <f t="shared" si="6"/>
        <v>7</v>
      </c>
    </row>
    <row r="17">
      <c r="A17" s="85">
        <v>15.0</v>
      </c>
      <c r="B17" s="35" t="s">
        <v>51</v>
      </c>
      <c r="C17" s="35" t="s">
        <v>109</v>
      </c>
      <c r="D17" s="86" t="s">
        <v>251</v>
      </c>
      <c r="E17" s="35">
        <v>121.5</v>
      </c>
      <c r="F17" s="86" t="s">
        <v>312</v>
      </c>
      <c r="G17" s="35" t="s">
        <v>198</v>
      </c>
      <c r="H17" s="85" t="s">
        <v>234</v>
      </c>
      <c r="I17" s="89" t="s">
        <v>245</v>
      </c>
      <c r="J17" s="87">
        <f t="shared" si="1"/>
        <v>145</v>
      </c>
      <c r="K17" s="35" t="s">
        <v>173</v>
      </c>
      <c r="L17" s="88" t="s">
        <v>174</v>
      </c>
      <c r="M17" s="88" t="s">
        <v>174</v>
      </c>
      <c r="N17" s="87">
        <f t="shared" si="2"/>
        <v>85</v>
      </c>
      <c r="O17" s="35" t="s">
        <v>203</v>
      </c>
      <c r="P17" s="88" t="s">
        <v>181</v>
      </c>
      <c r="Q17" s="88" t="s">
        <v>301</v>
      </c>
      <c r="R17" s="87">
        <f t="shared" si="3"/>
        <v>190</v>
      </c>
      <c r="S17" s="90">
        <f t="shared" si="4"/>
        <v>420</v>
      </c>
      <c r="T17" s="91">
        <f t="shared" si="5"/>
        <v>3.456790123</v>
      </c>
      <c r="U17" s="85">
        <f t="shared" si="6"/>
        <v>5</v>
      </c>
    </row>
    <row r="18">
      <c r="A18" s="85">
        <v>16.0</v>
      </c>
      <c r="B18" s="35" t="s">
        <v>51</v>
      </c>
      <c r="C18" s="35" t="s">
        <v>109</v>
      </c>
      <c r="D18" s="86" t="s">
        <v>184</v>
      </c>
      <c r="E18" s="35">
        <v>121.2</v>
      </c>
      <c r="F18" s="86" t="s">
        <v>313</v>
      </c>
      <c r="G18" s="35" t="s">
        <v>179</v>
      </c>
      <c r="H18" s="85" t="s">
        <v>180</v>
      </c>
      <c r="I18" s="89" t="s">
        <v>186</v>
      </c>
      <c r="J18" s="87">
        <f t="shared" si="1"/>
        <v>135</v>
      </c>
      <c r="K18" s="35" t="s">
        <v>195</v>
      </c>
      <c r="L18" s="88" t="s">
        <v>172</v>
      </c>
      <c r="M18" s="88" t="s">
        <v>189</v>
      </c>
      <c r="N18" s="87">
        <f t="shared" si="2"/>
        <v>75</v>
      </c>
      <c r="O18" s="35" t="s">
        <v>151</v>
      </c>
      <c r="P18" s="88" t="s">
        <v>211</v>
      </c>
      <c r="Q18" s="88" t="s">
        <v>182</v>
      </c>
      <c r="R18" s="87">
        <f t="shared" si="3"/>
        <v>200</v>
      </c>
      <c r="S18" s="90">
        <f t="shared" si="4"/>
        <v>410</v>
      </c>
      <c r="T18" s="91">
        <f t="shared" si="5"/>
        <v>3.382838284</v>
      </c>
      <c r="U18" s="85">
        <f t="shared" si="6"/>
        <v>6</v>
      </c>
    </row>
    <row r="19">
      <c r="A19" s="85">
        <v>17.0</v>
      </c>
      <c r="B19" s="35" t="s">
        <v>51</v>
      </c>
      <c r="C19" s="35" t="s">
        <v>109</v>
      </c>
      <c r="D19" s="86" t="s">
        <v>268</v>
      </c>
      <c r="E19" s="35">
        <v>121.4</v>
      </c>
      <c r="F19" s="86" t="s">
        <v>314</v>
      </c>
      <c r="G19" s="35" t="s">
        <v>234</v>
      </c>
      <c r="H19" s="85" t="s">
        <v>170</v>
      </c>
      <c r="I19" s="89" t="s">
        <v>239</v>
      </c>
      <c r="J19" s="87">
        <f t="shared" si="1"/>
        <v>140</v>
      </c>
      <c r="K19" s="35" t="s">
        <v>163</v>
      </c>
      <c r="L19" s="88" t="s">
        <v>216</v>
      </c>
      <c r="M19" s="88" t="s">
        <v>207</v>
      </c>
      <c r="N19" s="87">
        <f t="shared" si="2"/>
        <v>95</v>
      </c>
      <c r="O19" s="35" t="s">
        <v>170</v>
      </c>
      <c r="P19" s="88" t="s">
        <v>202</v>
      </c>
      <c r="Q19" s="88" t="s">
        <v>203</v>
      </c>
      <c r="R19" s="87">
        <f t="shared" si="3"/>
        <v>170</v>
      </c>
      <c r="S19" s="90">
        <f t="shared" si="4"/>
        <v>405</v>
      </c>
      <c r="T19" s="91">
        <f t="shared" si="5"/>
        <v>3.336079077</v>
      </c>
      <c r="U19" s="85">
        <f t="shared" si="6"/>
        <v>7</v>
      </c>
    </row>
    <row r="20">
      <c r="A20" s="85">
        <v>18.0</v>
      </c>
      <c r="B20" s="35" t="s">
        <v>51</v>
      </c>
      <c r="C20" s="35" t="s">
        <v>109</v>
      </c>
      <c r="D20" s="86" t="s">
        <v>212</v>
      </c>
      <c r="E20" s="35">
        <v>118.9</v>
      </c>
      <c r="F20" s="86" t="s">
        <v>315</v>
      </c>
      <c r="G20" s="35" t="s">
        <v>186</v>
      </c>
      <c r="H20" s="85" t="s">
        <v>316</v>
      </c>
      <c r="I20" s="89" t="s">
        <v>245</v>
      </c>
      <c r="J20" s="87">
        <f t="shared" si="1"/>
        <v>145</v>
      </c>
      <c r="K20" s="35" t="s">
        <v>195</v>
      </c>
      <c r="L20" s="88" t="s">
        <v>210</v>
      </c>
      <c r="M20" s="88" t="s">
        <v>206</v>
      </c>
      <c r="N20" s="87">
        <f t="shared" si="2"/>
        <v>80</v>
      </c>
      <c r="O20" s="35" t="s">
        <v>203</v>
      </c>
      <c r="P20" s="88" t="s">
        <v>235</v>
      </c>
      <c r="Q20" s="88" t="s">
        <v>232</v>
      </c>
      <c r="R20" s="87">
        <f t="shared" si="3"/>
        <v>180</v>
      </c>
      <c r="S20" s="90">
        <f t="shared" si="4"/>
        <v>405</v>
      </c>
      <c r="T20" s="91">
        <f t="shared" si="5"/>
        <v>3.406223717</v>
      </c>
      <c r="U20" s="85">
        <f t="shared" si="6"/>
        <v>6</v>
      </c>
    </row>
    <row r="21">
      <c r="A21" s="85">
        <v>19.0</v>
      </c>
      <c r="B21" s="35" t="s">
        <v>51</v>
      </c>
      <c r="C21" s="35" t="s">
        <v>109</v>
      </c>
      <c r="D21" s="86" t="s">
        <v>285</v>
      </c>
      <c r="E21" s="35">
        <v>119.8</v>
      </c>
      <c r="F21" s="86" t="s">
        <v>317</v>
      </c>
      <c r="G21" s="35" t="s">
        <v>216</v>
      </c>
      <c r="H21" s="85" t="s">
        <v>193</v>
      </c>
      <c r="I21" s="89" t="s">
        <v>316</v>
      </c>
      <c r="J21" s="87">
        <f t="shared" si="1"/>
        <v>115</v>
      </c>
      <c r="K21" s="35" t="s">
        <v>195</v>
      </c>
      <c r="L21" s="88" t="s">
        <v>244</v>
      </c>
      <c r="M21" s="88" t="s">
        <v>244</v>
      </c>
      <c r="N21" s="87">
        <f t="shared" si="2"/>
        <v>70</v>
      </c>
      <c r="O21" s="35" t="s">
        <v>224</v>
      </c>
      <c r="P21" s="88" t="s">
        <v>175</v>
      </c>
      <c r="Q21" s="88" t="s">
        <v>183</v>
      </c>
      <c r="R21" s="87">
        <f t="shared" si="3"/>
        <v>220</v>
      </c>
      <c r="S21" s="90">
        <f t="shared" si="4"/>
        <v>405</v>
      </c>
      <c r="T21" s="91">
        <f t="shared" si="5"/>
        <v>3.380634391</v>
      </c>
      <c r="U21" s="85">
        <f t="shared" si="6"/>
        <v>6</v>
      </c>
    </row>
    <row r="22">
      <c r="A22" s="85">
        <v>20.0</v>
      </c>
      <c r="B22" s="35" t="s">
        <v>51</v>
      </c>
      <c r="C22" s="35" t="s">
        <v>109</v>
      </c>
      <c r="D22" s="86" t="s">
        <v>204</v>
      </c>
      <c r="E22" s="35">
        <v>121.4</v>
      </c>
      <c r="F22" s="86" t="s">
        <v>318</v>
      </c>
      <c r="G22" s="35" t="s">
        <v>179</v>
      </c>
      <c r="H22" s="85" t="s">
        <v>180</v>
      </c>
      <c r="I22" s="89" t="s">
        <v>180</v>
      </c>
      <c r="J22" s="87">
        <f t="shared" si="1"/>
        <v>125</v>
      </c>
      <c r="K22" s="35" t="s">
        <v>188</v>
      </c>
      <c r="L22" s="88" t="s">
        <v>172</v>
      </c>
      <c r="M22" s="88" t="s">
        <v>189</v>
      </c>
      <c r="N22" s="87">
        <f t="shared" si="2"/>
        <v>75</v>
      </c>
      <c r="O22" s="35" t="s">
        <v>150</v>
      </c>
      <c r="P22" s="88" t="s">
        <v>175</v>
      </c>
      <c r="Q22" s="88" t="s">
        <v>208</v>
      </c>
      <c r="R22" s="87">
        <f t="shared" si="3"/>
        <v>195</v>
      </c>
      <c r="S22" s="90">
        <f t="shared" si="4"/>
        <v>395</v>
      </c>
      <c r="T22" s="91">
        <f t="shared" si="5"/>
        <v>3.253706755</v>
      </c>
      <c r="U22" s="85">
        <f t="shared" si="6"/>
        <v>5</v>
      </c>
    </row>
    <row r="23">
      <c r="A23" s="85">
        <v>21.0</v>
      </c>
      <c r="B23" s="35" t="s">
        <v>51</v>
      </c>
      <c r="C23" s="35" t="s">
        <v>109</v>
      </c>
      <c r="D23" s="86" t="s">
        <v>214</v>
      </c>
      <c r="E23" s="35">
        <v>118.7</v>
      </c>
      <c r="F23" s="86" t="s">
        <v>319</v>
      </c>
      <c r="G23" s="35" t="s">
        <v>165</v>
      </c>
      <c r="H23" s="85" t="s">
        <v>155</v>
      </c>
      <c r="I23" s="89" t="s">
        <v>197</v>
      </c>
      <c r="J23" s="87">
        <f t="shared" si="1"/>
        <v>120</v>
      </c>
      <c r="K23" s="35" t="s">
        <v>188</v>
      </c>
      <c r="L23" s="88" t="s">
        <v>189</v>
      </c>
      <c r="M23" s="88" t="s">
        <v>189</v>
      </c>
      <c r="N23" s="87">
        <f t="shared" si="2"/>
        <v>65</v>
      </c>
      <c r="O23" s="35" t="s">
        <v>203</v>
      </c>
      <c r="P23" s="88" t="s">
        <v>254</v>
      </c>
      <c r="Q23" s="88" t="s">
        <v>320</v>
      </c>
      <c r="R23" s="87">
        <f t="shared" si="3"/>
        <v>205</v>
      </c>
      <c r="S23" s="90">
        <f t="shared" si="4"/>
        <v>390</v>
      </c>
      <c r="T23" s="91">
        <f t="shared" si="5"/>
        <v>3.285593934</v>
      </c>
      <c r="U23" s="85">
        <f t="shared" si="6"/>
        <v>4</v>
      </c>
    </row>
    <row r="24">
      <c r="A24" s="85">
        <v>22.0</v>
      </c>
      <c r="B24" s="35" t="s">
        <v>51</v>
      </c>
      <c r="C24" s="35" t="s">
        <v>109</v>
      </c>
      <c r="D24" s="86" t="s">
        <v>321</v>
      </c>
      <c r="E24" s="35">
        <v>119.5</v>
      </c>
      <c r="F24" s="86" t="s">
        <v>322</v>
      </c>
      <c r="G24" s="35" t="s">
        <v>187</v>
      </c>
      <c r="H24" s="85" t="s">
        <v>187</v>
      </c>
      <c r="I24" s="89" t="s">
        <v>187</v>
      </c>
      <c r="J24" s="87">
        <f t="shared" si="1"/>
        <v>0</v>
      </c>
      <c r="K24" s="35" t="s">
        <v>188</v>
      </c>
      <c r="L24" s="88" t="s">
        <v>172</v>
      </c>
      <c r="M24" s="88" t="s">
        <v>206</v>
      </c>
      <c r="N24" s="87">
        <f t="shared" si="2"/>
        <v>75</v>
      </c>
      <c r="O24" s="35" t="s">
        <v>203</v>
      </c>
      <c r="P24" s="88" t="s">
        <v>225</v>
      </c>
      <c r="Q24" s="88" t="s">
        <v>225</v>
      </c>
      <c r="R24" s="87">
        <f t="shared" si="3"/>
        <v>170</v>
      </c>
      <c r="S24" s="90">
        <f t="shared" si="4"/>
        <v>0</v>
      </c>
      <c r="T24" s="91">
        <f t="shared" si="5"/>
        <v>0</v>
      </c>
      <c r="U24" s="85">
        <f t="shared" si="6"/>
        <v>3</v>
      </c>
    </row>
    <row r="25">
      <c r="A25" s="85">
        <v>23.0</v>
      </c>
      <c r="B25" s="35"/>
      <c r="C25" s="35"/>
      <c r="D25" s="86"/>
      <c r="E25" s="35"/>
      <c r="F25" s="86"/>
      <c r="G25" s="35"/>
      <c r="H25" s="85"/>
      <c r="I25" s="89"/>
      <c r="J25" s="87" t="str">
        <f t="shared" si="1"/>
        <v/>
      </c>
      <c r="K25" s="35"/>
      <c r="L25" s="88"/>
      <c r="M25" s="88"/>
      <c r="N25" s="87" t="str">
        <f t="shared" si="2"/>
        <v/>
      </c>
      <c r="O25" s="35"/>
      <c r="P25" s="88"/>
      <c r="Q25" s="88"/>
      <c r="R25" s="87" t="str">
        <f t="shared" si="3"/>
        <v/>
      </c>
      <c r="S25" s="90" t="str">
        <f t="shared" si="4"/>
        <v/>
      </c>
      <c r="T25" s="91" t="str">
        <f t="shared" si="5"/>
        <v/>
      </c>
      <c r="U25" s="85">
        <f t="shared" si="6"/>
        <v>0</v>
      </c>
    </row>
    <row r="26">
      <c r="A26" s="85">
        <v>24.0</v>
      </c>
      <c r="B26" s="35"/>
      <c r="C26" s="65"/>
      <c r="D26" s="76"/>
      <c r="E26" s="93"/>
      <c r="F26" s="76"/>
      <c r="G26" s="35"/>
      <c r="H26" s="85"/>
      <c r="I26" s="89"/>
      <c r="J26" s="87" t="str">
        <f t="shared" si="1"/>
        <v/>
      </c>
      <c r="K26" s="35"/>
      <c r="L26" s="88"/>
      <c r="M26" s="88"/>
      <c r="N26" s="87" t="str">
        <f t="shared" si="2"/>
        <v/>
      </c>
      <c r="O26" s="35"/>
      <c r="P26" s="88"/>
      <c r="Q26" s="88"/>
      <c r="R26" s="87" t="str">
        <f t="shared" si="3"/>
        <v/>
      </c>
      <c r="S26" s="90" t="str">
        <f t="shared" si="4"/>
        <v/>
      </c>
      <c r="T26" s="91" t="str">
        <f t="shared" si="5"/>
        <v/>
      </c>
      <c r="U26" s="85">
        <f t="shared" si="6"/>
        <v>0</v>
      </c>
    </row>
    <row r="27">
      <c r="A27" s="85">
        <v>25.0</v>
      </c>
      <c r="B27" s="35"/>
      <c r="C27" s="65"/>
      <c r="D27" s="76"/>
      <c r="E27" s="93"/>
      <c r="F27" s="76"/>
      <c r="G27" s="35"/>
      <c r="H27" s="85"/>
      <c r="I27" s="89"/>
      <c r="J27" s="87" t="str">
        <f t="shared" si="1"/>
        <v/>
      </c>
      <c r="K27" s="35"/>
      <c r="L27" s="88"/>
      <c r="M27" s="88"/>
      <c r="N27" s="87" t="str">
        <f t="shared" si="2"/>
        <v/>
      </c>
      <c r="O27" s="35"/>
      <c r="P27" s="88"/>
      <c r="Q27" s="88"/>
      <c r="R27" s="87" t="str">
        <f t="shared" si="3"/>
        <v/>
      </c>
      <c r="S27" s="90" t="str">
        <f t="shared" si="4"/>
        <v/>
      </c>
      <c r="T27" s="91" t="str">
        <f t="shared" si="5"/>
        <v/>
      </c>
      <c r="U27" s="85">
        <f t="shared" si="6"/>
        <v>0</v>
      </c>
    </row>
    <row r="28">
      <c r="A28" s="85">
        <v>26.0</v>
      </c>
      <c r="B28" s="35"/>
      <c r="C28" s="65"/>
      <c r="D28" s="76"/>
      <c r="E28" s="93"/>
      <c r="F28" s="76"/>
      <c r="G28" s="35"/>
      <c r="H28" s="85"/>
      <c r="I28" s="89"/>
      <c r="J28" s="87" t="str">
        <f t="shared" si="1"/>
        <v/>
      </c>
      <c r="K28" s="35"/>
      <c r="L28" s="88"/>
      <c r="M28" s="88"/>
      <c r="N28" s="87" t="str">
        <f t="shared" si="2"/>
        <v/>
      </c>
      <c r="O28" s="35"/>
      <c r="P28" s="88"/>
      <c r="Q28" s="88"/>
      <c r="R28" s="87" t="str">
        <f t="shared" si="3"/>
        <v/>
      </c>
      <c r="S28" s="90" t="str">
        <f t="shared" si="4"/>
        <v/>
      </c>
      <c r="T28" s="91" t="str">
        <f t="shared" si="5"/>
        <v/>
      </c>
      <c r="U28" s="85">
        <f t="shared" si="6"/>
        <v>0</v>
      </c>
    </row>
    <row r="29">
      <c r="A29" s="85">
        <v>27.0</v>
      </c>
      <c r="B29" s="35"/>
      <c r="C29" s="65"/>
      <c r="D29" s="76"/>
      <c r="E29" s="93"/>
      <c r="F29" s="76"/>
      <c r="G29" s="35"/>
      <c r="H29" s="85"/>
      <c r="I29" s="89"/>
      <c r="J29" s="87" t="str">
        <f t="shared" si="1"/>
        <v/>
      </c>
      <c r="K29" s="35"/>
      <c r="L29" s="88"/>
      <c r="M29" s="88"/>
      <c r="N29" s="87" t="str">
        <f t="shared" si="2"/>
        <v/>
      </c>
      <c r="O29" s="35"/>
      <c r="P29" s="88"/>
      <c r="Q29" s="88"/>
      <c r="R29" s="87" t="str">
        <f t="shared" si="3"/>
        <v/>
      </c>
      <c r="S29" s="90" t="str">
        <f t="shared" si="4"/>
        <v/>
      </c>
      <c r="T29" s="91" t="str">
        <f t="shared" si="5"/>
        <v/>
      </c>
      <c r="U29" s="85">
        <f t="shared" si="6"/>
        <v>0</v>
      </c>
    </row>
    <row r="30">
      <c r="A30" s="85">
        <v>28.0</v>
      </c>
      <c r="B30" s="35"/>
      <c r="C30" s="65"/>
      <c r="D30" s="76"/>
      <c r="E30" s="93"/>
      <c r="F30" s="76"/>
      <c r="G30" s="35"/>
      <c r="H30" s="85"/>
      <c r="I30" s="89"/>
      <c r="J30" s="87" t="str">
        <f t="shared" si="1"/>
        <v/>
      </c>
      <c r="K30" s="35"/>
      <c r="L30" s="88"/>
      <c r="M30" s="88"/>
      <c r="N30" s="87" t="str">
        <f t="shared" si="2"/>
        <v/>
      </c>
      <c r="O30" s="35"/>
      <c r="P30" s="88"/>
      <c r="Q30" s="88"/>
      <c r="R30" s="87" t="str">
        <f t="shared" si="3"/>
        <v/>
      </c>
      <c r="S30" s="90" t="str">
        <f t="shared" si="4"/>
        <v/>
      </c>
      <c r="T30" s="91" t="str">
        <f t="shared" si="5"/>
        <v/>
      </c>
      <c r="U30" s="85">
        <f t="shared" si="6"/>
        <v>0</v>
      </c>
    </row>
    <row r="31">
      <c r="A31" s="85">
        <v>29.0</v>
      </c>
      <c r="B31" s="35"/>
      <c r="C31" s="65"/>
      <c r="D31" s="76"/>
      <c r="E31" s="93"/>
      <c r="F31" s="76"/>
      <c r="G31" s="35"/>
      <c r="H31" s="85"/>
      <c r="I31" s="89"/>
      <c r="J31" s="87" t="str">
        <f t="shared" si="1"/>
        <v/>
      </c>
      <c r="K31" s="35"/>
      <c r="L31" s="88"/>
      <c r="M31" s="88"/>
      <c r="N31" s="87" t="str">
        <f t="shared" si="2"/>
        <v/>
      </c>
      <c r="O31" s="35"/>
      <c r="P31" s="88"/>
      <c r="Q31" s="88"/>
      <c r="R31" s="87" t="str">
        <f t="shared" si="3"/>
        <v/>
      </c>
      <c r="S31" s="90" t="str">
        <f t="shared" si="4"/>
        <v/>
      </c>
      <c r="T31" s="91" t="str">
        <f t="shared" si="5"/>
        <v/>
      </c>
      <c r="U31" s="85">
        <f t="shared" si="6"/>
        <v>0</v>
      </c>
    </row>
    <row r="32">
      <c r="A32" s="85">
        <v>30.0</v>
      </c>
      <c r="B32" s="35"/>
      <c r="C32" s="65"/>
      <c r="D32" s="76"/>
      <c r="E32" s="93"/>
      <c r="F32" s="76"/>
      <c r="G32" s="35"/>
      <c r="H32" s="85"/>
      <c r="I32" s="89"/>
      <c r="J32" s="87" t="str">
        <f t="shared" si="1"/>
        <v/>
      </c>
      <c r="K32" s="35"/>
      <c r="L32" s="88"/>
      <c r="M32" s="88"/>
      <c r="N32" s="87" t="str">
        <f t="shared" si="2"/>
        <v/>
      </c>
      <c r="O32" s="35"/>
      <c r="P32" s="88"/>
      <c r="Q32" s="88"/>
      <c r="R32" s="87" t="str">
        <f t="shared" si="3"/>
        <v/>
      </c>
      <c r="S32" s="90" t="str">
        <f t="shared" si="4"/>
        <v/>
      </c>
      <c r="T32" s="91" t="str">
        <f t="shared" si="5"/>
        <v/>
      </c>
      <c r="U32" s="85">
        <f t="shared" si="6"/>
        <v>0</v>
      </c>
    </row>
    <row r="33">
      <c r="A33" s="85">
        <v>31.0</v>
      </c>
      <c r="B33" s="35"/>
      <c r="C33" s="65"/>
      <c r="D33" s="76"/>
      <c r="E33" s="93"/>
      <c r="F33" s="76"/>
      <c r="G33" s="35"/>
      <c r="H33" s="85"/>
      <c r="I33" s="89"/>
      <c r="J33" s="87" t="str">
        <f t="shared" si="1"/>
        <v/>
      </c>
      <c r="K33" s="35"/>
      <c r="L33" s="88"/>
      <c r="M33" s="88"/>
      <c r="N33" s="87" t="str">
        <f t="shared" si="2"/>
        <v/>
      </c>
      <c r="O33" s="35"/>
      <c r="P33" s="88"/>
      <c r="Q33" s="88"/>
      <c r="R33" s="87" t="str">
        <f t="shared" si="3"/>
        <v/>
      </c>
      <c r="S33" s="90" t="str">
        <f t="shared" si="4"/>
        <v/>
      </c>
      <c r="T33" s="91" t="str">
        <f t="shared" si="5"/>
        <v/>
      </c>
      <c r="U33" s="85">
        <f t="shared" si="6"/>
        <v>0</v>
      </c>
    </row>
    <row r="34">
      <c r="A34" s="85">
        <v>32.0</v>
      </c>
      <c r="B34" s="35"/>
      <c r="C34" s="65"/>
      <c r="D34" s="76"/>
      <c r="E34" s="93"/>
      <c r="F34" s="76"/>
      <c r="G34" s="35"/>
      <c r="H34" s="85"/>
      <c r="I34" s="89"/>
      <c r="J34" s="87" t="str">
        <f t="shared" si="1"/>
        <v/>
      </c>
      <c r="K34" s="35"/>
      <c r="L34" s="88"/>
      <c r="M34" s="88"/>
      <c r="N34" s="87" t="str">
        <f t="shared" si="2"/>
        <v/>
      </c>
      <c r="O34" s="35"/>
      <c r="P34" s="88"/>
      <c r="Q34" s="88"/>
      <c r="R34" s="87" t="str">
        <f t="shared" si="3"/>
        <v/>
      </c>
      <c r="S34" s="90" t="str">
        <f t="shared" si="4"/>
        <v/>
      </c>
      <c r="T34" s="91" t="str">
        <f t="shared" si="5"/>
        <v/>
      </c>
      <c r="U34" s="85">
        <f t="shared" si="6"/>
        <v>0</v>
      </c>
    </row>
    <row r="35">
      <c r="A35" s="85">
        <v>33.0</v>
      </c>
      <c r="B35" s="35"/>
      <c r="C35" s="65"/>
      <c r="D35" s="76"/>
      <c r="E35" s="93"/>
      <c r="F35" s="76"/>
      <c r="G35" s="35"/>
      <c r="H35" s="85"/>
      <c r="I35" s="89"/>
      <c r="J35" s="87" t="str">
        <f t="shared" si="1"/>
        <v/>
      </c>
      <c r="K35" s="35"/>
      <c r="L35" s="88"/>
      <c r="M35" s="88"/>
      <c r="N35" s="87" t="str">
        <f t="shared" si="2"/>
        <v/>
      </c>
      <c r="O35" s="35"/>
      <c r="P35" s="88"/>
      <c r="Q35" s="88"/>
      <c r="R35" s="87" t="str">
        <f t="shared" si="3"/>
        <v/>
      </c>
      <c r="S35" s="90" t="str">
        <f t="shared" si="4"/>
        <v/>
      </c>
      <c r="T35" s="91" t="str">
        <f t="shared" si="5"/>
        <v/>
      </c>
      <c r="U35" s="85">
        <f t="shared" si="6"/>
        <v>0</v>
      </c>
    </row>
    <row r="36">
      <c r="A36" s="85">
        <v>34.0</v>
      </c>
      <c r="B36" s="35"/>
      <c r="C36" s="65"/>
      <c r="D36" s="76"/>
      <c r="E36" s="93"/>
      <c r="F36" s="76"/>
      <c r="G36" s="35"/>
      <c r="H36" s="85"/>
      <c r="I36" s="89"/>
      <c r="J36" s="87" t="str">
        <f t="shared" si="1"/>
        <v/>
      </c>
      <c r="K36" s="35"/>
      <c r="L36" s="88"/>
      <c r="M36" s="88"/>
      <c r="N36" s="87" t="str">
        <f t="shared" si="2"/>
        <v/>
      </c>
      <c r="O36" s="35"/>
      <c r="P36" s="88"/>
      <c r="Q36" s="88"/>
      <c r="R36" s="87" t="str">
        <f t="shared" si="3"/>
        <v/>
      </c>
      <c r="S36" s="90" t="str">
        <f t="shared" si="4"/>
        <v/>
      </c>
      <c r="T36" s="91" t="str">
        <f t="shared" si="5"/>
        <v/>
      </c>
      <c r="U36" s="85">
        <f t="shared" si="6"/>
        <v>0</v>
      </c>
    </row>
    <row r="37">
      <c r="A37" s="85">
        <v>35.0</v>
      </c>
      <c r="B37" s="35"/>
      <c r="C37" s="65"/>
      <c r="D37" s="76"/>
      <c r="E37" s="93"/>
      <c r="F37" s="76"/>
      <c r="G37" s="35"/>
      <c r="H37" s="85"/>
      <c r="I37" s="89"/>
      <c r="J37" s="87" t="str">
        <f t="shared" si="1"/>
        <v/>
      </c>
      <c r="K37" s="35"/>
      <c r="L37" s="88"/>
      <c r="M37" s="88"/>
      <c r="N37" s="87" t="str">
        <f t="shared" si="2"/>
        <v/>
      </c>
      <c r="O37" s="35"/>
      <c r="P37" s="88"/>
      <c r="Q37" s="88"/>
      <c r="R37" s="87" t="str">
        <f t="shared" si="3"/>
        <v/>
      </c>
      <c r="S37" s="90" t="str">
        <f t="shared" si="4"/>
        <v/>
      </c>
      <c r="T37" s="91" t="str">
        <f t="shared" si="5"/>
        <v/>
      </c>
      <c r="U37" s="85">
        <f t="shared" si="6"/>
        <v>0</v>
      </c>
    </row>
    <row r="38">
      <c r="A38" s="85">
        <v>36.0</v>
      </c>
      <c r="B38" s="35"/>
      <c r="C38" s="65"/>
      <c r="D38" s="76"/>
      <c r="E38" s="93"/>
      <c r="F38" s="76"/>
      <c r="G38" s="35"/>
      <c r="H38" s="85"/>
      <c r="I38" s="89"/>
      <c r="J38" s="87" t="str">
        <f t="shared" si="1"/>
        <v/>
      </c>
      <c r="K38" s="35"/>
      <c r="L38" s="88"/>
      <c r="M38" s="88"/>
      <c r="N38" s="87" t="str">
        <f t="shared" si="2"/>
        <v/>
      </c>
      <c r="O38" s="35"/>
      <c r="P38" s="88"/>
      <c r="Q38" s="88"/>
      <c r="R38" s="87" t="str">
        <f t="shared" si="3"/>
        <v/>
      </c>
      <c r="S38" s="90" t="str">
        <f t="shared" si="4"/>
        <v/>
      </c>
      <c r="T38" s="91" t="str">
        <f t="shared" si="5"/>
        <v/>
      </c>
      <c r="U38" s="85">
        <f t="shared" si="6"/>
        <v>0</v>
      </c>
    </row>
    <row r="39">
      <c r="A39" s="85">
        <v>37.0</v>
      </c>
      <c r="B39" s="35"/>
      <c r="C39" s="65"/>
      <c r="D39" s="76"/>
      <c r="E39" s="93"/>
      <c r="F39" s="76"/>
      <c r="G39" s="35"/>
      <c r="H39" s="85"/>
      <c r="I39" s="89"/>
      <c r="J39" s="87" t="str">
        <f t="shared" si="1"/>
        <v/>
      </c>
      <c r="K39" s="35"/>
      <c r="L39" s="88"/>
      <c r="M39" s="88"/>
      <c r="N39" s="87" t="str">
        <f t="shared" si="2"/>
        <v/>
      </c>
      <c r="O39" s="35"/>
      <c r="P39" s="88"/>
      <c r="Q39" s="88"/>
      <c r="R39" s="87" t="str">
        <f t="shared" si="3"/>
        <v/>
      </c>
      <c r="S39" s="90" t="str">
        <f t="shared" si="4"/>
        <v/>
      </c>
      <c r="T39" s="91" t="str">
        <f t="shared" si="5"/>
        <v/>
      </c>
      <c r="U39" s="85">
        <f t="shared" si="6"/>
        <v>0</v>
      </c>
    </row>
    <row r="40">
      <c r="A40" s="85">
        <v>38.0</v>
      </c>
      <c r="B40" s="35"/>
      <c r="C40" s="65"/>
      <c r="D40" s="76"/>
      <c r="E40" s="93"/>
      <c r="F40" s="76"/>
      <c r="G40" s="35"/>
      <c r="H40" s="85"/>
      <c r="I40" s="89"/>
      <c r="J40" s="87" t="str">
        <f t="shared" si="1"/>
        <v/>
      </c>
      <c r="K40" s="35"/>
      <c r="L40" s="88"/>
      <c r="M40" s="88"/>
      <c r="N40" s="87" t="str">
        <f t="shared" si="2"/>
        <v/>
      </c>
      <c r="O40" s="35"/>
      <c r="P40" s="88"/>
      <c r="Q40" s="88"/>
      <c r="R40" s="87" t="str">
        <f t="shared" si="3"/>
        <v/>
      </c>
      <c r="S40" s="90" t="str">
        <f t="shared" si="4"/>
        <v/>
      </c>
      <c r="T40" s="91" t="str">
        <f t="shared" si="5"/>
        <v/>
      </c>
      <c r="U40" s="85">
        <f t="shared" si="6"/>
        <v>0</v>
      </c>
    </row>
    <row r="41">
      <c r="A41" s="85">
        <v>39.0</v>
      </c>
      <c r="B41" s="35"/>
      <c r="C41" s="65"/>
      <c r="D41" s="76"/>
      <c r="E41" s="93"/>
      <c r="F41" s="76"/>
      <c r="G41" s="35"/>
      <c r="H41" s="85"/>
      <c r="I41" s="89"/>
      <c r="J41" s="87" t="str">
        <f t="shared" si="1"/>
        <v/>
      </c>
      <c r="K41" s="35"/>
      <c r="L41" s="88"/>
      <c r="M41" s="88"/>
      <c r="N41" s="87" t="str">
        <f t="shared" si="2"/>
        <v/>
      </c>
      <c r="O41" s="35"/>
      <c r="P41" s="88"/>
      <c r="Q41" s="88"/>
      <c r="R41" s="87" t="str">
        <f t="shared" si="3"/>
        <v/>
      </c>
      <c r="S41" s="90" t="str">
        <f t="shared" si="4"/>
        <v/>
      </c>
      <c r="T41" s="91" t="str">
        <f t="shared" si="5"/>
        <v/>
      </c>
      <c r="U41" s="85">
        <f t="shared" si="6"/>
        <v>0</v>
      </c>
    </row>
    <row r="42">
      <c r="A42" s="85">
        <v>40.0</v>
      </c>
      <c r="B42" s="35"/>
      <c r="C42" s="65"/>
      <c r="D42" s="76"/>
      <c r="E42" s="93"/>
      <c r="F42" s="76"/>
      <c r="G42" s="35"/>
      <c r="H42" s="85"/>
      <c r="I42" s="89"/>
      <c r="J42" s="87" t="str">
        <f t="shared" si="1"/>
        <v/>
      </c>
      <c r="K42" s="35"/>
      <c r="L42" s="88"/>
      <c r="M42" s="88"/>
      <c r="N42" s="87" t="str">
        <f t="shared" si="2"/>
        <v/>
      </c>
      <c r="O42" s="35"/>
      <c r="P42" s="88"/>
      <c r="Q42" s="88"/>
      <c r="R42" s="87" t="str">
        <f t="shared" si="3"/>
        <v/>
      </c>
      <c r="S42" s="90" t="str">
        <f t="shared" si="4"/>
        <v/>
      </c>
      <c r="T42" s="91" t="str">
        <f t="shared" si="5"/>
        <v/>
      </c>
      <c r="U42" s="85">
        <f t="shared" si="6"/>
        <v>0</v>
      </c>
    </row>
    <row r="43">
      <c r="A43" s="85">
        <v>41.0</v>
      </c>
      <c r="B43" s="35"/>
      <c r="C43" s="65"/>
      <c r="D43" s="76"/>
      <c r="E43" s="93"/>
      <c r="F43" s="76"/>
      <c r="G43" s="35"/>
      <c r="H43" s="85"/>
      <c r="I43" s="89"/>
      <c r="J43" s="87" t="str">
        <f t="shared" si="1"/>
        <v/>
      </c>
      <c r="K43" s="35"/>
      <c r="L43" s="88"/>
      <c r="M43" s="88"/>
      <c r="N43" s="87" t="str">
        <f t="shared" si="2"/>
        <v/>
      </c>
      <c r="O43" s="35"/>
      <c r="P43" s="88"/>
      <c r="Q43" s="88"/>
      <c r="R43" s="87" t="str">
        <f t="shared" si="3"/>
        <v/>
      </c>
      <c r="S43" s="90" t="str">
        <f t="shared" si="4"/>
        <v/>
      </c>
      <c r="T43" s="91" t="str">
        <f t="shared" si="5"/>
        <v/>
      </c>
      <c r="U43" s="85">
        <f t="shared" si="6"/>
        <v>0</v>
      </c>
    </row>
    <row r="44">
      <c r="A44" s="85">
        <v>42.0</v>
      </c>
      <c r="B44" s="35"/>
      <c r="C44" s="65"/>
      <c r="D44" s="76"/>
      <c r="E44" s="93"/>
      <c r="F44" s="76"/>
      <c r="G44" s="35"/>
      <c r="H44" s="85"/>
      <c r="I44" s="89"/>
      <c r="J44" s="87" t="str">
        <f t="shared" si="1"/>
        <v/>
      </c>
      <c r="K44" s="35"/>
      <c r="L44" s="88"/>
      <c r="M44" s="88"/>
      <c r="N44" s="87" t="str">
        <f t="shared" si="2"/>
        <v/>
      </c>
      <c r="O44" s="35"/>
      <c r="P44" s="88"/>
      <c r="Q44" s="88"/>
      <c r="R44" s="87" t="str">
        <f t="shared" si="3"/>
        <v/>
      </c>
      <c r="S44" s="90" t="str">
        <f t="shared" si="4"/>
        <v/>
      </c>
      <c r="T44" s="91" t="str">
        <f t="shared" si="5"/>
        <v/>
      </c>
      <c r="U44" s="85">
        <f t="shared" si="6"/>
        <v>0</v>
      </c>
    </row>
    <row r="45">
      <c r="A45" s="85">
        <v>43.0</v>
      </c>
      <c r="B45" s="35"/>
      <c r="C45" s="65"/>
      <c r="D45" s="76"/>
      <c r="E45" s="93"/>
      <c r="F45" s="76"/>
      <c r="G45" s="35"/>
      <c r="H45" s="85"/>
      <c r="I45" s="89"/>
      <c r="J45" s="87" t="str">
        <f t="shared" si="1"/>
        <v/>
      </c>
      <c r="K45" s="35"/>
      <c r="L45" s="88"/>
      <c r="M45" s="88"/>
      <c r="N45" s="87" t="str">
        <f t="shared" si="2"/>
        <v/>
      </c>
      <c r="O45" s="35"/>
      <c r="P45" s="88"/>
      <c r="Q45" s="88"/>
      <c r="R45" s="87" t="str">
        <f t="shared" si="3"/>
        <v/>
      </c>
      <c r="S45" s="90" t="str">
        <f t="shared" si="4"/>
        <v/>
      </c>
      <c r="T45" s="91" t="str">
        <f t="shared" si="5"/>
        <v/>
      </c>
      <c r="U45" s="85">
        <f t="shared" si="6"/>
        <v>0</v>
      </c>
    </row>
    <row r="46">
      <c r="A46" s="85">
        <v>44.0</v>
      </c>
      <c r="B46" s="35"/>
      <c r="C46" s="65"/>
      <c r="D46" s="76"/>
      <c r="E46" s="93"/>
      <c r="F46" s="76"/>
      <c r="G46" s="35"/>
      <c r="H46" s="85"/>
      <c r="I46" s="89"/>
      <c r="J46" s="87" t="str">
        <f t="shared" si="1"/>
        <v/>
      </c>
      <c r="K46" s="35"/>
      <c r="L46" s="88"/>
      <c r="M46" s="88"/>
      <c r="N46" s="87" t="str">
        <f t="shared" si="2"/>
        <v/>
      </c>
      <c r="O46" s="35"/>
      <c r="P46" s="88"/>
      <c r="Q46" s="88"/>
      <c r="R46" s="87" t="str">
        <f t="shared" si="3"/>
        <v/>
      </c>
      <c r="S46" s="90" t="str">
        <f t="shared" si="4"/>
        <v/>
      </c>
      <c r="T46" s="91" t="str">
        <f t="shared" si="5"/>
        <v/>
      </c>
      <c r="U46" s="85">
        <f t="shared" si="6"/>
        <v>0</v>
      </c>
    </row>
    <row r="47">
      <c r="A47" s="85">
        <v>45.0</v>
      </c>
      <c r="B47" s="35"/>
      <c r="C47" s="65"/>
      <c r="D47" s="76"/>
      <c r="E47" s="93"/>
      <c r="F47" s="76"/>
      <c r="G47" s="35"/>
      <c r="H47" s="85"/>
      <c r="I47" s="89"/>
      <c r="J47" s="87" t="str">
        <f t="shared" si="1"/>
        <v/>
      </c>
      <c r="K47" s="35"/>
      <c r="L47" s="88"/>
      <c r="M47" s="88"/>
      <c r="N47" s="87" t="str">
        <f t="shared" si="2"/>
        <v/>
      </c>
      <c r="O47" s="35"/>
      <c r="P47" s="88"/>
      <c r="Q47" s="88"/>
      <c r="R47" s="87" t="str">
        <f t="shared" si="3"/>
        <v/>
      </c>
      <c r="S47" s="90" t="str">
        <f t="shared" si="4"/>
        <v/>
      </c>
      <c r="T47" s="91" t="str">
        <f t="shared" si="5"/>
        <v/>
      </c>
      <c r="U47" s="85">
        <f t="shared" si="6"/>
        <v>0</v>
      </c>
    </row>
    <row r="48">
      <c r="A48" s="85">
        <v>46.0</v>
      </c>
      <c r="B48" s="35"/>
      <c r="C48" s="65"/>
      <c r="D48" s="76"/>
      <c r="E48" s="93"/>
      <c r="F48" s="76"/>
      <c r="G48" s="35"/>
      <c r="H48" s="85"/>
      <c r="I48" s="89"/>
      <c r="J48" s="87" t="str">
        <f t="shared" si="1"/>
        <v/>
      </c>
      <c r="K48" s="35"/>
      <c r="L48" s="88"/>
      <c r="M48" s="88"/>
      <c r="N48" s="87" t="str">
        <f t="shared" si="2"/>
        <v/>
      </c>
      <c r="O48" s="35"/>
      <c r="P48" s="88"/>
      <c r="Q48" s="88"/>
      <c r="R48" s="87" t="str">
        <f t="shared" si="3"/>
        <v/>
      </c>
      <c r="S48" s="90" t="str">
        <f t="shared" si="4"/>
        <v/>
      </c>
      <c r="T48" s="91" t="str">
        <f t="shared" si="5"/>
        <v/>
      </c>
      <c r="U48" s="85">
        <f t="shared" si="6"/>
        <v>0</v>
      </c>
    </row>
    <row r="49">
      <c r="A49" s="85">
        <v>47.0</v>
      </c>
      <c r="B49" s="35"/>
      <c r="C49" s="65"/>
      <c r="D49" s="76"/>
      <c r="E49" s="93"/>
      <c r="F49" s="76"/>
      <c r="G49" s="35"/>
      <c r="H49" s="85"/>
      <c r="I49" s="89"/>
      <c r="J49" s="87" t="str">
        <f t="shared" si="1"/>
        <v/>
      </c>
      <c r="K49" s="35"/>
      <c r="L49" s="88"/>
      <c r="M49" s="88"/>
      <c r="N49" s="87" t="str">
        <f t="shared" si="2"/>
        <v/>
      </c>
      <c r="O49" s="35"/>
      <c r="P49" s="88"/>
      <c r="Q49" s="88"/>
      <c r="R49" s="87" t="str">
        <f t="shared" si="3"/>
        <v/>
      </c>
      <c r="S49" s="90" t="str">
        <f t="shared" si="4"/>
        <v/>
      </c>
      <c r="T49" s="91" t="str">
        <f t="shared" si="5"/>
        <v/>
      </c>
      <c r="U49" s="85">
        <f t="shared" si="6"/>
        <v>0</v>
      </c>
    </row>
    <row r="50">
      <c r="A50" s="85">
        <v>48.0</v>
      </c>
      <c r="B50" s="35"/>
      <c r="C50" s="65"/>
      <c r="D50" s="76"/>
      <c r="E50" s="93"/>
      <c r="F50" s="76"/>
      <c r="G50" s="35"/>
      <c r="H50" s="85"/>
      <c r="I50" s="89"/>
      <c r="J50" s="87" t="str">
        <f t="shared" si="1"/>
        <v/>
      </c>
      <c r="K50" s="35"/>
      <c r="L50" s="88"/>
      <c r="M50" s="88"/>
      <c r="N50" s="87" t="str">
        <f t="shared" si="2"/>
        <v/>
      </c>
      <c r="O50" s="35"/>
      <c r="P50" s="88"/>
      <c r="Q50" s="88"/>
      <c r="R50" s="87" t="str">
        <f t="shared" si="3"/>
        <v/>
      </c>
      <c r="S50" s="90" t="str">
        <f t="shared" si="4"/>
        <v/>
      </c>
      <c r="T50" s="91" t="str">
        <f t="shared" si="5"/>
        <v/>
      </c>
      <c r="U50" s="85">
        <f t="shared" si="6"/>
        <v>0</v>
      </c>
    </row>
    <row r="51">
      <c r="A51" s="85">
        <v>49.0</v>
      </c>
      <c r="B51" s="35"/>
      <c r="C51" s="65"/>
      <c r="D51" s="76"/>
      <c r="E51" s="93"/>
      <c r="F51" s="76"/>
      <c r="G51" s="35"/>
      <c r="H51" s="85"/>
      <c r="I51" s="89"/>
      <c r="J51" s="87" t="str">
        <f t="shared" si="1"/>
        <v/>
      </c>
      <c r="K51" s="35"/>
      <c r="L51" s="88"/>
      <c r="M51" s="88"/>
      <c r="N51" s="87" t="str">
        <f t="shared" si="2"/>
        <v/>
      </c>
      <c r="O51" s="35"/>
      <c r="P51" s="88"/>
      <c r="Q51" s="88"/>
      <c r="R51" s="87" t="str">
        <f t="shared" si="3"/>
        <v/>
      </c>
      <c r="S51" s="90" t="str">
        <f t="shared" si="4"/>
        <v/>
      </c>
      <c r="T51" s="91" t="str">
        <f t="shared" si="5"/>
        <v/>
      </c>
      <c r="U51" s="85">
        <f t="shared" si="6"/>
        <v>0</v>
      </c>
    </row>
    <row r="52">
      <c r="A52" s="85">
        <v>50.0</v>
      </c>
      <c r="B52" s="35"/>
      <c r="C52" s="65"/>
      <c r="D52" s="76"/>
      <c r="E52" s="93"/>
      <c r="F52" s="76"/>
      <c r="G52" s="35"/>
      <c r="H52" s="85"/>
      <c r="I52" s="89"/>
      <c r="J52" s="87" t="str">
        <f t="shared" si="1"/>
        <v/>
      </c>
      <c r="K52" s="35"/>
      <c r="L52" s="88"/>
      <c r="M52" s="88"/>
      <c r="N52" s="87" t="str">
        <f t="shared" si="2"/>
        <v/>
      </c>
      <c r="O52" s="35"/>
      <c r="P52" s="88"/>
      <c r="Q52" s="88"/>
      <c r="R52" s="87" t="str">
        <f t="shared" si="3"/>
        <v/>
      </c>
      <c r="S52" s="90" t="str">
        <f t="shared" si="4"/>
        <v/>
      </c>
      <c r="T52" s="91" t="str">
        <f t="shared" si="5"/>
        <v/>
      </c>
      <c r="U52" s="85">
        <f t="shared" si="6"/>
        <v>0</v>
      </c>
    </row>
    <row r="53">
      <c r="A53" s="85">
        <v>51.0</v>
      </c>
      <c r="B53" s="35"/>
      <c r="C53" s="65"/>
      <c r="D53" s="76"/>
      <c r="E53" s="93"/>
      <c r="F53" s="76"/>
      <c r="G53" s="35"/>
      <c r="H53" s="85"/>
      <c r="I53" s="89"/>
      <c r="J53" s="87" t="str">
        <f t="shared" si="1"/>
        <v/>
      </c>
      <c r="K53" s="35"/>
      <c r="L53" s="88"/>
      <c r="M53" s="88"/>
      <c r="N53" s="87" t="str">
        <f t="shared" si="2"/>
        <v/>
      </c>
      <c r="O53" s="35"/>
      <c r="P53" s="88"/>
      <c r="Q53" s="88"/>
      <c r="R53" s="87" t="str">
        <f t="shared" si="3"/>
        <v/>
      </c>
      <c r="S53" s="90" t="str">
        <f t="shared" si="4"/>
        <v/>
      </c>
      <c r="T53" s="91" t="str">
        <f t="shared" si="5"/>
        <v/>
      </c>
      <c r="U53" s="85">
        <f t="shared" si="6"/>
        <v>0</v>
      </c>
    </row>
    <row r="54">
      <c r="A54" s="85">
        <v>52.0</v>
      </c>
      <c r="B54" s="35"/>
      <c r="C54" s="65"/>
      <c r="D54" s="76"/>
      <c r="E54" s="93"/>
      <c r="F54" s="76"/>
      <c r="G54" s="35"/>
      <c r="H54" s="85"/>
      <c r="I54" s="89"/>
      <c r="J54" s="87" t="str">
        <f t="shared" si="1"/>
        <v/>
      </c>
      <c r="K54" s="35"/>
      <c r="L54" s="88"/>
      <c r="M54" s="88"/>
      <c r="N54" s="87" t="str">
        <f t="shared" si="2"/>
        <v/>
      </c>
      <c r="O54" s="35"/>
      <c r="P54" s="88"/>
      <c r="Q54" s="88"/>
      <c r="R54" s="87" t="str">
        <f t="shared" si="3"/>
        <v/>
      </c>
      <c r="S54" s="90" t="str">
        <f t="shared" si="4"/>
        <v/>
      </c>
      <c r="T54" s="91" t="str">
        <f t="shared" si="5"/>
        <v/>
      </c>
      <c r="U54" s="85">
        <f t="shared" si="6"/>
        <v>0</v>
      </c>
    </row>
    <row r="55">
      <c r="A55" s="85">
        <v>53.0</v>
      </c>
      <c r="B55" s="35"/>
      <c r="C55" s="65"/>
      <c r="D55" s="76"/>
      <c r="E55" s="93"/>
      <c r="F55" s="76"/>
      <c r="G55" s="35"/>
      <c r="H55" s="85"/>
      <c r="I55" s="89"/>
      <c r="J55" s="87" t="str">
        <f t="shared" si="1"/>
        <v/>
      </c>
      <c r="K55" s="35"/>
      <c r="L55" s="88"/>
      <c r="M55" s="88"/>
      <c r="N55" s="87" t="str">
        <f t="shared" si="2"/>
        <v/>
      </c>
      <c r="O55" s="35"/>
      <c r="P55" s="88"/>
      <c r="Q55" s="88"/>
      <c r="R55" s="87" t="str">
        <f t="shared" si="3"/>
        <v/>
      </c>
      <c r="S55" s="90" t="str">
        <f t="shared" si="4"/>
        <v/>
      </c>
      <c r="T55" s="91" t="str">
        <f t="shared" si="5"/>
        <v/>
      </c>
      <c r="U55" s="85">
        <f t="shared" si="6"/>
        <v>0</v>
      </c>
    </row>
    <row r="56">
      <c r="A56" s="85">
        <v>54.0</v>
      </c>
      <c r="B56" s="35"/>
      <c r="C56" s="65"/>
      <c r="D56" s="76"/>
      <c r="E56" s="93"/>
      <c r="F56" s="76"/>
      <c r="G56" s="35"/>
      <c r="H56" s="85"/>
      <c r="I56" s="89"/>
      <c r="J56" s="87" t="str">
        <f t="shared" si="1"/>
        <v/>
      </c>
      <c r="K56" s="35"/>
      <c r="L56" s="88"/>
      <c r="M56" s="88"/>
      <c r="N56" s="87" t="str">
        <f t="shared" si="2"/>
        <v/>
      </c>
      <c r="O56" s="35"/>
      <c r="P56" s="88"/>
      <c r="Q56" s="88"/>
      <c r="R56" s="87" t="str">
        <f t="shared" si="3"/>
        <v/>
      </c>
      <c r="S56" s="90" t="str">
        <f t="shared" si="4"/>
        <v/>
      </c>
      <c r="T56" s="91" t="str">
        <f t="shared" si="5"/>
        <v/>
      </c>
      <c r="U56" s="85">
        <f t="shared" si="6"/>
        <v>0</v>
      </c>
    </row>
    <row r="57">
      <c r="A57" s="85">
        <v>55.0</v>
      </c>
      <c r="B57" s="35"/>
      <c r="C57" s="65"/>
      <c r="D57" s="76"/>
      <c r="E57" s="93"/>
      <c r="F57" s="76"/>
      <c r="G57" s="35"/>
      <c r="H57" s="85"/>
      <c r="I57" s="89"/>
      <c r="J57" s="87" t="str">
        <f t="shared" si="1"/>
        <v/>
      </c>
      <c r="K57" s="35"/>
      <c r="L57" s="88"/>
      <c r="M57" s="88"/>
      <c r="N57" s="87" t="str">
        <f t="shared" si="2"/>
        <v/>
      </c>
      <c r="O57" s="35"/>
      <c r="P57" s="88"/>
      <c r="Q57" s="88"/>
      <c r="R57" s="87" t="str">
        <f t="shared" si="3"/>
        <v/>
      </c>
      <c r="S57" s="90" t="str">
        <f t="shared" si="4"/>
        <v/>
      </c>
      <c r="T57" s="91" t="str">
        <f t="shared" si="5"/>
        <v/>
      </c>
      <c r="U57" s="85">
        <f t="shared" si="6"/>
        <v>0</v>
      </c>
    </row>
    <row r="58">
      <c r="A58" s="85">
        <v>56.0</v>
      </c>
      <c r="B58" s="35"/>
      <c r="C58" s="65"/>
      <c r="D58" s="76"/>
      <c r="E58" s="93"/>
      <c r="F58" s="76"/>
      <c r="G58" s="35"/>
      <c r="H58" s="85"/>
      <c r="I58" s="89"/>
      <c r="J58" s="87" t="str">
        <f t="shared" si="1"/>
        <v/>
      </c>
      <c r="K58" s="35"/>
      <c r="L58" s="88"/>
      <c r="M58" s="88"/>
      <c r="N58" s="87" t="str">
        <f t="shared" si="2"/>
        <v/>
      </c>
      <c r="O58" s="35"/>
      <c r="P58" s="88"/>
      <c r="Q58" s="88"/>
      <c r="R58" s="87" t="str">
        <f t="shared" si="3"/>
        <v/>
      </c>
      <c r="S58" s="90" t="str">
        <f t="shared" si="4"/>
        <v/>
      </c>
      <c r="T58" s="91" t="str">
        <f t="shared" si="5"/>
        <v/>
      </c>
      <c r="U58" s="85">
        <f t="shared" si="6"/>
        <v>0</v>
      </c>
    </row>
    <row r="59">
      <c r="A59" s="85">
        <v>57.0</v>
      </c>
      <c r="B59" s="35"/>
      <c r="C59" s="65"/>
      <c r="D59" s="76"/>
      <c r="E59" s="93"/>
      <c r="F59" s="76"/>
      <c r="G59" s="35"/>
      <c r="H59" s="85"/>
      <c r="I59" s="89"/>
      <c r="J59" s="87" t="str">
        <f t="shared" si="1"/>
        <v/>
      </c>
      <c r="K59" s="35"/>
      <c r="L59" s="88"/>
      <c r="M59" s="88"/>
      <c r="N59" s="87" t="str">
        <f t="shared" si="2"/>
        <v/>
      </c>
      <c r="O59" s="35"/>
      <c r="P59" s="88"/>
      <c r="Q59" s="88"/>
      <c r="R59" s="87" t="str">
        <f t="shared" si="3"/>
        <v/>
      </c>
      <c r="S59" s="90" t="str">
        <f t="shared" si="4"/>
        <v/>
      </c>
      <c r="T59" s="91" t="str">
        <f t="shared" si="5"/>
        <v/>
      </c>
      <c r="U59" s="85">
        <f t="shared" si="6"/>
        <v>0</v>
      </c>
    </row>
    <row r="60">
      <c r="A60" s="85">
        <v>58.0</v>
      </c>
      <c r="B60" s="35"/>
      <c r="C60" s="65"/>
      <c r="D60" s="76"/>
      <c r="E60" s="93"/>
      <c r="F60" s="76"/>
      <c r="G60" s="35"/>
      <c r="H60" s="85"/>
      <c r="I60" s="89"/>
      <c r="J60" s="87" t="str">
        <f t="shared" si="1"/>
        <v/>
      </c>
      <c r="K60" s="35"/>
      <c r="L60" s="88"/>
      <c r="M60" s="88"/>
      <c r="N60" s="87" t="str">
        <f t="shared" si="2"/>
        <v/>
      </c>
      <c r="O60" s="35"/>
      <c r="P60" s="88"/>
      <c r="Q60" s="88"/>
      <c r="R60" s="87" t="str">
        <f t="shared" si="3"/>
        <v/>
      </c>
      <c r="S60" s="90" t="str">
        <f t="shared" si="4"/>
        <v/>
      </c>
      <c r="T60" s="91" t="str">
        <f t="shared" si="5"/>
        <v/>
      </c>
      <c r="U60" s="85">
        <f t="shared" si="6"/>
        <v>0</v>
      </c>
    </row>
    <row r="61">
      <c r="A61" s="85">
        <v>59.0</v>
      </c>
      <c r="B61" s="35"/>
      <c r="C61" s="65"/>
      <c r="D61" s="76"/>
      <c r="E61" s="93"/>
      <c r="F61" s="76"/>
      <c r="G61" s="35"/>
      <c r="H61" s="85"/>
      <c r="I61" s="89"/>
      <c r="J61" s="87" t="str">
        <f t="shared" si="1"/>
        <v/>
      </c>
      <c r="K61" s="35"/>
      <c r="L61" s="88"/>
      <c r="M61" s="88"/>
      <c r="N61" s="87" t="str">
        <f t="shared" si="2"/>
        <v/>
      </c>
      <c r="O61" s="35"/>
      <c r="P61" s="88"/>
      <c r="Q61" s="88"/>
      <c r="R61" s="87" t="str">
        <f t="shared" si="3"/>
        <v/>
      </c>
      <c r="S61" s="90" t="str">
        <f t="shared" si="4"/>
        <v/>
      </c>
      <c r="T61" s="91" t="str">
        <f t="shared" si="5"/>
        <v/>
      </c>
      <c r="U61" s="85">
        <f t="shared" si="6"/>
        <v>0</v>
      </c>
    </row>
    <row r="62">
      <c r="A62" s="85">
        <v>60.0</v>
      </c>
      <c r="B62" s="35"/>
      <c r="C62" s="65"/>
      <c r="D62" s="76"/>
      <c r="E62" s="93"/>
      <c r="F62" s="76"/>
      <c r="G62" s="35"/>
      <c r="H62" s="85"/>
      <c r="I62" s="89"/>
      <c r="J62" s="87" t="str">
        <f t="shared" si="1"/>
        <v/>
      </c>
      <c r="K62" s="35"/>
      <c r="L62" s="88"/>
      <c r="M62" s="88"/>
      <c r="N62" s="87" t="str">
        <f t="shared" si="2"/>
        <v/>
      </c>
      <c r="O62" s="35"/>
      <c r="P62" s="88"/>
      <c r="Q62" s="88"/>
      <c r="R62" s="87" t="str">
        <f t="shared" si="3"/>
        <v/>
      </c>
      <c r="S62" s="90" t="str">
        <f t="shared" si="4"/>
        <v/>
      </c>
      <c r="T62" s="91" t="str">
        <f t="shared" si="5"/>
        <v/>
      </c>
      <c r="U62" s="85">
        <f t="shared" si="6"/>
        <v>0</v>
      </c>
    </row>
    <row r="63">
      <c r="A63" s="85">
        <v>61.0</v>
      </c>
      <c r="B63" s="35"/>
      <c r="C63" s="65"/>
      <c r="D63" s="76"/>
      <c r="E63" s="93"/>
      <c r="F63" s="76"/>
      <c r="G63" s="35"/>
      <c r="H63" s="85"/>
      <c r="I63" s="89"/>
      <c r="J63" s="87" t="str">
        <f t="shared" si="1"/>
        <v/>
      </c>
      <c r="K63" s="35"/>
      <c r="L63" s="88"/>
      <c r="M63" s="88"/>
      <c r="N63" s="87" t="str">
        <f t="shared" si="2"/>
        <v/>
      </c>
      <c r="O63" s="35"/>
      <c r="P63" s="88"/>
      <c r="Q63" s="88"/>
      <c r="R63" s="87" t="str">
        <f t="shared" si="3"/>
        <v/>
      </c>
      <c r="S63" s="90" t="str">
        <f t="shared" si="4"/>
        <v/>
      </c>
      <c r="T63" s="91" t="str">
        <f t="shared" si="5"/>
        <v/>
      </c>
      <c r="U63" s="85">
        <f t="shared" si="6"/>
        <v>0</v>
      </c>
    </row>
    <row r="64">
      <c r="A64" s="85">
        <v>62.0</v>
      </c>
      <c r="B64" s="35"/>
      <c r="C64" s="65"/>
      <c r="D64" s="76"/>
      <c r="E64" s="93"/>
      <c r="F64" s="76"/>
      <c r="G64" s="35"/>
      <c r="H64" s="85"/>
      <c r="I64" s="89"/>
      <c r="J64" s="87" t="str">
        <f t="shared" si="1"/>
        <v/>
      </c>
      <c r="K64" s="35"/>
      <c r="L64" s="88"/>
      <c r="M64" s="88"/>
      <c r="N64" s="87" t="str">
        <f t="shared" si="2"/>
        <v/>
      </c>
      <c r="O64" s="35"/>
      <c r="P64" s="88"/>
      <c r="Q64" s="88"/>
      <c r="R64" s="87" t="str">
        <f t="shared" si="3"/>
        <v/>
      </c>
      <c r="S64" s="90" t="str">
        <f t="shared" si="4"/>
        <v/>
      </c>
      <c r="T64" s="91" t="str">
        <f t="shared" si="5"/>
        <v/>
      </c>
      <c r="U64" s="85">
        <f t="shared" si="6"/>
        <v>0</v>
      </c>
    </row>
    <row r="65">
      <c r="A65" s="85">
        <v>63.0</v>
      </c>
      <c r="B65" s="35"/>
      <c r="C65" s="65"/>
      <c r="D65" s="76"/>
      <c r="E65" s="93"/>
      <c r="F65" s="76"/>
      <c r="G65" s="35"/>
      <c r="H65" s="85"/>
      <c r="I65" s="89"/>
      <c r="J65" s="87" t="str">
        <f t="shared" si="1"/>
        <v/>
      </c>
      <c r="K65" s="35"/>
      <c r="L65" s="88"/>
      <c r="M65" s="88"/>
      <c r="N65" s="87" t="str">
        <f t="shared" si="2"/>
        <v/>
      </c>
      <c r="O65" s="35"/>
      <c r="P65" s="88"/>
      <c r="Q65" s="88"/>
      <c r="R65" s="87" t="str">
        <f t="shared" si="3"/>
        <v/>
      </c>
      <c r="S65" s="90" t="str">
        <f t="shared" si="4"/>
        <v/>
      </c>
      <c r="T65" s="91" t="str">
        <f t="shared" si="5"/>
        <v/>
      </c>
      <c r="U65" s="85">
        <f t="shared" si="6"/>
        <v>0</v>
      </c>
    </row>
    <row r="66">
      <c r="A66" s="85">
        <v>64.0</v>
      </c>
      <c r="B66" s="35"/>
      <c r="C66" s="65"/>
      <c r="D66" s="76"/>
      <c r="E66" s="93"/>
      <c r="F66" s="76"/>
      <c r="G66" s="35"/>
      <c r="H66" s="85"/>
      <c r="I66" s="89"/>
      <c r="J66" s="87" t="str">
        <f t="shared" si="1"/>
        <v/>
      </c>
      <c r="K66" s="35"/>
      <c r="L66" s="88"/>
      <c r="M66" s="88"/>
      <c r="N66" s="87" t="str">
        <f t="shared" si="2"/>
        <v/>
      </c>
      <c r="O66" s="35"/>
      <c r="P66" s="88"/>
      <c r="Q66" s="88"/>
      <c r="R66" s="87" t="str">
        <f t="shared" si="3"/>
        <v/>
      </c>
      <c r="S66" s="90" t="str">
        <f t="shared" si="4"/>
        <v/>
      </c>
      <c r="T66" s="91" t="str">
        <f t="shared" si="5"/>
        <v/>
      </c>
      <c r="U66" s="85">
        <f t="shared" si="6"/>
        <v>0</v>
      </c>
    </row>
    <row r="67">
      <c r="A67" s="85">
        <v>65.0</v>
      </c>
      <c r="B67" s="35"/>
      <c r="C67" s="65"/>
      <c r="D67" s="76"/>
      <c r="E67" s="93"/>
      <c r="F67" s="76"/>
      <c r="G67" s="35"/>
      <c r="H67" s="85"/>
      <c r="I67" s="89"/>
      <c r="J67" s="87" t="str">
        <f t="shared" si="1"/>
        <v/>
      </c>
      <c r="K67" s="35"/>
      <c r="L67" s="88"/>
      <c r="M67" s="88"/>
      <c r="N67" s="87" t="str">
        <f t="shared" si="2"/>
        <v/>
      </c>
      <c r="O67" s="35"/>
      <c r="P67" s="88"/>
      <c r="Q67" s="88"/>
      <c r="R67" s="87" t="str">
        <f t="shared" si="3"/>
        <v/>
      </c>
      <c r="S67" s="90" t="str">
        <f t="shared" si="4"/>
        <v/>
      </c>
      <c r="T67" s="91" t="str">
        <f t="shared" si="5"/>
        <v/>
      </c>
      <c r="U67" s="85">
        <f t="shared" si="6"/>
        <v>0</v>
      </c>
    </row>
    <row r="68">
      <c r="A68" s="85">
        <v>66.0</v>
      </c>
      <c r="B68" s="35"/>
      <c r="C68" s="65"/>
      <c r="D68" s="76"/>
      <c r="E68" s="93"/>
      <c r="F68" s="76"/>
      <c r="G68" s="35"/>
      <c r="H68" s="85"/>
      <c r="I68" s="89"/>
      <c r="J68" s="87" t="str">
        <f t="shared" si="1"/>
        <v/>
      </c>
      <c r="K68" s="35"/>
      <c r="L68" s="88"/>
      <c r="M68" s="88"/>
      <c r="N68" s="87" t="str">
        <f t="shared" si="2"/>
        <v/>
      </c>
      <c r="O68" s="35"/>
      <c r="P68" s="88"/>
      <c r="Q68" s="88"/>
      <c r="R68" s="87" t="str">
        <f t="shared" si="3"/>
        <v/>
      </c>
      <c r="S68" s="90" t="str">
        <f t="shared" si="4"/>
        <v/>
      </c>
      <c r="T68" s="91" t="str">
        <f t="shared" si="5"/>
        <v/>
      </c>
      <c r="U68" s="85">
        <f t="shared" si="6"/>
        <v>0</v>
      </c>
    </row>
    <row r="69">
      <c r="A69" s="85">
        <v>67.0</v>
      </c>
      <c r="B69" s="35"/>
      <c r="C69" s="65"/>
      <c r="D69" s="76"/>
      <c r="E69" s="93"/>
      <c r="F69" s="76"/>
      <c r="G69" s="35"/>
      <c r="H69" s="85"/>
      <c r="I69" s="89"/>
      <c r="J69" s="87" t="str">
        <f t="shared" si="1"/>
        <v/>
      </c>
      <c r="K69" s="35"/>
      <c r="L69" s="88"/>
      <c r="M69" s="88"/>
      <c r="N69" s="87" t="str">
        <f t="shared" si="2"/>
        <v/>
      </c>
      <c r="O69" s="35"/>
      <c r="P69" s="88"/>
      <c r="Q69" s="88"/>
      <c r="R69" s="87" t="str">
        <f t="shared" si="3"/>
        <v/>
      </c>
      <c r="S69" s="90" t="str">
        <f t="shared" si="4"/>
        <v/>
      </c>
      <c r="T69" s="91" t="str">
        <f t="shared" si="5"/>
        <v/>
      </c>
      <c r="U69" s="85">
        <f t="shared" si="6"/>
        <v>0</v>
      </c>
    </row>
    <row r="70">
      <c r="A70" s="85">
        <v>68.0</v>
      </c>
      <c r="B70" s="35"/>
      <c r="C70" s="65"/>
      <c r="D70" s="76"/>
      <c r="E70" s="93"/>
      <c r="F70" s="76"/>
      <c r="G70" s="35"/>
      <c r="H70" s="85"/>
      <c r="I70" s="89"/>
      <c r="J70" s="87" t="str">
        <f t="shared" si="1"/>
        <v/>
      </c>
      <c r="K70" s="35"/>
      <c r="L70" s="88"/>
      <c r="M70" s="88"/>
      <c r="N70" s="87" t="str">
        <f t="shared" si="2"/>
        <v/>
      </c>
      <c r="O70" s="35"/>
      <c r="P70" s="88"/>
      <c r="Q70" s="88"/>
      <c r="R70" s="87" t="str">
        <f t="shared" si="3"/>
        <v/>
      </c>
      <c r="S70" s="90" t="str">
        <f t="shared" si="4"/>
        <v/>
      </c>
      <c r="T70" s="91" t="str">
        <f t="shared" si="5"/>
        <v/>
      </c>
      <c r="U70" s="85">
        <f t="shared" si="6"/>
        <v>0</v>
      </c>
    </row>
    <row r="71">
      <c r="A71" s="85">
        <v>69.0</v>
      </c>
      <c r="B71" s="35"/>
      <c r="C71" s="65"/>
      <c r="D71" s="76"/>
      <c r="E71" s="93"/>
      <c r="F71" s="76"/>
      <c r="G71" s="35"/>
      <c r="H71" s="85"/>
      <c r="I71" s="89"/>
      <c r="J71" s="87" t="str">
        <f t="shared" si="1"/>
        <v/>
      </c>
      <c r="K71" s="35"/>
      <c r="L71" s="88"/>
      <c r="M71" s="88"/>
      <c r="N71" s="87" t="str">
        <f t="shared" si="2"/>
        <v/>
      </c>
      <c r="O71" s="35"/>
      <c r="P71" s="88"/>
      <c r="Q71" s="88"/>
      <c r="R71" s="87" t="str">
        <f t="shared" si="3"/>
        <v/>
      </c>
      <c r="S71" s="90" t="str">
        <f t="shared" si="4"/>
        <v/>
      </c>
      <c r="T71" s="91" t="str">
        <f t="shared" si="5"/>
        <v/>
      </c>
      <c r="U71" s="85">
        <f t="shared" si="6"/>
        <v>0</v>
      </c>
    </row>
    <row r="72">
      <c r="A72" s="85">
        <v>70.0</v>
      </c>
      <c r="B72" s="35"/>
      <c r="C72" s="65"/>
      <c r="D72" s="76"/>
      <c r="E72" s="93"/>
      <c r="F72" s="76"/>
      <c r="G72" s="35"/>
      <c r="H72" s="85"/>
      <c r="I72" s="89"/>
      <c r="J72" s="87" t="str">
        <f t="shared" si="1"/>
        <v/>
      </c>
      <c r="K72" s="35"/>
      <c r="L72" s="88"/>
      <c r="M72" s="88"/>
      <c r="N72" s="87" t="str">
        <f t="shared" si="2"/>
        <v/>
      </c>
      <c r="O72" s="35"/>
      <c r="P72" s="88"/>
      <c r="Q72" s="88"/>
      <c r="R72" s="87" t="str">
        <f t="shared" si="3"/>
        <v/>
      </c>
      <c r="S72" s="90" t="str">
        <f t="shared" si="4"/>
        <v/>
      </c>
      <c r="T72" s="91" t="str">
        <f t="shared" si="5"/>
        <v/>
      </c>
      <c r="U72" s="85">
        <f t="shared" si="6"/>
        <v>0</v>
      </c>
    </row>
    <row r="73">
      <c r="A73" s="85">
        <v>71.0</v>
      </c>
      <c r="B73" s="35"/>
      <c r="C73" s="65"/>
      <c r="D73" s="76"/>
      <c r="E73" s="93"/>
      <c r="F73" s="76"/>
      <c r="G73" s="35"/>
      <c r="H73" s="85"/>
      <c r="I73" s="89"/>
      <c r="J73" s="87" t="str">
        <f t="shared" si="1"/>
        <v/>
      </c>
      <c r="K73" s="35"/>
      <c r="L73" s="88"/>
      <c r="M73" s="88"/>
      <c r="N73" s="87" t="str">
        <f t="shared" si="2"/>
        <v/>
      </c>
      <c r="O73" s="35"/>
      <c r="P73" s="88"/>
      <c r="Q73" s="88"/>
      <c r="R73" s="87" t="str">
        <f t="shared" si="3"/>
        <v/>
      </c>
      <c r="S73" s="90" t="str">
        <f t="shared" si="4"/>
        <v/>
      </c>
      <c r="T73" s="91" t="str">
        <f t="shared" si="5"/>
        <v/>
      </c>
      <c r="U73" s="85">
        <f t="shared" si="6"/>
        <v>0</v>
      </c>
    </row>
    <row r="74">
      <c r="A74" s="85">
        <v>72.0</v>
      </c>
      <c r="B74" s="35"/>
      <c r="C74" s="65"/>
      <c r="D74" s="76"/>
      <c r="E74" s="93"/>
      <c r="F74" s="76"/>
      <c r="G74" s="35"/>
      <c r="H74" s="85"/>
      <c r="I74" s="89"/>
      <c r="J74" s="87" t="str">
        <f t="shared" si="1"/>
        <v/>
      </c>
      <c r="K74" s="35"/>
      <c r="L74" s="88"/>
      <c r="M74" s="88"/>
      <c r="N74" s="87" t="str">
        <f t="shared" si="2"/>
        <v/>
      </c>
      <c r="O74" s="35"/>
      <c r="P74" s="88"/>
      <c r="Q74" s="88"/>
      <c r="R74" s="87" t="str">
        <f t="shared" si="3"/>
        <v/>
      </c>
      <c r="S74" s="90" t="str">
        <f t="shared" si="4"/>
        <v/>
      </c>
      <c r="T74" s="91" t="str">
        <f t="shared" si="5"/>
        <v/>
      </c>
      <c r="U74" s="85">
        <f t="shared" si="6"/>
        <v>0</v>
      </c>
    </row>
    <row r="75">
      <c r="A75" s="85">
        <v>73.0</v>
      </c>
      <c r="B75" s="35"/>
      <c r="C75" s="65"/>
      <c r="D75" s="76"/>
      <c r="E75" s="93"/>
      <c r="F75" s="76"/>
      <c r="G75" s="35"/>
      <c r="H75" s="85"/>
      <c r="I75" s="89"/>
      <c r="J75" s="87" t="str">
        <f t="shared" si="1"/>
        <v/>
      </c>
      <c r="K75" s="35"/>
      <c r="L75" s="88"/>
      <c r="M75" s="88"/>
      <c r="N75" s="87" t="str">
        <f t="shared" si="2"/>
        <v/>
      </c>
      <c r="O75" s="35"/>
      <c r="P75" s="88"/>
      <c r="Q75" s="88"/>
      <c r="R75" s="87" t="str">
        <f t="shared" si="3"/>
        <v/>
      </c>
      <c r="S75" s="90" t="str">
        <f t="shared" si="4"/>
        <v/>
      </c>
      <c r="T75" s="91" t="str">
        <f t="shared" si="5"/>
        <v/>
      </c>
      <c r="U75" s="85">
        <f t="shared" si="6"/>
        <v>0</v>
      </c>
    </row>
    <row r="76">
      <c r="A76" s="85">
        <v>74.0</v>
      </c>
      <c r="B76" s="35"/>
      <c r="C76" s="65"/>
      <c r="D76" s="76"/>
      <c r="E76" s="93"/>
      <c r="F76" s="76"/>
      <c r="G76" s="35"/>
      <c r="H76" s="85"/>
      <c r="I76" s="89"/>
      <c r="J76" s="87" t="str">
        <f t="shared" si="1"/>
        <v/>
      </c>
      <c r="K76" s="35"/>
      <c r="L76" s="88"/>
      <c r="M76" s="88"/>
      <c r="N76" s="87" t="str">
        <f t="shared" si="2"/>
        <v/>
      </c>
      <c r="O76" s="35"/>
      <c r="P76" s="88"/>
      <c r="Q76" s="88"/>
      <c r="R76" s="87" t="str">
        <f t="shared" si="3"/>
        <v/>
      </c>
      <c r="S76" s="90" t="str">
        <f t="shared" si="4"/>
        <v/>
      </c>
      <c r="T76" s="91" t="str">
        <f t="shared" si="5"/>
        <v/>
      </c>
      <c r="U76" s="85">
        <f t="shared" si="6"/>
        <v>0</v>
      </c>
    </row>
    <row r="77">
      <c r="A77" s="85">
        <v>75.0</v>
      </c>
      <c r="B77" s="35"/>
      <c r="C77" s="65"/>
      <c r="D77" s="76"/>
      <c r="E77" s="93"/>
      <c r="F77" s="76"/>
      <c r="G77" s="35"/>
      <c r="H77" s="85"/>
      <c r="I77" s="89"/>
      <c r="J77" s="87" t="str">
        <f t="shared" si="1"/>
        <v/>
      </c>
      <c r="K77" s="35"/>
      <c r="L77" s="88"/>
      <c r="M77" s="88"/>
      <c r="N77" s="87" t="str">
        <f t="shared" si="2"/>
        <v/>
      </c>
      <c r="O77" s="35"/>
      <c r="P77" s="88"/>
      <c r="Q77" s="88"/>
      <c r="R77" s="87" t="str">
        <f t="shared" si="3"/>
        <v/>
      </c>
      <c r="S77" s="90" t="str">
        <f t="shared" si="4"/>
        <v/>
      </c>
      <c r="T77" s="91" t="str">
        <f t="shared" si="5"/>
        <v/>
      </c>
      <c r="U77" s="85">
        <f t="shared" si="6"/>
        <v>0</v>
      </c>
    </row>
  </sheetData>
  <autoFilter ref="$B$2:$T$77"/>
  <customSheetViews>
    <customSheetView guid="{B0C17AAF-6872-48F8-A58E-565BF6C8DB27}" filter="1" showAutoFilter="1">
      <autoFilter ref="$C$2:$T$52"/>
    </customSheetView>
  </customSheetViews>
  <mergeCells count="3">
    <mergeCell ref="K1:N1"/>
    <mergeCell ref="O1:R1"/>
    <mergeCell ref="G1:J1"/>
  </mergeCells>
  <conditionalFormatting sqref="G3:I77 K3:M77 O3:Q77">
    <cfRule type="endsWith" dxfId="2" priority="1" operator="endsWith" text="g">
      <formula>RIGHT((G3),LEN("g"))=("g")</formula>
    </cfRule>
  </conditionalFormatting>
  <conditionalFormatting sqref="G3:I77 K3:M77 O3:Q77">
    <cfRule type="endsWith" dxfId="1" priority="2" operator="endsWith" text="x">
      <formula>RIGHT((G3),LEN("x"))=("x")</formula>
    </cfRule>
  </conditionalFormatting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tabColor rgb="FF000000"/>
    <outlinePr summaryBelow="0" summaryRight="0"/>
  </sheetPr>
  <sheetViews>
    <sheetView workbookViewId="0">
      <pane xSplit="6.0" ySplit="2.0" topLeftCell="G3" activePane="bottomRight" state="frozen"/>
      <selection activeCell="G1" sqref="G1" pane="topRight"/>
      <selection activeCell="A3" sqref="A3" pane="bottomLeft"/>
      <selection activeCell="G3" sqref="G3" pane="bottomRight"/>
    </sheetView>
  </sheetViews>
  <sheetFormatPr customHeight="1" defaultColWidth="14.43" defaultRowHeight="15.75"/>
  <cols>
    <col customWidth="1" min="1" max="1" width="3.57"/>
    <col customWidth="1" min="2" max="2" width="11.71"/>
    <col customWidth="1" min="3" max="3" width="6.86"/>
    <col customWidth="1" min="4" max="4" width="14.71"/>
    <col customWidth="1" min="5" max="5" width="7.57"/>
    <col customWidth="1" min="6" max="6" width="18.29"/>
    <col customWidth="1" min="7" max="18" width="5.71"/>
    <col customWidth="1" min="19" max="19" width="9.86"/>
    <col customWidth="1" min="20" max="20" width="11.0"/>
    <col customWidth="1" hidden="1" min="21" max="21" width="11.0"/>
  </cols>
  <sheetData>
    <row r="1">
      <c r="A1" s="14"/>
      <c r="B1" s="16" t="s">
        <v>19</v>
      </c>
      <c r="C1" s="16" t="s">
        <v>135</v>
      </c>
      <c r="D1" s="57" t="s">
        <v>22</v>
      </c>
      <c r="E1" s="57" t="s">
        <v>23</v>
      </c>
      <c r="F1" s="57" t="s">
        <v>25</v>
      </c>
      <c r="G1" s="57" t="s">
        <v>115</v>
      </c>
      <c r="K1" s="57" t="s">
        <v>116</v>
      </c>
      <c r="O1" s="57" t="s">
        <v>117</v>
      </c>
      <c r="S1" s="57" t="s">
        <v>118</v>
      </c>
      <c r="T1" s="57" t="s">
        <v>119</v>
      </c>
      <c r="U1" s="57"/>
    </row>
    <row r="2">
      <c r="A2" s="81"/>
      <c r="B2" s="83" t="s">
        <v>19</v>
      </c>
      <c r="C2" s="83" t="s">
        <v>135</v>
      </c>
      <c r="D2" s="83" t="s">
        <v>22</v>
      </c>
      <c r="E2" s="84" t="s">
        <v>23</v>
      </c>
      <c r="F2" s="83" t="s">
        <v>25</v>
      </c>
      <c r="G2" s="83" t="s">
        <v>136</v>
      </c>
      <c r="H2" s="83" t="s">
        <v>137</v>
      </c>
      <c r="I2" s="83" t="s">
        <v>138</v>
      </c>
      <c r="J2" s="83" t="s">
        <v>139</v>
      </c>
      <c r="K2" s="83" t="s">
        <v>140</v>
      </c>
      <c r="L2" s="83" t="s">
        <v>141</v>
      </c>
      <c r="M2" s="83" t="s">
        <v>142</v>
      </c>
      <c r="N2" s="83" t="s">
        <v>143</v>
      </c>
      <c r="O2" s="83" t="s">
        <v>144</v>
      </c>
      <c r="P2" s="83" t="s">
        <v>145</v>
      </c>
      <c r="Q2" s="83" t="s">
        <v>146</v>
      </c>
      <c r="R2" s="83" t="s">
        <v>147</v>
      </c>
      <c r="S2" s="83"/>
      <c r="T2" s="84" t="s">
        <v>119</v>
      </c>
      <c r="U2" s="84"/>
    </row>
    <row r="3">
      <c r="A3" s="85">
        <v>1.0</v>
      </c>
      <c r="B3" s="35" t="s">
        <v>57</v>
      </c>
      <c r="C3" s="35" t="s">
        <v>109</v>
      </c>
      <c r="D3" s="86" t="s">
        <v>168</v>
      </c>
      <c r="E3" s="35">
        <v>130.8</v>
      </c>
      <c r="F3" s="86" t="s">
        <v>323</v>
      </c>
      <c r="G3" s="35" t="s">
        <v>175</v>
      </c>
      <c r="H3" s="85" t="s">
        <v>254</v>
      </c>
      <c r="I3" s="85" t="s">
        <v>263</v>
      </c>
      <c r="J3" s="87">
        <f t="shared" ref="J3:J77" si="1">IFERROR(__xludf.DUMMYFUNCTION("if(isblank(B3),,Max(if(right(G3,1)=""g"",split(G3,""g""),),if(right(H3,1)=""g"",split(H3,""g""),),if(right(I3,1)=""g"",split(I3,""g""),)))"),205.0)</f>
        <v>205</v>
      </c>
      <c r="K3" s="35" t="s">
        <v>216</v>
      </c>
      <c r="L3" s="88" t="s">
        <v>153</v>
      </c>
      <c r="M3" s="89" t="s">
        <v>154</v>
      </c>
      <c r="N3" s="87">
        <f t="shared" ref="N3:N77" si="2">IFERROR(__xludf.DUMMYFUNCTION("if(isblank($B3),,Max(if(right(K3,1)=""g"",split(K3,""g""),),if(right(L3,1)=""g"",split(L3,""g""),),if(right(M3,1)=""g"",split(M3,""g""),)))"),110.0)</f>
        <v>110</v>
      </c>
      <c r="O3" s="35" t="s">
        <v>156</v>
      </c>
      <c r="P3" s="88" t="s">
        <v>324</v>
      </c>
      <c r="Q3" s="88" t="s">
        <v>325</v>
      </c>
      <c r="R3" s="87">
        <f t="shared" ref="R3:R77" si="3">IFERROR(__xludf.DUMMYFUNCTION("if(isblank($B3),,Max(if(right(O3,1)=""g"",split(O3,""g""),),if(right(P3,1)=""g"",split(P3,""g""),),if(right(Q3,1)=""g"",split(Q3,""g""),)))"),275.0)</f>
        <v>275</v>
      </c>
      <c r="S3" s="90">
        <f t="shared" ref="S3:S77" si="4">if(isblank(F3),,if(or(and(right(G3,1)="x",right(H3,1)="x",right(I3,1)="x"),and(right(K3,1)="x",right(L3,1)="x",right(M3,1)="x"),and(right(O3,1)="x",right(P3,1)="x",right(Q3,1)="x")),0,J3+N3+R3))</f>
        <v>590</v>
      </c>
      <c r="T3" s="91">
        <f t="shared" ref="T3:T77" si="5">if(isblank(E3),,S3/E3)</f>
        <v>4.510703364</v>
      </c>
      <c r="U3" s="85">
        <f t="shared" ref="U3:U77" si="6">countif(G3:Q3,"*g")</f>
        <v>8</v>
      </c>
    </row>
    <row r="4">
      <c r="A4" s="85">
        <v>2.0</v>
      </c>
      <c r="B4" s="35" t="s">
        <v>57</v>
      </c>
      <c r="C4" s="35" t="s">
        <v>109</v>
      </c>
      <c r="D4" s="86" t="s">
        <v>326</v>
      </c>
      <c r="E4" s="35">
        <v>128.1</v>
      </c>
      <c r="F4" s="86" t="s">
        <v>327</v>
      </c>
      <c r="G4" s="35" t="s">
        <v>232</v>
      </c>
      <c r="H4" s="85" t="s">
        <v>235</v>
      </c>
      <c r="I4" s="85" t="s">
        <v>182</v>
      </c>
      <c r="J4" s="87">
        <f t="shared" si="1"/>
        <v>200</v>
      </c>
      <c r="K4" s="35" t="s">
        <v>163</v>
      </c>
      <c r="L4" s="88" t="s">
        <v>216</v>
      </c>
      <c r="M4" s="89" t="s">
        <v>153</v>
      </c>
      <c r="N4" s="87">
        <f t="shared" si="2"/>
        <v>105</v>
      </c>
      <c r="O4" s="35" t="s">
        <v>176</v>
      </c>
      <c r="P4" s="88" t="s">
        <v>328</v>
      </c>
      <c r="Q4" s="88" t="s">
        <v>329</v>
      </c>
      <c r="R4" s="87">
        <f t="shared" si="3"/>
        <v>270</v>
      </c>
      <c r="S4" s="90">
        <f t="shared" si="4"/>
        <v>575</v>
      </c>
      <c r="T4" s="91">
        <f t="shared" si="5"/>
        <v>4.488680718</v>
      </c>
      <c r="U4" s="85">
        <f t="shared" si="6"/>
        <v>8</v>
      </c>
    </row>
    <row r="5">
      <c r="A5" s="85">
        <v>3.0</v>
      </c>
      <c r="B5" s="35" t="s">
        <v>57</v>
      </c>
      <c r="C5" s="35" t="s">
        <v>109</v>
      </c>
      <c r="D5" s="86" t="s">
        <v>168</v>
      </c>
      <c r="E5" s="35">
        <v>124.7</v>
      </c>
      <c r="F5" s="86" t="s">
        <v>330</v>
      </c>
      <c r="G5" s="35" t="s">
        <v>150</v>
      </c>
      <c r="H5" s="85" t="s">
        <v>151</v>
      </c>
      <c r="I5" s="85" t="s">
        <v>181</v>
      </c>
      <c r="J5" s="87">
        <f t="shared" si="1"/>
        <v>190</v>
      </c>
      <c r="K5" s="35" t="s">
        <v>153</v>
      </c>
      <c r="L5" s="88" t="s">
        <v>193</v>
      </c>
      <c r="M5" s="89" t="s">
        <v>155</v>
      </c>
      <c r="N5" s="87">
        <f t="shared" si="2"/>
        <v>115</v>
      </c>
      <c r="O5" s="35" t="s">
        <v>190</v>
      </c>
      <c r="P5" s="88" t="s">
        <v>167</v>
      </c>
      <c r="Q5" s="88" t="s">
        <v>176</v>
      </c>
      <c r="R5" s="87">
        <f t="shared" si="3"/>
        <v>250</v>
      </c>
      <c r="S5" s="90">
        <f t="shared" si="4"/>
        <v>555</v>
      </c>
      <c r="T5" s="91">
        <f t="shared" si="5"/>
        <v>4.450681636</v>
      </c>
      <c r="U5" s="85">
        <f t="shared" si="6"/>
        <v>8</v>
      </c>
    </row>
    <row r="6" ht="16.5" customHeight="1">
      <c r="A6" s="85">
        <v>4.0</v>
      </c>
      <c r="B6" s="35" t="s">
        <v>57</v>
      </c>
      <c r="C6" s="35" t="s">
        <v>109</v>
      </c>
      <c r="D6" s="86" t="s">
        <v>184</v>
      </c>
      <c r="E6" s="35">
        <v>127.3</v>
      </c>
      <c r="F6" s="86" t="s">
        <v>331</v>
      </c>
      <c r="G6" s="35" t="s">
        <v>235</v>
      </c>
      <c r="H6" s="85" t="s">
        <v>181</v>
      </c>
      <c r="I6" s="85" t="s">
        <v>211</v>
      </c>
      <c r="J6" s="87">
        <f t="shared" si="1"/>
        <v>190</v>
      </c>
      <c r="K6" s="35" t="s">
        <v>197</v>
      </c>
      <c r="L6" s="88" t="s">
        <v>243</v>
      </c>
      <c r="M6" s="89" t="s">
        <v>243</v>
      </c>
      <c r="N6" s="87">
        <f t="shared" si="2"/>
        <v>120</v>
      </c>
      <c r="O6" s="35" t="s">
        <v>158</v>
      </c>
      <c r="P6" s="88" t="s">
        <v>256</v>
      </c>
      <c r="Q6" s="88" t="s">
        <v>256</v>
      </c>
      <c r="R6" s="87">
        <f t="shared" si="3"/>
        <v>240</v>
      </c>
      <c r="S6" s="90">
        <f t="shared" si="4"/>
        <v>550</v>
      </c>
      <c r="T6" s="91">
        <f t="shared" si="5"/>
        <v>4.320502749</v>
      </c>
      <c r="U6" s="85">
        <f t="shared" si="6"/>
        <v>4</v>
      </c>
    </row>
    <row r="7">
      <c r="A7" s="85">
        <v>5.0</v>
      </c>
      <c r="B7" s="35" t="s">
        <v>57</v>
      </c>
      <c r="C7" s="35" t="s">
        <v>109</v>
      </c>
      <c r="D7" s="86" t="s">
        <v>303</v>
      </c>
      <c r="E7" s="35">
        <v>130.4</v>
      </c>
      <c r="F7" s="86" t="s">
        <v>332</v>
      </c>
      <c r="G7" s="35" t="s">
        <v>235</v>
      </c>
      <c r="H7" s="85" t="s">
        <v>182</v>
      </c>
      <c r="I7" s="85" t="s">
        <v>263</v>
      </c>
      <c r="J7" s="87">
        <f t="shared" si="1"/>
        <v>200</v>
      </c>
      <c r="K7" s="35" t="s">
        <v>173</v>
      </c>
      <c r="L7" s="88" t="s">
        <v>216</v>
      </c>
      <c r="M7" s="89" t="s">
        <v>164</v>
      </c>
      <c r="N7" s="87">
        <f t="shared" si="2"/>
        <v>100</v>
      </c>
      <c r="O7" s="35" t="s">
        <v>182</v>
      </c>
      <c r="P7" s="88" t="s">
        <v>183</v>
      </c>
      <c r="Q7" s="88" t="s">
        <v>167</v>
      </c>
      <c r="R7" s="87">
        <f t="shared" si="3"/>
        <v>235</v>
      </c>
      <c r="S7" s="90">
        <f t="shared" si="4"/>
        <v>535</v>
      </c>
      <c r="T7" s="91">
        <f t="shared" si="5"/>
        <v>4.102760736</v>
      </c>
      <c r="U7" s="85">
        <f t="shared" si="6"/>
        <v>8</v>
      </c>
    </row>
    <row r="8">
      <c r="A8" s="85">
        <v>6.0</v>
      </c>
      <c r="B8" s="35" t="s">
        <v>57</v>
      </c>
      <c r="C8" s="35" t="s">
        <v>109</v>
      </c>
      <c r="D8" s="86" t="s">
        <v>260</v>
      </c>
      <c r="E8" s="35">
        <v>131.3</v>
      </c>
      <c r="F8" s="86" t="s">
        <v>333</v>
      </c>
      <c r="G8" s="35" t="s">
        <v>170</v>
      </c>
      <c r="H8" s="85" t="s">
        <v>171</v>
      </c>
      <c r="I8" s="85" t="s">
        <v>161</v>
      </c>
      <c r="J8" s="87">
        <f t="shared" si="1"/>
        <v>160</v>
      </c>
      <c r="K8" s="35" t="s">
        <v>216</v>
      </c>
      <c r="L8" s="88" t="s">
        <v>164</v>
      </c>
      <c r="M8" s="89" t="s">
        <v>262</v>
      </c>
      <c r="N8" s="87">
        <f t="shared" si="2"/>
        <v>100</v>
      </c>
      <c r="O8" s="35" t="s">
        <v>328</v>
      </c>
      <c r="P8" s="88" t="s">
        <v>297</v>
      </c>
      <c r="Q8" s="88" t="s">
        <v>297</v>
      </c>
      <c r="R8" s="87">
        <f t="shared" si="3"/>
        <v>260</v>
      </c>
      <c r="S8" s="90">
        <f t="shared" si="4"/>
        <v>520</v>
      </c>
      <c r="T8" s="91">
        <f t="shared" si="5"/>
        <v>3.96039604</v>
      </c>
      <c r="U8" s="85">
        <f t="shared" si="6"/>
        <v>6</v>
      </c>
    </row>
    <row r="9">
      <c r="A9" s="85">
        <v>7.0</v>
      </c>
      <c r="B9" s="35" t="s">
        <v>57</v>
      </c>
      <c r="C9" s="35" t="s">
        <v>109</v>
      </c>
      <c r="D9" s="86" t="s">
        <v>237</v>
      </c>
      <c r="E9" s="85">
        <v>126.6</v>
      </c>
      <c r="F9" s="86" t="s">
        <v>334</v>
      </c>
      <c r="G9" s="35" t="s">
        <v>170</v>
      </c>
      <c r="H9" s="85" t="s">
        <v>224</v>
      </c>
      <c r="I9" s="85" t="s">
        <v>232</v>
      </c>
      <c r="J9" s="87">
        <f t="shared" si="1"/>
        <v>165</v>
      </c>
      <c r="K9" s="35" t="s">
        <v>210</v>
      </c>
      <c r="L9" s="88" t="s">
        <v>163</v>
      </c>
      <c r="M9" s="89" t="s">
        <v>216</v>
      </c>
      <c r="N9" s="87">
        <f t="shared" si="2"/>
        <v>95</v>
      </c>
      <c r="O9" s="35" t="s">
        <v>190</v>
      </c>
      <c r="P9" s="88" t="s">
        <v>167</v>
      </c>
      <c r="Q9" s="88" t="s">
        <v>176</v>
      </c>
      <c r="R9" s="87">
        <f t="shared" si="3"/>
        <v>250</v>
      </c>
      <c r="S9" s="90">
        <f t="shared" si="4"/>
        <v>510</v>
      </c>
      <c r="T9" s="91">
        <f t="shared" si="5"/>
        <v>4.028436019</v>
      </c>
      <c r="U9" s="85">
        <f t="shared" si="6"/>
        <v>8</v>
      </c>
    </row>
    <row r="10">
      <c r="A10" s="85">
        <v>8.0</v>
      </c>
      <c r="B10" s="35" t="s">
        <v>57</v>
      </c>
      <c r="C10" s="35" t="s">
        <v>109</v>
      </c>
      <c r="D10" s="86" t="s">
        <v>335</v>
      </c>
      <c r="E10" s="35">
        <v>130.9</v>
      </c>
      <c r="F10" s="86" t="s">
        <v>336</v>
      </c>
      <c r="G10" s="35" t="s">
        <v>151</v>
      </c>
      <c r="H10" s="85" t="s">
        <v>301</v>
      </c>
      <c r="I10" s="85" t="s">
        <v>301</v>
      </c>
      <c r="J10" s="87">
        <f t="shared" si="1"/>
        <v>185</v>
      </c>
      <c r="K10" s="35" t="s">
        <v>172</v>
      </c>
      <c r="L10" s="88" t="s">
        <v>173</v>
      </c>
      <c r="M10" s="89" t="s">
        <v>216</v>
      </c>
      <c r="N10" s="87">
        <f t="shared" si="2"/>
        <v>95</v>
      </c>
      <c r="O10" s="35" t="s">
        <v>254</v>
      </c>
      <c r="P10" s="88" t="s">
        <v>156</v>
      </c>
      <c r="Q10" s="88" t="s">
        <v>157</v>
      </c>
      <c r="R10" s="87">
        <f t="shared" si="3"/>
        <v>225</v>
      </c>
      <c r="S10" s="90">
        <f t="shared" si="4"/>
        <v>505</v>
      </c>
      <c r="T10" s="91">
        <f t="shared" si="5"/>
        <v>3.857906799</v>
      </c>
      <c r="U10" s="85">
        <f t="shared" si="6"/>
        <v>6</v>
      </c>
    </row>
    <row r="11">
      <c r="A11" s="85">
        <v>9.0</v>
      </c>
      <c r="B11" s="35" t="s">
        <v>57</v>
      </c>
      <c r="C11" s="35" t="s">
        <v>109</v>
      </c>
      <c r="D11" s="86" t="s">
        <v>260</v>
      </c>
      <c r="E11" s="35">
        <v>127.2</v>
      </c>
      <c r="F11" s="86" t="s">
        <v>337</v>
      </c>
      <c r="G11" s="35" t="s">
        <v>180</v>
      </c>
      <c r="H11" s="85" t="s">
        <v>186</v>
      </c>
      <c r="I11" s="85" t="s">
        <v>202</v>
      </c>
      <c r="J11" s="87">
        <f t="shared" si="1"/>
        <v>155</v>
      </c>
      <c r="K11" s="35" t="s">
        <v>173</v>
      </c>
      <c r="L11" s="88" t="s">
        <v>163</v>
      </c>
      <c r="M11" s="89" t="s">
        <v>216</v>
      </c>
      <c r="N11" s="87">
        <f t="shared" si="2"/>
        <v>95</v>
      </c>
      <c r="O11" s="35" t="s">
        <v>156</v>
      </c>
      <c r="P11" s="88" t="s">
        <v>158</v>
      </c>
      <c r="Q11" s="88" t="s">
        <v>324</v>
      </c>
      <c r="R11" s="87">
        <f t="shared" si="3"/>
        <v>255</v>
      </c>
      <c r="S11" s="90">
        <f t="shared" si="4"/>
        <v>505</v>
      </c>
      <c r="T11" s="91">
        <f t="shared" si="5"/>
        <v>3.970125786</v>
      </c>
      <c r="U11" s="85">
        <f t="shared" si="6"/>
        <v>8</v>
      </c>
    </row>
    <row r="12">
      <c r="A12" s="85">
        <v>10.0</v>
      </c>
      <c r="B12" s="35" t="s">
        <v>57</v>
      </c>
      <c r="C12" s="35" t="s">
        <v>109</v>
      </c>
      <c r="D12" s="86" t="s">
        <v>275</v>
      </c>
      <c r="E12" s="35">
        <v>128.2</v>
      </c>
      <c r="F12" s="86" t="s">
        <v>338</v>
      </c>
      <c r="G12" s="35" t="s">
        <v>150</v>
      </c>
      <c r="H12" s="85" t="s">
        <v>151</v>
      </c>
      <c r="I12" s="85" t="s">
        <v>175</v>
      </c>
      <c r="J12" s="87">
        <f t="shared" si="1"/>
        <v>195</v>
      </c>
      <c r="K12" s="35" t="s">
        <v>210</v>
      </c>
      <c r="L12" s="88" t="s">
        <v>216</v>
      </c>
      <c r="M12" s="89" t="s">
        <v>262</v>
      </c>
      <c r="N12" s="87">
        <f t="shared" si="2"/>
        <v>95</v>
      </c>
      <c r="O12" s="35" t="s">
        <v>151</v>
      </c>
      <c r="P12" s="88" t="s">
        <v>181</v>
      </c>
      <c r="Q12" s="88" t="s">
        <v>254</v>
      </c>
      <c r="R12" s="87">
        <f t="shared" si="3"/>
        <v>205</v>
      </c>
      <c r="S12" s="90">
        <f t="shared" si="4"/>
        <v>495</v>
      </c>
      <c r="T12" s="91">
        <f t="shared" si="5"/>
        <v>3.861154446</v>
      </c>
      <c r="U12" s="85">
        <f t="shared" si="6"/>
        <v>8</v>
      </c>
    </row>
    <row r="13">
      <c r="A13" s="85">
        <v>11.0</v>
      </c>
      <c r="B13" s="35" t="s">
        <v>57</v>
      </c>
      <c r="C13" s="35" t="s">
        <v>109</v>
      </c>
      <c r="D13" s="86" t="s">
        <v>326</v>
      </c>
      <c r="E13" s="35">
        <v>129.4</v>
      </c>
      <c r="F13" s="86" t="s">
        <v>339</v>
      </c>
      <c r="G13" s="35" t="s">
        <v>224</v>
      </c>
      <c r="H13" s="85" t="s">
        <v>225</v>
      </c>
      <c r="I13" s="85" t="s">
        <v>150</v>
      </c>
      <c r="J13" s="87">
        <f t="shared" si="1"/>
        <v>175</v>
      </c>
      <c r="K13" s="35" t="s">
        <v>172</v>
      </c>
      <c r="L13" s="88" t="s">
        <v>173</v>
      </c>
      <c r="M13" s="89" t="s">
        <v>340</v>
      </c>
      <c r="N13" s="87">
        <f t="shared" si="2"/>
        <v>85</v>
      </c>
      <c r="O13" s="35" t="s">
        <v>182</v>
      </c>
      <c r="P13" s="88" t="s">
        <v>156</v>
      </c>
      <c r="Q13" s="88" t="s">
        <v>167</v>
      </c>
      <c r="R13" s="87">
        <f t="shared" si="3"/>
        <v>235</v>
      </c>
      <c r="S13" s="90">
        <f t="shared" si="4"/>
        <v>495</v>
      </c>
      <c r="T13" s="91">
        <f t="shared" si="5"/>
        <v>3.825347759</v>
      </c>
      <c r="U13" s="85">
        <f t="shared" si="6"/>
        <v>7</v>
      </c>
    </row>
    <row r="14">
      <c r="A14" s="85">
        <v>12.0</v>
      </c>
      <c r="B14" s="35" t="s">
        <v>57</v>
      </c>
      <c r="C14" s="35" t="s">
        <v>109</v>
      </c>
      <c r="D14" s="86" t="s">
        <v>214</v>
      </c>
      <c r="E14" s="35">
        <v>128.2</v>
      </c>
      <c r="F14" s="86" t="s">
        <v>341</v>
      </c>
      <c r="G14" s="35" t="s">
        <v>186</v>
      </c>
      <c r="H14" s="85" t="s">
        <v>171</v>
      </c>
      <c r="I14" s="85" t="s">
        <v>203</v>
      </c>
      <c r="J14" s="87">
        <f t="shared" si="1"/>
        <v>170</v>
      </c>
      <c r="K14" s="35" t="s">
        <v>172</v>
      </c>
      <c r="L14" s="88" t="s">
        <v>173</v>
      </c>
      <c r="M14" s="89" t="s">
        <v>340</v>
      </c>
      <c r="N14" s="87">
        <f t="shared" si="2"/>
        <v>85</v>
      </c>
      <c r="O14" s="35" t="s">
        <v>224</v>
      </c>
      <c r="P14" s="88" t="s">
        <v>175</v>
      </c>
      <c r="Q14" s="88" t="s">
        <v>156</v>
      </c>
      <c r="R14" s="87">
        <f t="shared" si="3"/>
        <v>225</v>
      </c>
      <c r="S14" s="90">
        <f t="shared" si="4"/>
        <v>480</v>
      </c>
      <c r="T14" s="91">
        <f t="shared" si="5"/>
        <v>3.744149766</v>
      </c>
      <c r="U14" s="85">
        <f t="shared" si="6"/>
        <v>8</v>
      </c>
    </row>
    <row r="15">
      <c r="A15" s="85">
        <v>13.0</v>
      </c>
      <c r="B15" s="35" t="s">
        <v>57</v>
      </c>
      <c r="C15" s="35" t="s">
        <v>109</v>
      </c>
      <c r="D15" s="86" t="s">
        <v>342</v>
      </c>
      <c r="E15" s="35">
        <v>131.2</v>
      </c>
      <c r="F15" s="86" t="s">
        <v>343</v>
      </c>
      <c r="G15" s="35" t="s">
        <v>186</v>
      </c>
      <c r="H15" s="85" t="s">
        <v>171</v>
      </c>
      <c r="I15" s="85" t="s">
        <v>203</v>
      </c>
      <c r="J15" s="87">
        <f t="shared" si="1"/>
        <v>170</v>
      </c>
      <c r="K15" s="35" t="s">
        <v>195</v>
      </c>
      <c r="L15" s="88" t="s">
        <v>189</v>
      </c>
      <c r="M15" s="89" t="s">
        <v>163</v>
      </c>
      <c r="N15" s="87">
        <f t="shared" si="2"/>
        <v>90</v>
      </c>
      <c r="O15" s="35" t="s">
        <v>181</v>
      </c>
      <c r="P15" s="88" t="s">
        <v>182</v>
      </c>
      <c r="Q15" s="88" t="s">
        <v>166</v>
      </c>
      <c r="R15" s="87">
        <f t="shared" si="3"/>
        <v>210</v>
      </c>
      <c r="S15" s="90">
        <f t="shared" si="4"/>
        <v>470</v>
      </c>
      <c r="T15" s="91">
        <f t="shared" si="5"/>
        <v>3.582317073</v>
      </c>
      <c r="U15" s="85">
        <f t="shared" si="6"/>
        <v>8</v>
      </c>
    </row>
    <row r="16">
      <c r="A16" s="85">
        <v>14.0</v>
      </c>
      <c r="B16" s="35" t="s">
        <v>57</v>
      </c>
      <c r="C16" s="35" t="s">
        <v>109</v>
      </c>
      <c r="D16" s="86" t="s">
        <v>218</v>
      </c>
      <c r="E16" s="35">
        <v>129.6</v>
      </c>
      <c r="F16" s="86" t="s">
        <v>344</v>
      </c>
      <c r="G16" s="35" t="s">
        <v>245</v>
      </c>
      <c r="H16" s="85" t="s">
        <v>201</v>
      </c>
      <c r="I16" s="85" t="s">
        <v>150</v>
      </c>
      <c r="J16" s="87">
        <f t="shared" si="1"/>
        <v>175</v>
      </c>
      <c r="K16" s="35" t="s">
        <v>195</v>
      </c>
      <c r="L16" s="88" t="s">
        <v>210</v>
      </c>
      <c r="M16" s="89" t="s">
        <v>216</v>
      </c>
      <c r="N16" s="87">
        <f t="shared" si="2"/>
        <v>95</v>
      </c>
      <c r="O16" s="35" t="s">
        <v>235</v>
      </c>
      <c r="P16" s="88" t="s">
        <v>182</v>
      </c>
      <c r="Q16" s="88" t="s">
        <v>271</v>
      </c>
      <c r="R16" s="87">
        <f t="shared" si="3"/>
        <v>200</v>
      </c>
      <c r="S16" s="90">
        <f t="shared" si="4"/>
        <v>470</v>
      </c>
      <c r="T16" s="91">
        <f t="shared" si="5"/>
        <v>3.62654321</v>
      </c>
      <c r="U16" s="85">
        <f t="shared" si="6"/>
        <v>7</v>
      </c>
    </row>
    <row r="17">
      <c r="A17" s="85">
        <v>15.0</v>
      </c>
      <c r="B17" s="35" t="s">
        <v>57</v>
      </c>
      <c r="C17" s="35" t="s">
        <v>109</v>
      </c>
      <c r="D17" s="86" t="s">
        <v>345</v>
      </c>
      <c r="E17" s="35">
        <v>123.4</v>
      </c>
      <c r="F17" s="86" t="s">
        <v>346</v>
      </c>
      <c r="G17" s="35" t="s">
        <v>197</v>
      </c>
      <c r="H17" s="85" t="s">
        <v>245</v>
      </c>
      <c r="I17" s="85" t="s">
        <v>280</v>
      </c>
      <c r="J17" s="87">
        <f t="shared" si="1"/>
        <v>145</v>
      </c>
      <c r="K17" s="35" t="s">
        <v>163</v>
      </c>
      <c r="L17" s="88" t="s">
        <v>207</v>
      </c>
      <c r="M17" s="89" t="s">
        <v>207</v>
      </c>
      <c r="N17" s="87">
        <f t="shared" si="2"/>
        <v>90</v>
      </c>
      <c r="O17" s="35" t="s">
        <v>182</v>
      </c>
      <c r="P17" s="88" t="s">
        <v>156</v>
      </c>
      <c r="Q17" s="88" t="s">
        <v>167</v>
      </c>
      <c r="R17" s="87">
        <f t="shared" si="3"/>
        <v>235</v>
      </c>
      <c r="S17" s="90">
        <f t="shared" si="4"/>
        <v>470</v>
      </c>
      <c r="T17" s="91">
        <f t="shared" si="5"/>
        <v>3.808752026</v>
      </c>
      <c r="U17" s="85">
        <f t="shared" si="6"/>
        <v>6</v>
      </c>
    </row>
    <row r="18">
      <c r="A18" s="85">
        <v>16.0</v>
      </c>
      <c r="B18" s="35" t="s">
        <v>57</v>
      </c>
      <c r="C18" s="35" t="s">
        <v>109</v>
      </c>
      <c r="D18" s="86" t="s">
        <v>303</v>
      </c>
      <c r="E18" s="35">
        <v>130.8</v>
      </c>
      <c r="F18" s="86" t="s">
        <v>347</v>
      </c>
      <c r="G18" s="35" t="s">
        <v>203</v>
      </c>
      <c r="H18" s="85" t="s">
        <v>235</v>
      </c>
      <c r="I18" s="85" t="s">
        <v>162</v>
      </c>
      <c r="J18" s="87">
        <f t="shared" si="1"/>
        <v>180</v>
      </c>
      <c r="K18" s="35" t="s">
        <v>231</v>
      </c>
      <c r="L18" s="88" t="s">
        <v>172</v>
      </c>
      <c r="M18" s="89" t="s">
        <v>173</v>
      </c>
      <c r="N18" s="87">
        <f t="shared" si="2"/>
        <v>85</v>
      </c>
      <c r="O18" s="35" t="s">
        <v>175</v>
      </c>
      <c r="P18" s="88" t="s">
        <v>182</v>
      </c>
      <c r="Q18" s="88" t="s">
        <v>208</v>
      </c>
      <c r="R18" s="87">
        <f t="shared" si="3"/>
        <v>200</v>
      </c>
      <c r="S18" s="90">
        <f t="shared" si="4"/>
        <v>465</v>
      </c>
      <c r="T18" s="91">
        <f t="shared" si="5"/>
        <v>3.555045872</v>
      </c>
      <c r="U18" s="85">
        <f t="shared" si="6"/>
        <v>6</v>
      </c>
    </row>
    <row r="19">
      <c r="A19" s="85">
        <v>17.0</v>
      </c>
      <c r="B19" s="35" t="s">
        <v>57</v>
      </c>
      <c r="C19" s="35" t="s">
        <v>109</v>
      </c>
      <c r="D19" s="86" t="s">
        <v>218</v>
      </c>
      <c r="E19" s="35">
        <v>131.5</v>
      </c>
      <c r="F19" s="86" t="s">
        <v>348</v>
      </c>
      <c r="G19" s="35" t="s">
        <v>186</v>
      </c>
      <c r="H19" s="85" t="s">
        <v>171</v>
      </c>
      <c r="I19" s="85" t="s">
        <v>224</v>
      </c>
      <c r="J19" s="87">
        <f t="shared" si="1"/>
        <v>165</v>
      </c>
      <c r="K19" s="35" t="s">
        <v>172</v>
      </c>
      <c r="L19" s="88" t="s">
        <v>173</v>
      </c>
      <c r="M19" s="89" t="s">
        <v>207</v>
      </c>
      <c r="N19" s="87">
        <f t="shared" si="2"/>
        <v>85</v>
      </c>
      <c r="O19" s="35" t="s">
        <v>181</v>
      </c>
      <c r="P19" s="88" t="s">
        <v>166</v>
      </c>
      <c r="Q19" s="88" t="s">
        <v>191</v>
      </c>
      <c r="R19" s="87">
        <f t="shared" si="3"/>
        <v>210</v>
      </c>
      <c r="S19" s="90">
        <f t="shared" si="4"/>
        <v>460</v>
      </c>
      <c r="T19" s="91">
        <f t="shared" si="5"/>
        <v>3.498098859</v>
      </c>
      <c r="U19" s="85">
        <f t="shared" si="6"/>
        <v>7</v>
      </c>
    </row>
    <row r="20">
      <c r="A20" s="85">
        <v>18.0</v>
      </c>
      <c r="B20" s="35" t="s">
        <v>57</v>
      </c>
      <c r="C20" s="35" t="s">
        <v>109</v>
      </c>
      <c r="D20" s="86" t="s">
        <v>184</v>
      </c>
      <c r="E20" s="35">
        <v>126.7</v>
      </c>
      <c r="F20" s="86" t="s">
        <v>349</v>
      </c>
      <c r="G20" s="35" t="s">
        <v>186</v>
      </c>
      <c r="H20" s="85" t="s">
        <v>170</v>
      </c>
      <c r="I20" s="85" t="s">
        <v>316</v>
      </c>
      <c r="J20" s="87">
        <f t="shared" si="1"/>
        <v>140</v>
      </c>
      <c r="K20" s="35" t="s">
        <v>210</v>
      </c>
      <c r="L20" s="88" t="s">
        <v>173</v>
      </c>
      <c r="M20" s="89" t="s">
        <v>340</v>
      </c>
      <c r="N20" s="87">
        <f t="shared" si="2"/>
        <v>85</v>
      </c>
      <c r="O20" s="35" t="s">
        <v>182</v>
      </c>
      <c r="P20" s="88" t="s">
        <v>190</v>
      </c>
      <c r="Q20" s="88" t="s">
        <v>308</v>
      </c>
      <c r="R20" s="87">
        <f t="shared" si="3"/>
        <v>230</v>
      </c>
      <c r="S20" s="90">
        <f t="shared" si="4"/>
        <v>455</v>
      </c>
      <c r="T20" s="91">
        <f t="shared" si="5"/>
        <v>3.591160221</v>
      </c>
      <c r="U20" s="85">
        <f t="shared" si="6"/>
        <v>7</v>
      </c>
    </row>
    <row r="21">
      <c r="A21" s="85">
        <v>19.0</v>
      </c>
      <c r="B21" s="35" t="s">
        <v>57</v>
      </c>
      <c r="C21" s="35" t="s">
        <v>109</v>
      </c>
      <c r="D21" s="86" t="s">
        <v>350</v>
      </c>
      <c r="E21" s="35">
        <v>127.4</v>
      </c>
      <c r="F21" s="86" t="s">
        <v>351</v>
      </c>
      <c r="G21" s="35" t="s">
        <v>201</v>
      </c>
      <c r="H21" s="85" t="s">
        <v>224</v>
      </c>
      <c r="I21" s="85" t="s">
        <v>181</v>
      </c>
      <c r="J21" s="87">
        <f t="shared" si="1"/>
        <v>190</v>
      </c>
      <c r="K21" s="35" t="s">
        <v>231</v>
      </c>
      <c r="L21" s="88" t="s">
        <v>210</v>
      </c>
      <c r="M21" s="89" t="s">
        <v>173</v>
      </c>
      <c r="N21" s="87">
        <f t="shared" si="2"/>
        <v>85</v>
      </c>
      <c r="O21" s="35" t="s">
        <v>202</v>
      </c>
      <c r="P21" s="88" t="s">
        <v>150</v>
      </c>
      <c r="Q21" s="88" t="s">
        <v>236</v>
      </c>
      <c r="R21" s="87">
        <f t="shared" si="3"/>
        <v>175</v>
      </c>
      <c r="S21" s="90">
        <f t="shared" si="4"/>
        <v>450</v>
      </c>
      <c r="T21" s="91">
        <f t="shared" si="5"/>
        <v>3.532182104</v>
      </c>
      <c r="U21" s="85">
        <f t="shared" si="6"/>
        <v>6</v>
      </c>
    </row>
    <row r="22">
      <c r="A22" s="85">
        <v>20.0</v>
      </c>
      <c r="B22" s="35" t="s">
        <v>57</v>
      </c>
      <c r="C22" s="35" t="s">
        <v>109</v>
      </c>
      <c r="D22" s="86" t="s">
        <v>240</v>
      </c>
      <c r="E22" s="35">
        <v>129.5</v>
      </c>
      <c r="F22" s="86" t="s">
        <v>352</v>
      </c>
      <c r="G22" s="35" t="s">
        <v>245</v>
      </c>
      <c r="H22" s="85" t="s">
        <v>239</v>
      </c>
      <c r="I22" s="85" t="s">
        <v>187</v>
      </c>
      <c r="J22" s="87">
        <f t="shared" si="1"/>
        <v>145</v>
      </c>
      <c r="K22" s="35" t="s">
        <v>173</v>
      </c>
      <c r="L22" s="88" t="s">
        <v>163</v>
      </c>
      <c r="M22" s="89" t="s">
        <v>216</v>
      </c>
      <c r="N22" s="87">
        <f t="shared" si="2"/>
        <v>95</v>
      </c>
      <c r="O22" s="35" t="s">
        <v>151</v>
      </c>
      <c r="P22" s="88" t="s">
        <v>175</v>
      </c>
      <c r="Q22" s="88" t="s">
        <v>254</v>
      </c>
      <c r="R22" s="87">
        <f t="shared" si="3"/>
        <v>205</v>
      </c>
      <c r="S22" s="90">
        <f t="shared" si="4"/>
        <v>445</v>
      </c>
      <c r="T22" s="91">
        <f t="shared" si="5"/>
        <v>3.436293436</v>
      </c>
      <c r="U22" s="85">
        <f t="shared" si="6"/>
        <v>7</v>
      </c>
    </row>
    <row r="23">
      <c r="A23" s="85">
        <v>21.0</v>
      </c>
      <c r="B23" s="42" t="s">
        <v>57</v>
      </c>
      <c r="C23" s="42" t="s">
        <v>109</v>
      </c>
      <c r="D23" s="92" t="s">
        <v>218</v>
      </c>
      <c r="E23" s="42">
        <v>126.8</v>
      </c>
      <c r="F23" s="92" t="s">
        <v>353</v>
      </c>
      <c r="G23" s="35" t="s">
        <v>186</v>
      </c>
      <c r="H23" s="85" t="s">
        <v>171</v>
      </c>
      <c r="I23" s="85" t="s">
        <v>280</v>
      </c>
      <c r="J23" s="87">
        <f t="shared" si="1"/>
        <v>150</v>
      </c>
      <c r="K23" s="35" t="s">
        <v>195</v>
      </c>
      <c r="L23" s="88" t="s">
        <v>210</v>
      </c>
      <c r="M23" s="89" t="s">
        <v>174</v>
      </c>
      <c r="N23" s="87">
        <f t="shared" si="2"/>
        <v>80</v>
      </c>
      <c r="O23" s="35" t="s">
        <v>150</v>
      </c>
      <c r="P23" s="88" t="s">
        <v>151</v>
      </c>
      <c r="Q23" s="88" t="s">
        <v>301</v>
      </c>
      <c r="R23" s="87">
        <f t="shared" si="3"/>
        <v>185</v>
      </c>
      <c r="S23" s="90">
        <f t="shared" si="4"/>
        <v>415</v>
      </c>
      <c r="T23" s="91">
        <f t="shared" si="5"/>
        <v>3.272870662</v>
      </c>
      <c r="U23" s="85">
        <f t="shared" si="6"/>
        <v>6</v>
      </c>
    </row>
    <row r="24">
      <c r="A24" s="85">
        <v>22.0</v>
      </c>
      <c r="B24" s="42" t="s">
        <v>57</v>
      </c>
      <c r="C24" s="42" t="s">
        <v>109</v>
      </c>
      <c r="D24" s="92" t="s">
        <v>218</v>
      </c>
      <c r="E24" s="42">
        <v>128.8</v>
      </c>
      <c r="F24" s="92" t="s">
        <v>354</v>
      </c>
      <c r="G24" s="35" t="s">
        <v>197</v>
      </c>
      <c r="H24" s="85" t="s">
        <v>186</v>
      </c>
      <c r="I24" s="85" t="s">
        <v>239</v>
      </c>
      <c r="J24" s="87">
        <f t="shared" si="1"/>
        <v>135</v>
      </c>
      <c r="K24" s="35" t="s">
        <v>172</v>
      </c>
      <c r="L24" s="88" t="s">
        <v>210</v>
      </c>
      <c r="M24" s="89" t="s">
        <v>206</v>
      </c>
      <c r="N24" s="87">
        <f t="shared" si="2"/>
        <v>80</v>
      </c>
      <c r="O24" s="35" t="s">
        <v>161</v>
      </c>
      <c r="P24" s="88" t="s">
        <v>235</v>
      </c>
      <c r="Q24" s="88" t="s">
        <v>208</v>
      </c>
      <c r="R24" s="87">
        <f t="shared" si="3"/>
        <v>180</v>
      </c>
      <c r="S24" s="90">
        <f t="shared" si="4"/>
        <v>395</v>
      </c>
      <c r="T24" s="91">
        <f t="shared" si="5"/>
        <v>3.066770186</v>
      </c>
      <c r="U24" s="85">
        <f t="shared" si="6"/>
        <v>6</v>
      </c>
    </row>
    <row r="25">
      <c r="A25" s="85">
        <v>23.0</v>
      </c>
      <c r="B25" s="35" t="s">
        <v>57</v>
      </c>
      <c r="C25" s="35" t="s">
        <v>109</v>
      </c>
      <c r="D25" s="92" t="s">
        <v>278</v>
      </c>
      <c r="E25" s="42">
        <v>125.8</v>
      </c>
      <c r="F25" s="92" t="s">
        <v>355</v>
      </c>
      <c r="G25" s="35" t="s">
        <v>194</v>
      </c>
      <c r="H25" s="85" t="s">
        <v>194</v>
      </c>
      <c r="I25" s="85" t="s">
        <v>170</v>
      </c>
      <c r="J25" s="87">
        <f t="shared" si="1"/>
        <v>140</v>
      </c>
      <c r="K25" s="35" t="s">
        <v>172</v>
      </c>
      <c r="L25" s="88" t="s">
        <v>210</v>
      </c>
      <c r="M25" s="89" t="s">
        <v>174</v>
      </c>
      <c r="N25" s="87">
        <f t="shared" si="2"/>
        <v>80</v>
      </c>
      <c r="O25" s="35" t="s">
        <v>202</v>
      </c>
      <c r="P25" s="88" t="s">
        <v>224</v>
      </c>
      <c r="Q25" s="88" t="s">
        <v>232</v>
      </c>
      <c r="R25" s="87">
        <f t="shared" si="3"/>
        <v>165</v>
      </c>
      <c r="S25" s="90">
        <f t="shared" si="4"/>
        <v>385</v>
      </c>
      <c r="T25" s="91">
        <f t="shared" si="5"/>
        <v>3.060413355</v>
      </c>
      <c r="U25" s="85">
        <f t="shared" si="6"/>
        <v>5</v>
      </c>
    </row>
    <row r="26">
      <c r="A26" s="85">
        <v>24.0</v>
      </c>
      <c r="B26" s="42" t="s">
        <v>57</v>
      </c>
      <c r="C26" s="42" t="s">
        <v>109</v>
      </c>
      <c r="D26" s="92" t="s">
        <v>260</v>
      </c>
      <c r="E26" s="42">
        <v>130.0</v>
      </c>
      <c r="F26" s="92" t="s">
        <v>356</v>
      </c>
      <c r="G26" s="35" t="s">
        <v>245</v>
      </c>
      <c r="H26" s="85" t="s">
        <v>202</v>
      </c>
      <c r="I26" s="85" t="s">
        <v>201</v>
      </c>
      <c r="J26" s="87">
        <f t="shared" si="1"/>
        <v>155</v>
      </c>
      <c r="K26" s="35" t="s">
        <v>340</v>
      </c>
      <c r="L26" s="88" t="s">
        <v>207</v>
      </c>
      <c r="M26" s="89" t="s">
        <v>207</v>
      </c>
      <c r="N26" s="87">
        <f t="shared" si="2"/>
        <v>0</v>
      </c>
      <c r="O26" s="35">
        <v>185.0</v>
      </c>
      <c r="P26" s="88"/>
      <c r="Q26" s="88"/>
      <c r="R26" s="87">
        <f t="shared" si="3"/>
        <v>0</v>
      </c>
      <c r="S26" s="90">
        <f t="shared" si="4"/>
        <v>0</v>
      </c>
      <c r="T26" s="91">
        <f t="shared" si="5"/>
        <v>0</v>
      </c>
      <c r="U26" s="85">
        <f t="shared" si="6"/>
        <v>2</v>
      </c>
    </row>
    <row r="27">
      <c r="A27" s="85">
        <v>25.0</v>
      </c>
      <c r="B27" s="55"/>
      <c r="C27" s="40"/>
      <c r="D27" s="54"/>
      <c r="E27" s="40"/>
      <c r="F27" s="54"/>
      <c r="G27" s="35"/>
      <c r="H27" s="85"/>
      <c r="I27" s="85"/>
      <c r="J27" s="87" t="str">
        <f t="shared" si="1"/>
        <v/>
      </c>
      <c r="K27" s="35"/>
      <c r="L27" s="88"/>
      <c r="M27" s="89"/>
      <c r="N27" s="87" t="str">
        <f t="shared" si="2"/>
        <v/>
      </c>
      <c r="O27" s="35"/>
      <c r="P27" s="88"/>
      <c r="Q27" s="88"/>
      <c r="R27" s="87" t="str">
        <f t="shared" si="3"/>
        <v/>
      </c>
      <c r="S27" s="90" t="str">
        <f t="shared" si="4"/>
        <v/>
      </c>
      <c r="T27" s="91" t="str">
        <f t="shared" si="5"/>
        <v/>
      </c>
      <c r="U27" s="85">
        <f t="shared" si="6"/>
        <v>0</v>
      </c>
    </row>
    <row r="28">
      <c r="A28" s="85">
        <v>26.0</v>
      </c>
      <c r="B28" s="55"/>
      <c r="C28" s="40"/>
      <c r="D28" s="54"/>
      <c r="E28" s="40"/>
      <c r="F28" s="54"/>
      <c r="G28" s="35"/>
      <c r="H28" s="85"/>
      <c r="I28" s="85"/>
      <c r="J28" s="87" t="str">
        <f t="shared" si="1"/>
        <v/>
      </c>
      <c r="K28" s="35"/>
      <c r="L28" s="88"/>
      <c r="M28" s="89"/>
      <c r="N28" s="87" t="str">
        <f t="shared" si="2"/>
        <v/>
      </c>
      <c r="O28" s="35"/>
      <c r="P28" s="88"/>
      <c r="Q28" s="88"/>
      <c r="R28" s="87" t="str">
        <f t="shared" si="3"/>
        <v/>
      </c>
      <c r="S28" s="90" t="str">
        <f t="shared" si="4"/>
        <v/>
      </c>
      <c r="T28" s="91" t="str">
        <f t="shared" si="5"/>
        <v/>
      </c>
      <c r="U28" s="85">
        <f t="shared" si="6"/>
        <v>0</v>
      </c>
    </row>
    <row r="29">
      <c r="A29" s="85">
        <v>27.0</v>
      </c>
      <c r="B29" s="55"/>
      <c r="C29" s="40"/>
      <c r="D29" s="54"/>
      <c r="E29" s="40"/>
      <c r="F29" s="54"/>
      <c r="G29" s="35"/>
      <c r="H29" s="85"/>
      <c r="I29" s="85"/>
      <c r="J29" s="87" t="str">
        <f t="shared" si="1"/>
        <v/>
      </c>
      <c r="K29" s="35"/>
      <c r="L29" s="88"/>
      <c r="M29" s="89"/>
      <c r="N29" s="87" t="str">
        <f t="shared" si="2"/>
        <v/>
      </c>
      <c r="O29" s="35"/>
      <c r="P29" s="88"/>
      <c r="Q29" s="88"/>
      <c r="R29" s="87" t="str">
        <f t="shared" si="3"/>
        <v/>
      </c>
      <c r="S29" s="90" t="str">
        <f t="shared" si="4"/>
        <v/>
      </c>
      <c r="T29" s="91" t="str">
        <f t="shared" si="5"/>
        <v/>
      </c>
      <c r="U29" s="85">
        <f t="shared" si="6"/>
        <v>0</v>
      </c>
    </row>
    <row r="30">
      <c r="A30" s="85">
        <v>28.0</v>
      </c>
      <c r="B30" s="55"/>
      <c r="C30" s="40"/>
      <c r="D30" s="54"/>
      <c r="E30" s="40"/>
      <c r="F30" s="54"/>
      <c r="G30" s="35"/>
      <c r="H30" s="85"/>
      <c r="I30" s="85"/>
      <c r="J30" s="87" t="str">
        <f t="shared" si="1"/>
        <v/>
      </c>
      <c r="K30" s="35"/>
      <c r="L30" s="88"/>
      <c r="M30" s="89"/>
      <c r="N30" s="87" t="str">
        <f t="shared" si="2"/>
        <v/>
      </c>
      <c r="O30" s="35"/>
      <c r="P30" s="88"/>
      <c r="Q30" s="88"/>
      <c r="R30" s="87" t="str">
        <f t="shared" si="3"/>
        <v/>
      </c>
      <c r="S30" s="90" t="str">
        <f t="shared" si="4"/>
        <v/>
      </c>
      <c r="T30" s="91" t="str">
        <f t="shared" si="5"/>
        <v/>
      </c>
      <c r="U30" s="85">
        <f t="shared" si="6"/>
        <v>0</v>
      </c>
    </row>
    <row r="31">
      <c r="A31" s="85">
        <v>29.0</v>
      </c>
      <c r="B31" s="55"/>
      <c r="C31" s="40"/>
      <c r="D31" s="54"/>
      <c r="E31" s="40"/>
      <c r="F31" s="54"/>
      <c r="G31" s="35"/>
      <c r="H31" s="85"/>
      <c r="I31" s="85"/>
      <c r="J31" s="87" t="str">
        <f t="shared" si="1"/>
        <v/>
      </c>
      <c r="K31" s="35"/>
      <c r="L31" s="88"/>
      <c r="M31" s="89"/>
      <c r="N31" s="87" t="str">
        <f t="shared" si="2"/>
        <v/>
      </c>
      <c r="O31" s="35"/>
      <c r="P31" s="88"/>
      <c r="Q31" s="88"/>
      <c r="R31" s="87" t="str">
        <f t="shared" si="3"/>
        <v/>
      </c>
      <c r="S31" s="90" t="str">
        <f t="shared" si="4"/>
        <v/>
      </c>
      <c r="T31" s="91" t="str">
        <f t="shared" si="5"/>
        <v/>
      </c>
      <c r="U31" s="85">
        <f t="shared" si="6"/>
        <v>0</v>
      </c>
    </row>
    <row r="32">
      <c r="A32" s="85">
        <v>30.0</v>
      </c>
      <c r="B32" s="55"/>
      <c r="C32" s="40"/>
      <c r="D32" s="54"/>
      <c r="E32" s="40"/>
      <c r="F32" s="54"/>
      <c r="G32" s="35"/>
      <c r="H32" s="85"/>
      <c r="I32" s="85"/>
      <c r="J32" s="87" t="str">
        <f t="shared" si="1"/>
        <v/>
      </c>
      <c r="K32" s="35"/>
      <c r="L32" s="88"/>
      <c r="M32" s="89"/>
      <c r="N32" s="87" t="str">
        <f t="shared" si="2"/>
        <v/>
      </c>
      <c r="O32" s="35"/>
      <c r="P32" s="88"/>
      <c r="Q32" s="88"/>
      <c r="R32" s="87" t="str">
        <f t="shared" si="3"/>
        <v/>
      </c>
      <c r="S32" s="90" t="str">
        <f t="shared" si="4"/>
        <v/>
      </c>
      <c r="T32" s="91" t="str">
        <f t="shared" si="5"/>
        <v/>
      </c>
      <c r="U32" s="85">
        <f t="shared" si="6"/>
        <v>0</v>
      </c>
    </row>
    <row r="33">
      <c r="A33" s="85">
        <v>31.0</v>
      </c>
      <c r="B33" s="55"/>
      <c r="C33" s="40"/>
      <c r="D33" s="54"/>
      <c r="E33" s="40"/>
      <c r="F33" s="54"/>
      <c r="G33" s="35"/>
      <c r="H33" s="85"/>
      <c r="I33" s="85"/>
      <c r="J33" s="87" t="str">
        <f t="shared" si="1"/>
        <v/>
      </c>
      <c r="K33" s="35"/>
      <c r="L33" s="88"/>
      <c r="M33" s="89"/>
      <c r="N33" s="87" t="str">
        <f t="shared" si="2"/>
        <v/>
      </c>
      <c r="O33" s="35"/>
      <c r="P33" s="88"/>
      <c r="Q33" s="88"/>
      <c r="R33" s="87" t="str">
        <f t="shared" si="3"/>
        <v/>
      </c>
      <c r="S33" s="90" t="str">
        <f t="shared" si="4"/>
        <v/>
      </c>
      <c r="T33" s="91" t="str">
        <f t="shared" si="5"/>
        <v/>
      </c>
      <c r="U33" s="85">
        <f t="shared" si="6"/>
        <v>0</v>
      </c>
    </row>
    <row r="34">
      <c r="A34" s="85">
        <v>32.0</v>
      </c>
      <c r="B34" s="55"/>
      <c r="C34" s="40"/>
      <c r="D34" s="54"/>
      <c r="E34" s="40"/>
      <c r="F34" s="54"/>
      <c r="G34" s="35"/>
      <c r="H34" s="85"/>
      <c r="I34" s="85"/>
      <c r="J34" s="87" t="str">
        <f t="shared" si="1"/>
        <v/>
      </c>
      <c r="K34" s="35"/>
      <c r="L34" s="88"/>
      <c r="M34" s="89"/>
      <c r="N34" s="87" t="str">
        <f t="shared" si="2"/>
        <v/>
      </c>
      <c r="O34" s="35"/>
      <c r="P34" s="88"/>
      <c r="Q34" s="88"/>
      <c r="R34" s="87" t="str">
        <f t="shared" si="3"/>
        <v/>
      </c>
      <c r="S34" s="90" t="str">
        <f t="shared" si="4"/>
        <v/>
      </c>
      <c r="T34" s="91" t="str">
        <f t="shared" si="5"/>
        <v/>
      </c>
      <c r="U34" s="85">
        <f t="shared" si="6"/>
        <v>0</v>
      </c>
    </row>
    <row r="35">
      <c r="A35" s="85">
        <v>33.0</v>
      </c>
      <c r="B35" s="55"/>
      <c r="C35" s="40"/>
      <c r="D35" s="54"/>
      <c r="E35" s="40"/>
      <c r="F35" s="54"/>
      <c r="G35" s="35"/>
      <c r="H35" s="85"/>
      <c r="I35" s="85"/>
      <c r="J35" s="87" t="str">
        <f t="shared" si="1"/>
        <v/>
      </c>
      <c r="K35" s="35"/>
      <c r="L35" s="88"/>
      <c r="M35" s="89"/>
      <c r="N35" s="87" t="str">
        <f t="shared" si="2"/>
        <v/>
      </c>
      <c r="O35" s="35"/>
      <c r="P35" s="88"/>
      <c r="Q35" s="88"/>
      <c r="R35" s="87" t="str">
        <f t="shared" si="3"/>
        <v/>
      </c>
      <c r="S35" s="90" t="str">
        <f t="shared" si="4"/>
        <v/>
      </c>
      <c r="T35" s="91" t="str">
        <f t="shared" si="5"/>
        <v/>
      </c>
      <c r="U35" s="85">
        <f t="shared" si="6"/>
        <v>0</v>
      </c>
    </row>
    <row r="36">
      <c r="A36" s="85">
        <v>34.0</v>
      </c>
      <c r="B36" s="55"/>
      <c r="C36" s="40"/>
      <c r="D36" s="54"/>
      <c r="E36" s="40"/>
      <c r="F36" s="54"/>
      <c r="G36" s="35"/>
      <c r="H36" s="85"/>
      <c r="I36" s="85"/>
      <c r="J36" s="87" t="str">
        <f t="shared" si="1"/>
        <v/>
      </c>
      <c r="K36" s="35"/>
      <c r="L36" s="88"/>
      <c r="M36" s="89"/>
      <c r="N36" s="87" t="str">
        <f t="shared" si="2"/>
        <v/>
      </c>
      <c r="O36" s="35"/>
      <c r="P36" s="88"/>
      <c r="Q36" s="88"/>
      <c r="R36" s="87" t="str">
        <f t="shared" si="3"/>
        <v/>
      </c>
      <c r="S36" s="90" t="str">
        <f t="shared" si="4"/>
        <v/>
      </c>
      <c r="T36" s="91" t="str">
        <f t="shared" si="5"/>
        <v/>
      </c>
      <c r="U36" s="85">
        <f t="shared" si="6"/>
        <v>0</v>
      </c>
    </row>
    <row r="37">
      <c r="A37" s="85">
        <v>35.0</v>
      </c>
      <c r="B37" s="55"/>
      <c r="C37" s="40"/>
      <c r="D37" s="54"/>
      <c r="E37" s="40"/>
      <c r="F37" s="54"/>
      <c r="G37" s="35"/>
      <c r="H37" s="85"/>
      <c r="I37" s="85"/>
      <c r="J37" s="87" t="str">
        <f t="shared" si="1"/>
        <v/>
      </c>
      <c r="K37" s="35"/>
      <c r="L37" s="88"/>
      <c r="M37" s="89"/>
      <c r="N37" s="87" t="str">
        <f t="shared" si="2"/>
        <v/>
      </c>
      <c r="O37" s="35"/>
      <c r="P37" s="88"/>
      <c r="Q37" s="88"/>
      <c r="R37" s="87" t="str">
        <f t="shared" si="3"/>
        <v/>
      </c>
      <c r="S37" s="90" t="str">
        <f t="shared" si="4"/>
        <v/>
      </c>
      <c r="T37" s="91" t="str">
        <f t="shared" si="5"/>
        <v/>
      </c>
      <c r="U37" s="85">
        <f t="shared" si="6"/>
        <v>0</v>
      </c>
    </row>
    <row r="38">
      <c r="A38" s="85">
        <v>36.0</v>
      </c>
      <c r="B38" s="55"/>
      <c r="C38" s="40"/>
      <c r="D38" s="54"/>
      <c r="E38" s="40"/>
      <c r="F38" s="54"/>
      <c r="G38" s="35"/>
      <c r="H38" s="85"/>
      <c r="I38" s="85"/>
      <c r="J38" s="87" t="str">
        <f t="shared" si="1"/>
        <v/>
      </c>
      <c r="K38" s="35"/>
      <c r="L38" s="88"/>
      <c r="M38" s="89"/>
      <c r="N38" s="87" t="str">
        <f t="shared" si="2"/>
        <v/>
      </c>
      <c r="O38" s="35"/>
      <c r="P38" s="88"/>
      <c r="Q38" s="88"/>
      <c r="R38" s="87" t="str">
        <f t="shared" si="3"/>
        <v/>
      </c>
      <c r="S38" s="90" t="str">
        <f t="shared" si="4"/>
        <v/>
      </c>
      <c r="T38" s="91" t="str">
        <f t="shared" si="5"/>
        <v/>
      </c>
      <c r="U38" s="85">
        <f t="shared" si="6"/>
        <v>0</v>
      </c>
    </row>
    <row r="39">
      <c r="A39" s="85">
        <v>37.0</v>
      </c>
      <c r="B39" s="55"/>
      <c r="C39" s="40"/>
      <c r="D39" s="54"/>
      <c r="E39" s="40"/>
      <c r="F39" s="54"/>
      <c r="G39" s="35"/>
      <c r="H39" s="85"/>
      <c r="I39" s="85"/>
      <c r="J39" s="87" t="str">
        <f t="shared" si="1"/>
        <v/>
      </c>
      <c r="K39" s="35"/>
      <c r="L39" s="88"/>
      <c r="M39" s="89"/>
      <c r="N39" s="87" t="str">
        <f t="shared" si="2"/>
        <v/>
      </c>
      <c r="O39" s="35"/>
      <c r="P39" s="88"/>
      <c r="Q39" s="88"/>
      <c r="R39" s="87" t="str">
        <f t="shared" si="3"/>
        <v/>
      </c>
      <c r="S39" s="90" t="str">
        <f t="shared" si="4"/>
        <v/>
      </c>
      <c r="T39" s="91" t="str">
        <f t="shared" si="5"/>
        <v/>
      </c>
      <c r="U39" s="85">
        <f t="shared" si="6"/>
        <v>0</v>
      </c>
    </row>
    <row r="40">
      <c r="A40" s="85">
        <v>38.0</v>
      </c>
      <c r="B40" s="35"/>
      <c r="C40" s="65"/>
      <c r="D40" s="76"/>
      <c r="E40" s="93"/>
      <c r="F40" s="76"/>
      <c r="G40" s="35"/>
      <c r="H40" s="85"/>
      <c r="I40" s="85"/>
      <c r="J40" s="87" t="str">
        <f t="shared" si="1"/>
        <v/>
      </c>
      <c r="K40" s="35"/>
      <c r="L40" s="88"/>
      <c r="M40" s="89"/>
      <c r="N40" s="87" t="str">
        <f t="shared" si="2"/>
        <v/>
      </c>
      <c r="O40" s="35"/>
      <c r="P40" s="88"/>
      <c r="Q40" s="88"/>
      <c r="R40" s="87" t="str">
        <f t="shared" si="3"/>
        <v/>
      </c>
      <c r="S40" s="90" t="str">
        <f t="shared" si="4"/>
        <v/>
      </c>
      <c r="T40" s="91" t="str">
        <f t="shared" si="5"/>
        <v/>
      </c>
      <c r="U40" s="85">
        <f t="shared" si="6"/>
        <v>0</v>
      </c>
    </row>
    <row r="41">
      <c r="A41" s="85">
        <v>39.0</v>
      </c>
      <c r="B41" s="35"/>
      <c r="C41" s="65"/>
      <c r="D41" s="76"/>
      <c r="E41" s="93"/>
      <c r="F41" s="76"/>
      <c r="G41" s="35"/>
      <c r="H41" s="85"/>
      <c r="I41" s="85"/>
      <c r="J41" s="87" t="str">
        <f t="shared" si="1"/>
        <v/>
      </c>
      <c r="K41" s="35"/>
      <c r="L41" s="88"/>
      <c r="M41" s="89"/>
      <c r="N41" s="87" t="str">
        <f t="shared" si="2"/>
        <v/>
      </c>
      <c r="O41" s="35"/>
      <c r="P41" s="88"/>
      <c r="Q41" s="88"/>
      <c r="R41" s="87" t="str">
        <f t="shared" si="3"/>
        <v/>
      </c>
      <c r="S41" s="90" t="str">
        <f t="shared" si="4"/>
        <v/>
      </c>
      <c r="T41" s="91" t="str">
        <f t="shared" si="5"/>
        <v/>
      </c>
      <c r="U41" s="85">
        <f t="shared" si="6"/>
        <v>0</v>
      </c>
    </row>
    <row r="42">
      <c r="A42" s="85">
        <v>40.0</v>
      </c>
      <c r="B42" s="35"/>
      <c r="C42" s="65"/>
      <c r="D42" s="76"/>
      <c r="E42" s="93"/>
      <c r="F42" s="76"/>
      <c r="G42" s="35"/>
      <c r="H42" s="85"/>
      <c r="I42" s="85"/>
      <c r="J42" s="87" t="str">
        <f t="shared" si="1"/>
        <v/>
      </c>
      <c r="K42" s="35"/>
      <c r="L42" s="88"/>
      <c r="M42" s="89"/>
      <c r="N42" s="87" t="str">
        <f t="shared" si="2"/>
        <v/>
      </c>
      <c r="O42" s="35"/>
      <c r="P42" s="88"/>
      <c r="Q42" s="88"/>
      <c r="R42" s="87" t="str">
        <f t="shared" si="3"/>
        <v/>
      </c>
      <c r="S42" s="90" t="str">
        <f t="shared" si="4"/>
        <v/>
      </c>
      <c r="T42" s="91" t="str">
        <f t="shared" si="5"/>
        <v/>
      </c>
      <c r="U42" s="85">
        <f t="shared" si="6"/>
        <v>0</v>
      </c>
    </row>
    <row r="43">
      <c r="A43" s="85">
        <v>41.0</v>
      </c>
      <c r="B43" s="35"/>
      <c r="C43" s="65"/>
      <c r="D43" s="76"/>
      <c r="E43" s="93"/>
      <c r="F43" s="76"/>
      <c r="G43" s="35"/>
      <c r="H43" s="85"/>
      <c r="I43" s="85"/>
      <c r="J43" s="87" t="str">
        <f t="shared" si="1"/>
        <v/>
      </c>
      <c r="K43" s="35"/>
      <c r="L43" s="88"/>
      <c r="M43" s="89"/>
      <c r="N43" s="87" t="str">
        <f t="shared" si="2"/>
        <v/>
      </c>
      <c r="O43" s="35"/>
      <c r="P43" s="88"/>
      <c r="Q43" s="88"/>
      <c r="R43" s="87" t="str">
        <f t="shared" si="3"/>
        <v/>
      </c>
      <c r="S43" s="90" t="str">
        <f t="shared" si="4"/>
        <v/>
      </c>
      <c r="T43" s="91" t="str">
        <f t="shared" si="5"/>
        <v/>
      </c>
      <c r="U43" s="85">
        <f t="shared" si="6"/>
        <v>0</v>
      </c>
    </row>
    <row r="44">
      <c r="A44" s="85">
        <v>42.0</v>
      </c>
      <c r="B44" s="35"/>
      <c r="C44" s="65"/>
      <c r="D44" s="76"/>
      <c r="E44" s="93"/>
      <c r="F44" s="76"/>
      <c r="G44" s="35"/>
      <c r="H44" s="85"/>
      <c r="I44" s="85"/>
      <c r="J44" s="87" t="str">
        <f t="shared" si="1"/>
        <v/>
      </c>
      <c r="K44" s="35"/>
      <c r="L44" s="88"/>
      <c r="M44" s="89"/>
      <c r="N44" s="87" t="str">
        <f t="shared" si="2"/>
        <v/>
      </c>
      <c r="O44" s="35"/>
      <c r="P44" s="88"/>
      <c r="Q44" s="88"/>
      <c r="R44" s="87" t="str">
        <f t="shared" si="3"/>
        <v/>
      </c>
      <c r="S44" s="90" t="str">
        <f t="shared" si="4"/>
        <v/>
      </c>
      <c r="T44" s="91" t="str">
        <f t="shared" si="5"/>
        <v/>
      </c>
      <c r="U44" s="85">
        <f t="shared" si="6"/>
        <v>0</v>
      </c>
    </row>
    <row r="45">
      <c r="A45" s="85">
        <v>43.0</v>
      </c>
      <c r="B45" s="35"/>
      <c r="C45" s="65"/>
      <c r="D45" s="76"/>
      <c r="E45" s="93"/>
      <c r="F45" s="76"/>
      <c r="G45" s="35"/>
      <c r="H45" s="85"/>
      <c r="I45" s="85"/>
      <c r="J45" s="87" t="str">
        <f t="shared" si="1"/>
        <v/>
      </c>
      <c r="K45" s="35"/>
      <c r="L45" s="88"/>
      <c r="M45" s="89"/>
      <c r="N45" s="87" t="str">
        <f t="shared" si="2"/>
        <v/>
      </c>
      <c r="O45" s="35"/>
      <c r="P45" s="88"/>
      <c r="Q45" s="88"/>
      <c r="R45" s="87" t="str">
        <f t="shared" si="3"/>
        <v/>
      </c>
      <c r="S45" s="90" t="str">
        <f t="shared" si="4"/>
        <v/>
      </c>
      <c r="T45" s="91" t="str">
        <f t="shared" si="5"/>
        <v/>
      </c>
      <c r="U45" s="85">
        <f t="shared" si="6"/>
        <v>0</v>
      </c>
    </row>
    <row r="46">
      <c r="A46" s="85">
        <v>44.0</v>
      </c>
      <c r="B46" s="35"/>
      <c r="C46" s="65"/>
      <c r="D46" s="76"/>
      <c r="E46" s="93"/>
      <c r="F46" s="76"/>
      <c r="G46" s="35"/>
      <c r="H46" s="85"/>
      <c r="I46" s="85"/>
      <c r="J46" s="87" t="str">
        <f t="shared" si="1"/>
        <v/>
      </c>
      <c r="K46" s="35"/>
      <c r="L46" s="88"/>
      <c r="M46" s="89"/>
      <c r="N46" s="87" t="str">
        <f t="shared" si="2"/>
        <v/>
      </c>
      <c r="O46" s="35"/>
      <c r="P46" s="88"/>
      <c r="Q46" s="88"/>
      <c r="R46" s="87" t="str">
        <f t="shared" si="3"/>
        <v/>
      </c>
      <c r="S46" s="90" t="str">
        <f t="shared" si="4"/>
        <v/>
      </c>
      <c r="T46" s="91" t="str">
        <f t="shared" si="5"/>
        <v/>
      </c>
      <c r="U46" s="85">
        <f t="shared" si="6"/>
        <v>0</v>
      </c>
    </row>
    <row r="47">
      <c r="A47" s="85">
        <v>45.0</v>
      </c>
      <c r="B47" s="35"/>
      <c r="C47" s="65"/>
      <c r="D47" s="76"/>
      <c r="E47" s="93"/>
      <c r="F47" s="76"/>
      <c r="G47" s="35"/>
      <c r="H47" s="85"/>
      <c r="I47" s="85"/>
      <c r="J47" s="87" t="str">
        <f t="shared" si="1"/>
        <v/>
      </c>
      <c r="K47" s="35"/>
      <c r="L47" s="88"/>
      <c r="M47" s="89"/>
      <c r="N47" s="87" t="str">
        <f t="shared" si="2"/>
        <v/>
      </c>
      <c r="O47" s="35"/>
      <c r="P47" s="88"/>
      <c r="Q47" s="88"/>
      <c r="R47" s="87" t="str">
        <f t="shared" si="3"/>
        <v/>
      </c>
      <c r="S47" s="90" t="str">
        <f t="shared" si="4"/>
        <v/>
      </c>
      <c r="T47" s="91" t="str">
        <f t="shared" si="5"/>
        <v/>
      </c>
      <c r="U47" s="85">
        <f t="shared" si="6"/>
        <v>0</v>
      </c>
    </row>
    <row r="48">
      <c r="A48" s="85">
        <v>46.0</v>
      </c>
      <c r="B48" s="35"/>
      <c r="C48" s="65"/>
      <c r="D48" s="76"/>
      <c r="E48" s="93"/>
      <c r="F48" s="76"/>
      <c r="G48" s="35"/>
      <c r="H48" s="85"/>
      <c r="I48" s="85"/>
      <c r="J48" s="87" t="str">
        <f t="shared" si="1"/>
        <v/>
      </c>
      <c r="K48" s="35"/>
      <c r="L48" s="88"/>
      <c r="M48" s="89"/>
      <c r="N48" s="87" t="str">
        <f t="shared" si="2"/>
        <v/>
      </c>
      <c r="O48" s="35"/>
      <c r="P48" s="88"/>
      <c r="Q48" s="88"/>
      <c r="R48" s="87" t="str">
        <f t="shared" si="3"/>
        <v/>
      </c>
      <c r="S48" s="90" t="str">
        <f t="shared" si="4"/>
        <v/>
      </c>
      <c r="T48" s="91" t="str">
        <f t="shared" si="5"/>
        <v/>
      </c>
      <c r="U48" s="85">
        <f t="shared" si="6"/>
        <v>0</v>
      </c>
    </row>
    <row r="49">
      <c r="A49" s="85">
        <v>47.0</v>
      </c>
      <c r="B49" s="35"/>
      <c r="C49" s="65"/>
      <c r="D49" s="76"/>
      <c r="E49" s="93"/>
      <c r="F49" s="76"/>
      <c r="G49" s="35"/>
      <c r="H49" s="85"/>
      <c r="I49" s="85"/>
      <c r="J49" s="87" t="str">
        <f t="shared" si="1"/>
        <v/>
      </c>
      <c r="K49" s="35"/>
      <c r="L49" s="88"/>
      <c r="M49" s="89"/>
      <c r="N49" s="87" t="str">
        <f t="shared" si="2"/>
        <v/>
      </c>
      <c r="O49" s="35"/>
      <c r="P49" s="88"/>
      <c r="Q49" s="88"/>
      <c r="R49" s="87" t="str">
        <f t="shared" si="3"/>
        <v/>
      </c>
      <c r="S49" s="90" t="str">
        <f t="shared" si="4"/>
        <v/>
      </c>
      <c r="T49" s="91" t="str">
        <f t="shared" si="5"/>
        <v/>
      </c>
      <c r="U49" s="85">
        <f t="shared" si="6"/>
        <v>0</v>
      </c>
    </row>
    <row r="50">
      <c r="A50" s="85">
        <v>48.0</v>
      </c>
      <c r="B50" s="35"/>
      <c r="C50" s="65"/>
      <c r="D50" s="76"/>
      <c r="E50" s="93"/>
      <c r="F50" s="76"/>
      <c r="G50" s="35"/>
      <c r="H50" s="85"/>
      <c r="I50" s="85"/>
      <c r="J50" s="87" t="str">
        <f t="shared" si="1"/>
        <v/>
      </c>
      <c r="K50" s="35"/>
      <c r="L50" s="88"/>
      <c r="M50" s="89"/>
      <c r="N50" s="87" t="str">
        <f t="shared" si="2"/>
        <v/>
      </c>
      <c r="O50" s="35"/>
      <c r="P50" s="88"/>
      <c r="Q50" s="88"/>
      <c r="R50" s="87" t="str">
        <f t="shared" si="3"/>
        <v/>
      </c>
      <c r="S50" s="90" t="str">
        <f t="shared" si="4"/>
        <v/>
      </c>
      <c r="T50" s="91" t="str">
        <f t="shared" si="5"/>
        <v/>
      </c>
      <c r="U50" s="85">
        <f t="shared" si="6"/>
        <v>0</v>
      </c>
    </row>
    <row r="51">
      <c r="A51" s="85">
        <v>49.0</v>
      </c>
      <c r="B51" s="35"/>
      <c r="C51" s="65"/>
      <c r="D51" s="76"/>
      <c r="E51" s="93"/>
      <c r="F51" s="76"/>
      <c r="G51" s="35"/>
      <c r="H51" s="85"/>
      <c r="I51" s="85"/>
      <c r="J51" s="87" t="str">
        <f t="shared" si="1"/>
        <v/>
      </c>
      <c r="K51" s="35"/>
      <c r="L51" s="88"/>
      <c r="M51" s="89"/>
      <c r="N51" s="87" t="str">
        <f t="shared" si="2"/>
        <v/>
      </c>
      <c r="O51" s="35"/>
      <c r="P51" s="88"/>
      <c r="Q51" s="88"/>
      <c r="R51" s="87" t="str">
        <f t="shared" si="3"/>
        <v/>
      </c>
      <c r="S51" s="90" t="str">
        <f t="shared" si="4"/>
        <v/>
      </c>
      <c r="T51" s="91" t="str">
        <f t="shared" si="5"/>
        <v/>
      </c>
      <c r="U51" s="85">
        <f t="shared" si="6"/>
        <v>0</v>
      </c>
    </row>
    <row r="52">
      <c r="A52" s="85">
        <v>50.0</v>
      </c>
      <c r="B52" s="35"/>
      <c r="C52" s="65"/>
      <c r="D52" s="76"/>
      <c r="E52" s="93"/>
      <c r="F52" s="76"/>
      <c r="G52" s="35"/>
      <c r="H52" s="85"/>
      <c r="I52" s="85"/>
      <c r="J52" s="87" t="str">
        <f t="shared" si="1"/>
        <v/>
      </c>
      <c r="K52" s="35"/>
      <c r="L52" s="88"/>
      <c r="M52" s="89"/>
      <c r="N52" s="87" t="str">
        <f t="shared" si="2"/>
        <v/>
      </c>
      <c r="O52" s="35"/>
      <c r="P52" s="88"/>
      <c r="Q52" s="88"/>
      <c r="R52" s="87" t="str">
        <f t="shared" si="3"/>
        <v/>
      </c>
      <c r="S52" s="90" t="str">
        <f t="shared" si="4"/>
        <v/>
      </c>
      <c r="T52" s="91" t="str">
        <f t="shared" si="5"/>
        <v/>
      </c>
      <c r="U52" s="85">
        <f t="shared" si="6"/>
        <v>0</v>
      </c>
    </row>
    <row r="53">
      <c r="A53" s="85">
        <v>51.0</v>
      </c>
      <c r="B53" s="35"/>
      <c r="C53" s="65"/>
      <c r="D53" s="76"/>
      <c r="E53" s="93"/>
      <c r="F53" s="76"/>
      <c r="G53" s="35"/>
      <c r="H53" s="85"/>
      <c r="I53" s="85"/>
      <c r="J53" s="87" t="str">
        <f t="shared" si="1"/>
        <v/>
      </c>
      <c r="K53" s="35"/>
      <c r="L53" s="88"/>
      <c r="M53" s="89"/>
      <c r="N53" s="87" t="str">
        <f t="shared" si="2"/>
        <v/>
      </c>
      <c r="O53" s="35"/>
      <c r="P53" s="88"/>
      <c r="Q53" s="88"/>
      <c r="R53" s="87" t="str">
        <f t="shared" si="3"/>
        <v/>
      </c>
      <c r="S53" s="90" t="str">
        <f t="shared" si="4"/>
        <v/>
      </c>
      <c r="T53" s="91" t="str">
        <f t="shared" si="5"/>
        <v/>
      </c>
      <c r="U53" s="85">
        <f t="shared" si="6"/>
        <v>0</v>
      </c>
    </row>
    <row r="54">
      <c r="A54" s="85">
        <v>52.0</v>
      </c>
      <c r="B54" s="35"/>
      <c r="C54" s="65"/>
      <c r="D54" s="76"/>
      <c r="E54" s="93"/>
      <c r="F54" s="76"/>
      <c r="G54" s="35"/>
      <c r="H54" s="85"/>
      <c r="I54" s="85"/>
      <c r="J54" s="87" t="str">
        <f t="shared" si="1"/>
        <v/>
      </c>
      <c r="K54" s="35"/>
      <c r="L54" s="88"/>
      <c r="M54" s="89"/>
      <c r="N54" s="87" t="str">
        <f t="shared" si="2"/>
        <v/>
      </c>
      <c r="O54" s="35"/>
      <c r="P54" s="88"/>
      <c r="Q54" s="88"/>
      <c r="R54" s="87" t="str">
        <f t="shared" si="3"/>
        <v/>
      </c>
      <c r="S54" s="90" t="str">
        <f t="shared" si="4"/>
        <v/>
      </c>
      <c r="T54" s="91" t="str">
        <f t="shared" si="5"/>
        <v/>
      </c>
      <c r="U54" s="85">
        <f t="shared" si="6"/>
        <v>0</v>
      </c>
    </row>
    <row r="55">
      <c r="A55" s="85">
        <v>53.0</v>
      </c>
      <c r="B55" s="35"/>
      <c r="C55" s="65"/>
      <c r="D55" s="76"/>
      <c r="E55" s="93"/>
      <c r="F55" s="76"/>
      <c r="G55" s="35"/>
      <c r="H55" s="85"/>
      <c r="I55" s="85"/>
      <c r="J55" s="87" t="str">
        <f t="shared" si="1"/>
        <v/>
      </c>
      <c r="K55" s="35"/>
      <c r="L55" s="88"/>
      <c r="M55" s="89"/>
      <c r="N55" s="87" t="str">
        <f t="shared" si="2"/>
        <v/>
      </c>
      <c r="O55" s="35"/>
      <c r="P55" s="88"/>
      <c r="Q55" s="88"/>
      <c r="R55" s="87" t="str">
        <f t="shared" si="3"/>
        <v/>
      </c>
      <c r="S55" s="90" t="str">
        <f t="shared" si="4"/>
        <v/>
      </c>
      <c r="T55" s="91" t="str">
        <f t="shared" si="5"/>
        <v/>
      </c>
      <c r="U55" s="85">
        <f t="shared" si="6"/>
        <v>0</v>
      </c>
    </row>
    <row r="56">
      <c r="A56" s="85">
        <v>54.0</v>
      </c>
      <c r="B56" s="35"/>
      <c r="C56" s="65"/>
      <c r="D56" s="76"/>
      <c r="E56" s="93"/>
      <c r="F56" s="76"/>
      <c r="G56" s="35"/>
      <c r="H56" s="85"/>
      <c r="I56" s="85"/>
      <c r="J56" s="87" t="str">
        <f t="shared" si="1"/>
        <v/>
      </c>
      <c r="K56" s="35"/>
      <c r="L56" s="88"/>
      <c r="M56" s="89"/>
      <c r="N56" s="87" t="str">
        <f t="shared" si="2"/>
        <v/>
      </c>
      <c r="O56" s="35"/>
      <c r="P56" s="88"/>
      <c r="Q56" s="88"/>
      <c r="R56" s="87" t="str">
        <f t="shared" si="3"/>
        <v/>
      </c>
      <c r="S56" s="90" t="str">
        <f t="shared" si="4"/>
        <v/>
      </c>
      <c r="T56" s="91" t="str">
        <f t="shared" si="5"/>
        <v/>
      </c>
      <c r="U56" s="85">
        <f t="shared" si="6"/>
        <v>0</v>
      </c>
    </row>
    <row r="57">
      <c r="A57" s="85">
        <v>55.0</v>
      </c>
      <c r="B57" s="35"/>
      <c r="C57" s="65"/>
      <c r="D57" s="76"/>
      <c r="E57" s="93"/>
      <c r="F57" s="76"/>
      <c r="G57" s="35"/>
      <c r="H57" s="85"/>
      <c r="I57" s="85"/>
      <c r="J57" s="87" t="str">
        <f t="shared" si="1"/>
        <v/>
      </c>
      <c r="K57" s="35"/>
      <c r="L57" s="88"/>
      <c r="M57" s="89"/>
      <c r="N57" s="87" t="str">
        <f t="shared" si="2"/>
        <v/>
      </c>
      <c r="O57" s="35"/>
      <c r="P57" s="88"/>
      <c r="Q57" s="88"/>
      <c r="R57" s="87" t="str">
        <f t="shared" si="3"/>
        <v/>
      </c>
      <c r="S57" s="90" t="str">
        <f t="shared" si="4"/>
        <v/>
      </c>
      <c r="T57" s="91" t="str">
        <f t="shared" si="5"/>
        <v/>
      </c>
      <c r="U57" s="85">
        <f t="shared" si="6"/>
        <v>0</v>
      </c>
    </row>
    <row r="58">
      <c r="A58" s="85">
        <v>56.0</v>
      </c>
      <c r="B58" s="35"/>
      <c r="C58" s="65"/>
      <c r="D58" s="76"/>
      <c r="E58" s="93"/>
      <c r="F58" s="76"/>
      <c r="G58" s="35"/>
      <c r="H58" s="85"/>
      <c r="I58" s="85"/>
      <c r="J58" s="87" t="str">
        <f t="shared" si="1"/>
        <v/>
      </c>
      <c r="K58" s="35"/>
      <c r="L58" s="88"/>
      <c r="M58" s="89"/>
      <c r="N58" s="87" t="str">
        <f t="shared" si="2"/>
        <v/>
      </c>
      <c r="O58" s="35"/>
      <c r="P58" s="88"/>
      <c r="Q58" s="88"/>
      <c r="R58" s="87" t="str">
        <f t="shared" si="3"/>
        <v/>
      </c>
      <c r="S58" s="90" t="str">
        <f t="shared" si="4"/>
        <v/>
      </c>
      <c r="T58" s="91" t="str">
        <f t="shared" si="5"/>
        <v/>
      </c>
      <c r="U58" s="85">
        <f t="shared" si="6"/>
        <v>0</v>
      </c>
    </row>
    <row r="59">
      <c r="A59" s="85">
        <v>57.0</v>
      </c>
      <c r="B59" s="35"/>
      <c r="C59" s="65"/>
      <c r="D59" s="76"/>
      <c r="E59" s="93"/>
      <c r="F59" s="76"/>
      <c r="G59" s="35"/>
      <c r="H59" s="85"/>
      <c r="I59" s="85"/>
      <c r="J59" s="87" t="str">
        <f t="shared" si="1"/>
        <v/>
      </c>
      <c r="K59" s="35"/>
      <c r="L59" s="88"/>
      <c r="M59" s="89"/>
      <c r="N59" s="87" t="str">
        <f t="shared" si="2"/>
        <v/>
      </c>
      <c r="O59" s="35"/>
      <c r="P59" s="88"/>
      <c r="Q59" s="88"/>
      <c r="R59" s="87" t="str">
        <f t="shared" si="3"/>
        <v/>
      </c>
      <c r="S59" s="90" t="str">
        <f t="shared" si="4"/>
        <v/>
      </c>
      <c r="T59" s="91" t="str">
        <f t="shared" si="5"/>
        <v/>
      </c>
      <c r="U59" s="85">
        <f t="shared" si="6"/>
        <v>0</v>
      </c>
    </row>
    <row r="60">
      <c r="A60" s="85">
        <v>58.0</v>
      </c>
      <c r="B60" s="35"/>
      <c r="C60" s="65"/>
      <c r="D60" s="76"/>
      <c r="E60" s="93"/>
      <c r="F60" s="76"/>
      <c r="G60" s="35"/>
      <c r="H60" s="85"/>
      <c r="I60" s="85"/>
      <c r="J60" s="87" t="str">
        <f t="shared" si="1"/>
        <v/>
      </c>
      <c r="K60" s="35"/>
      <c r="L60" s="88"/>
      <c r="M60" s="89"/>
      <c r="N60" s="87" t="str">
        <f t="shared" si="2"/>
        <v/>
      </c>
      <c r="O60" s="35"/>
      <c r="P60" s="88"/>
      <c r="Q60" s="88"/>
      <c r="R60" s="87" t="str">
        <f t="shared" si="3"/>
        <v/>
      </c>
      <c r="S60" s="90" t="str">
        <f t="shared" si="4"/>
        <v/>
      </c>
      <c r="T60" s="91" t="str">
        <f t="shared" si="5"/>
        <v/>
      </c>
      <c r="U60" s="85">
        <f t="shared" si="6"/>
        <v>0</v>
      </c>
    </row>
    <row r="61">
      <c r="A61" s="85">
        <v>59.0</v>
      </c>
      <c r="B61" s="35"/>
      <c r="C61" s="65"/>
      <c r="D61" s="76"/>
      <c r="E61" s="93"/>
      <c r="F61" s="76"/>
      <c r="G61" s="35"/>
      <c r="H61" s="85"/>
      <c r="I61" s="85"/>
      <c r="J61" s="87" t="str">
        <f t="shared" si="1"/>
        <v/>
      </c>
      <c r="K61" s="35"/>
      <c r="L61" s="88"/>
      <c r="M61" s="89"/>
      <c r="N61" s="87" t="str">
        <f t="shared" si="2"/>
        <v/>
      </c>
      <c r="O61" s="35"/>
      <c r="P61" s="88"/>
      <c r="Q61" s="88"/>
      <c r="R61" s="87" t="str">
        <f t="shared" si="3"/>
        <v/>
      </c>
      <c r="S61" s="90" t="str">
        <f t="shared" si="4"/>
        <v/>
      </c>
      <c r="T61" s="91" t="str">
        <f t="shared" si="5"/>
        <v/>
      </c>
      <c r="U61" s="85">
        <f t="shared" si="6"/>
        <v>0</v>
      </c>
    </row>
    <row r="62">
      <c r="A62" s="85">
        <v>60.0</v>
      </c>
      <c r="B62" s="35"/>
      <c r="C62" s="65"/>
      <c r="D62" s="76"/>
      <c r="E62" s="93"/>
      <c r="F62" s="76"/>
      <c r="G62" s="35"/>
      <c r="H62" s="85"/>
      <c r="I62" s="85"/>
      <c r="J62" s="87" t="str">
        <f t="shared" si="1"/>
        <v/>
      </c>
      <c r="K62" s="35"/>
      <c r="L62" s="88"/>
      <c r="M62" s="89"/>
      <c r="N62" s="87" t="str">
        <f t="shared" si="2"/>
        <v/>
      </c>
      <c r="O62" s="35"/>
      <c r="P62" s="88"/>
      <c r="Q62" s="88"/>
      <c r="R62" s="87" t="str">
        <f t="shared" si="3"/>
        <v/>
      </c>
      <c r="S62" s="90" t="str">
        <f t="shared" si="4"/>
        <v/>
      </c>
      <c r="T62" s="91" t="str">
        <f t="shared" si="5"/>
        <v/>
      </c>
      <c r="U62" s="85">
        <f t="shared" si="6"/>
        <v>0</v>
      </c>
    </row>
    <row r="63">
      <c r="A63" s="85">
        <v>61.0</v>
      </c>
      <c r="B63" s="35"/>
      <c r="C63" s="65"/>
      <c r="D63" s="76"/>
      <c r="E63" s="93"/>
      <c r="F63" s="76"/>
      <c r="G63" s="35"/>
      <c r="H63" s="85"/>
      <c r="I63" s="85"/>
      <c r="J63" s="87" t="str">
        <f t="shared" si="1"/>
        <v/>
      </c>
      <c r="K63" s="35"/>
      <c r="L63" s="88"/>
      <c r="M63" s="89"/>
      <c r="N63" s="87" t="str">
        <f t="shared" si="2"/>
        <v/>
      </c>
      <c r="O63" s="35"/>
      <c r="P63" s="88"/>
      <c r="Q63" s="88"/>
      <c r="R63" s="87" t="str">
        <f t="shared" si="3"/>
        <v/>
      </c>
      <c r="S63" s="90" t="str">
        <f t="shared" si="4"/>
        <v/>
      </c>
      <c r="T63" s="91" t="str">
        <f t="shared" si="5"/>
        <v/>
      </c>
      <c r="U63" s="85">
        <f t="shared" si="6"/>
        <v>0</v>
      </c>
    </row>
    <row r="64">
      <c r="A64" s="85">
        <v>62.0</v>
      </c>
      <c r="B64" s="35"/>
      <c r="C64" s="65"/>
      <c r="D64" s="76"/>
      <c r="E64" s="93"/>
      <c r="F64" s="76"/>
      <c r="G64" s="35"/>
      <c r="H64" s="85"/>
      <c r="I64" s="85"/>
      <c r="J64" s="87" t="str">
        <f t="shared" si="1"/>
        <v/>
      </c>
      <c r="K64" s="35"/>
      <c r="L64" s="88"/>
      <c r="M64" s="89"/>
      <c r="N64" s="87" t="str">
        <f t="shared" si="2"/>
        <v/>
      </c>
      <c r="O64" s="35"/>
      <c r="P64" s="88"/>
      <c r="Q64" s="88"/>
      <c r="R64" s="87" t="str">
        <f t="shared" si="3"/>
        <v/>
      </c>
      <c r="S64" s="90" t="str">
        <f t="shared" si="4"/>
        <v/>
      </c>
      <c r="T64" s="91" t="str">
        <f t="shared" si="5"/>
        <v/>
      </c>
      <c r="U64" s="85">
        <f t="shared" si="6"/>
        <v>0</v>
      </c>
    </row>
    <row r="65">
      <c r="A65" s="85">
        <v>63.0</v>
      </c>
      <c r="B65" s="35"/>
      <c r="C65" s="65"/>
      <c r="D65" s="76"/>
      <c r="E65" s="93"/>
      <c r="F65" s="76"/>
      <c r="G65" s="35"/>
      <c r="H65" s="85"/>
      <c r="I65" s="85"/>
      <c r="J65" s="87" t="str">
        <f t="shared" si="1"/>
        <v/>
      </c>
      <c r="K65" s="35"/>
      <c r="L65" s="88"/>
      <c r="M65" s="89"/>
      <c r="N65" s="87" t="str">
        <f t="shared" si="2"/>
        <v/>
      </c>
      <c r="O65" s="35"/>
      <c r="P65" s="88"/>
      <c r="Q65" s="88"/>
      <c r="R65" s="87" t="str">
        <f t="shared" si="3"/>
        <v/>
      </c>
      <c r="S65" s="90" t="str">
        <f t="shared" si="4"/>
        <v/>
      </c>
      <c r="T65" s="91" t="str">
        <f t="shared" si="5"/>
        <v/>
      </c>
      <c r="U65" s="85">
        <f t="shared" si="6"/>
        <v>0</v>
      </c>
    </row>
    <row r="66">
      <c r="A66" s="85">
        <v>64.0</v>
      </c>
      <c r="B66" s="35"/>
      <c r="C66" s="65"/>
      <c r="D66" s="76"/>
      <c r="E66" s="93"/>
      <c r="F66" s="76"/>
      <c r="G66" s="35"/>
      <c r="H66" s="85"/>
      <c r="I66" s="85"/>
      <c r="J66" s="87" t="str">
        <f t="shared" si="1"/>
        <v/>
      </c>
      <c r="K66" s="35"/>
      <c r="L66" s="88"/>
      <c r="M66" s="89"/>
      <c r="N66" s="87" t="str">
        <f t="shared" si="2"/>
        <v/>
      </c>
      <c r="O66" s="35"/>
      <c r="P66" s="88"/>
      <c r="Q66" s="88"/>
      <c r="R66" s="87" t="str">
        <f t="shared" si="3"/>
        <v/>
      </c>
      <c r="S66" s="90" t="str">
        <f t="shared" si="4"/>
        <v/>
      </c>
      <c r="T66" s="91" t="str">
        <f t="shared" si="5"/>
        <v/>
      </c>
      <c r="U66" s="85">
        <f t="shared" si="6"/>
        <v>0</v>
      </c>
    </row>
    <row r="67">
      <c r="A67" s="85">
        <v>65.0</v>
      </c>
      <c r="B67" s="35"/>
      <c r="C67" s="65"/>
      <c r="D67" s="76"/>
      <c r="E67" s="93"/>
      <c r="F67" s="76"/>
      <c r="G67" s="35"/>
      <c r="H67" s="85"/>
      <c r="I67" s="85"/>
      <c r="J67" s="87" t="str">
        <f t="shared" si="1"/>
        <v/>
      </c>
      <c r="K67" s="35"/>
      <c r="L67" s="88"/>
      <c r="M67" s="89"/>
      <c r="N67" s="87" t="str">
        <f t="shared" si="2"/>
        <v/>
      </c>
      <c r="O67" s="35"/>
      <c r="P67" s="88"/>
      <c r="Q67" s="88"/>
      <c r="R67" s="87" t="str">
        <f t="shared" si="3"/>
        <v/>
      </c>
      <c r="S67" s="90" t="str">
        <f t="shared" si="4"/>
        <v/>
      </c>
      <c r="T67" s="91" t="str">
        <f t="shared" si="5"/>
        <v/>
      </c>
      <c r="U67" s="85">
        <f t="shared" si="6"/>
        <v>0</v>
      </c>
    </row>
    <row r="68">
      <c r="A68" s="85">
        <v>66.0</v>
      </c>
      <c r="B68" s="35"/>
      <c r="C68" s="65"/>
      <c r="D68" s="76"/>
      <c r="E68" s="93"/>
      <c r="F68" s="76"/>
      <c r="G68" s="35"/>
      <c r="H68" s="85"/>
      <c r="I68" s="85"/>
      <c r="J68" s="87" t="str">
        <f t="shared" si="1"/>
        <v/>
      </c>
      <c r="K68" s="35"/>
      <c r="L68" s="88"/>
      <c r="M68" s="89"/>
      <c r="N68" s="87" t="str">
        <f t="shared" si="2"/>
        <v/>
      </c>
      <c r="O68" s="35"/>
      <c r="P68" s="88"/>
      <c r="Q68" s="88"/>
      <c r="R68" s="87" t="str">
        <f t="shared" si="3"/>
        <v/>
      </c>
      <c r="S68" s="90" t="str">
        <f t="shared" si="4"/>
        <v/>
      </c>
      <c r="T68" s="91" t="str">
        <f t="shared" si="5"/>
        <v/>
      </c>
      <c r="U68" s="85">
        <f t="shared" si="6"/>
        <v>0</v>
      </c>
    </row>
    <row r="69">
      <c r="A69" s="85">
        <v>67.0</v>
      </c>
      <c r="B69" s="35"/>
      <c r="C69" s="65"/>
      <c r="D69" s="76"/>
      <c r="E69" s="93"/>
      <c r="F69" s="76"/>
      <c r="G69" s="35"/>
      <c r="H69" s="85"/>
      <c r="I69" s="85"/>
      <c r="J69" s="87" t="str">
        <f t="shared" si="1"/>
        <v/>
      </c>
      <c r="K69" s="35"/>
      <c r="L69" s="88"/>
      <c r="M69" s="89"/>
      <c r="N69" s="87" t="str">
        <f t="shared" si="2"/>
        <v/>
      </c>
      <c r="O69" s="35"/>
      <c r="P69" s="88"/>
      <c r="Q69" s="88"/>
      <c r="R69" s="87" t="str">
        <f t="shared" si="3"/>
        <v/>
      </c>
      <c r="S69" s="90" t="str">
        <f t="shared" si="4"/>
        <v/>
      </c>
      <c r="T69" s="91" t="str">
        <f t="shared" si="5"/>
        <v/>
      </c>
      <c r="U69" s="85">
        <f t="shared" si="6"/>
        <v>0</v>
      </c>
    </row>
    <row r="70">
      <c r="A70" s="85">
        <v>68.0</v>
      </c>
      <c r="B70" s="35"/>
      <c r="C70" s="65"/>
      <c r="D70" s="76"/>
      <c r="E70" s="93"/>
      <c r="F70" s="76"/>
      <c r="G70" s="35"/>
      <c r="H70" s="85"/>
      <c r="I70" s="85"/>
      <c r="J70" s="87" t="str">
        <f t="shared" si="1"/>
        <v/>
      </c>
      <c r="K70" s="35"/>
      <c r="L70" s="88"/>
      <c r="M70" s="89"/>
      <c r="N70" s="87" t="str">
        <f t="shared" si="2"/>
        <v/>
      </c>
      <c r="O70" s="35"/>
      <c r="P70" s="88"/>
      <c r="Q70" s="88"/>
      <c r="R70" s="87" t="str">
        <f t="shared" si="3"/>
        <v/>
      </c>
      <c r="S70" s="90" t="str">
        <f t="shared" si="4"/>
        <v/>
      </c>
      <c r="T70" s="91" t="str">
        <f t="shared" si="5"/>
        <v/>
      </c>
      <c r="U70" s="85">
        <f t="shared" si="6"/>
        <v>0</v>
      </c>
    </row>
    <row r="71">
      <c r="A71" s="85">
        <v>69.0</v>
      </c>
      <c r="B71" s="35"/>
      <c r="C71" s="65"/>
      <c r="D71" s="76"/>
      <c r="E71" s="93"/>
      <c r="F71" s="76"/>
      <c r="G71" s="35"/>
      <c r="H71" s="85"/>
      <c r="I71" s="85"/>
      <c r="J71" s="87" t="str">
        <f t="shared" si="1"/>
        <v/>
      </c>
      <c r="K71" s="35"/>
      <c r="L71" s="88"/>
      <c r="M71" s="89"/>
      <c r="N71" s="87" t="str">
        <f t="shared" si="2"/>
        <v/>
      </c>
      <c r="O71" s="35"/>
      <c r="P71" s="88"/>
      <c r="Q71" s="88"/>
      <c r="R71" s="87" t="str">
        <f t="shared" si="3"/>
        <v/>
      </c>
      <c r="S71" s="90" t="str">
        <f t="shared" si="4"/>
        <v/>
      </c>
      <c r="T71" s="91" t="str">
        <f t="shared" si="5"/>
        <v/>
      </c>
      <c r="U71" s="85">
        <f t="shared" si="6"/>
        <v>0</v>
      </c>
    </row>
    <row r="72">
      <c r="A72" s="85">
        <v>70.0</v>
      </c>
      <c r="B72" s="35"/>
      <c r="C72" s="65"/>
      <c r="D72" s="76"/>
      <c r="E72" s="93"/>
      <c r="F72" s="76"/>
      <c r="G72" s="35"/>
      <c r="H72" s="85"/>
      <c r="I72" s="85"/>
      <c r="J72" s="87" t="str">
        <f t="shared" si="1"/>
        <v/>
      </c>
      <c r="K72" s="35"/>
      <c r="L72" s="88"/>
      <c r="M72" s="89"/>
      <c r="N72" s="87" t="str">
        <f t="shared" si="2"/>
        <v/>
      </c>
      <c r="O72" s="35"/>
      <c r="P72" s="88"/>
      <c r="Q72" s="88"/>
      <c r="R72" s="87" t="str">
        <f t="shared" si="3"/>
        <v/>
      </c>
      <c r="S72" s="90" t="str">
        <f t="shared" si="4"/>
        <v/>
      </c>
      <c r="T72" s="91" t="str">
        <f t="shared" si="5"/>
        <v/>
      </c>
      <c r="U72" s="85">
        <f t="shared" si="6"/>
        <v>0</v>
      </c>
    </row>
    <row r="73">
      <c r="A73" s="85">
        <v>71.0</v>
      </c>
      <c r="B73" s="35"/>
      <c r="C73" s="65"/>
      <c r="D73" s="76"/>
      <c r="E73" s="93"/>
      <c r="F73" s="76"/>
      <c r="G73" s="35"/>
      <c r="H73" s="85"/>
      <c r="I73" s="85"/>
      <c r="J73" s="87" t="str">
        <f t="shared" si="1"/>
        <v/>
      </c>
      <c r="K73" s="35"/>
      <c r="L73" s="88"/>
      <c r="M73" s="89"/>
      <c r="N73" s="87" t="str">
        <f t="shared" si="2"/>
        <v/>
      </c>
      <c r="O73" s="35"/>
      <c r="P73" s="88"/>
      <c r="Q73" s="88"/>
      <c r="R73" s="87" t="str">
        <f t="shared" si="3"/>
        <v/>
      </c>
      <c r="S73" s="90" t="str">
        <f t="shared" si="4"/>
        <v/>
      </c>
      <c r="T73" s="91" t="str">
        <f t="shared" si="5"/>
        <v/>
      </c>
      <c r="U73" s="85">
        <f t="shared" si="6"/>
        <v>0</v>
      </c>
    </row>
    <row r="74">
      <c r="A74" s="85">
        <v>72.0</v>
      </c>
      <c r="B74" s="35"/>
      <c r="C74" s="65"/>
      <c r="D74" s="76"/>
      <c r="E74" s="93"/>
      <c r="F74" s="76"/>
      <c r="G74" s="35"/>
      <c r="H74" s="85"/>
      <c r="I74" s="85"/>
      <c r="J74" s="87" t="str">
        <f t="shared" si="1"/>
        <v/>
      </c>
      <c r="K74" s="35"/>
      <c r="L74" s="88"/>
      <c r="M74" s="89"/>
      <c r="N74" s="87" t="str">
        <f t="shared" si="2"/>
        <v/>
      </c>
      <c r="O74" s="35"/>
      <c r="P74" s="88"/>
      <c r="Q74" s="88"/>
      <c r="R74" s="87" t="str">
        <f t="shared" si="3"/>
        <v/>
      </c>
      <c r="S74" s="90" t="str">
        <f t="shared" si="4"/>
        <v/>
      </c>
      <c r="T74" s="91" t="str">
        <f t="shared" si="5"/>
        <v/>
      </c>
      <c r="U74" s="85">
        <f t="shared" si="6"/>
        <v>0</v>
      </c>
    </row>
    <row r="75">
      <c r="A75" s="85">
        <v>73.0</v>
      </c>
      <c r="B75" s="35"/>
      <c r="C75" s="65"/>
      <c r="D75" s="76"/>
      <c r="E75" s="93"/>
      <c r="F75" s="76"/>
      <c r="G75" s="35"/>
      <c r="H75" s="85"/>
      <c r="I75" s="85"/>
      <c r="J75" s="87" t="str">
        <f t="shared" si="1"/>
        <v/>
      </c>
      <c r="K75" s="35"/>
      <c r="L75" s="88"/>
      <c r="M75" s="89"/>
      <c r="N75" s="87" t="str">
        <f t="shared" si="2"/>
        <v/>
      </c>
      <c r="O75" s="35"/>
      <c r="P75" s="88"/>
      <c r="Q75" s="88"/>
      <c r="R75" s="87" t="str">
        <f t="shared" si="3"/>
        <v/>
      </c>
      <c r="S75" s="90" t="str">
        <f t="shared" si="4"/>
        <v/>
      </c>
      <c r="T75" s="91" t="str">
        <f t="shared" si="5"/>
        <v/>
      </c>
      <c r="U75" s="85">
        <f t="shared" si="6"/>
        <v>0</v>
      </c>
    </row>
    <row r="76">
      <c r="A76" s="85">
        <v>74.0</v>
      </c>
      <c r="B76" s="35"/>
      <c r="C76" s="65"/>
      <c r="D76" s="76"/>
      <c r="E76" s="93"/>
      <c r="F76" s="76"/>
      <c r="G76" s="35"/>
      <c r="H76" s="85"/>
      <c r="I76" s="85"/>
      <c r="J76" s="87" t="str">
        <f t="shared" si="1"/>
        <v/>
      </c>
      <c r="K76" s="35"/>
      <c r="L76" s="88"/>
      <c r="M76" s="89"/>
      <c r="N76" s="87" t="str">
        <f t="shared" si="2"/>
        <v/>
      </c>
      <c r="O76" s="35"/>
      <c r="P76" s="88"/>
      <c r="Q76" s="88"/>
      <c r="R76" s="87" t="str">
        <f t="shared" si="3"/>
        <v/>
      </c>
      <c r="S76" s="90" t="str">
        <f t="shared" si="4"/>
        <v/>
      </c>
      <c r="T76" s="91" t="str">
        <f t="shared" si="5"/>
        <v/>
      </c>
      <c r="U76" s="85">
        <f t="shared" si="6"/>
        <v>0</v>
      </c>
    </row>
    <row r="77">
      <c r="A77" s="85">
        <v>75.0</v>
      </c>
      <c r="B77" s="35"/>
      <c r="C77" s="65"/>
      <c r="D77" s="76"/>
      <c r="E77" s="93"/>
      <c r="F77" s="76"/>
      <c r="G77" s="35"/>
      <c r="H77" s="85"/>
      <c r="I77" s="85"/>
      <c r="J77" s="87" t="str">
        <f t="shared" si="1"/>
        <v/>
      </c>
      <c r="K77" s="35"/>
      <c r="L77" s="88"/>
      <c r="M77" s="89"/>
      <c r="N77" s="87" t="str">
        <f t="shared" si="2"/>
        <v/>
      </c>
      <c r="O77" s="35"/>
      <c r="P77" s="88"/>
      <c r="Q77" s="88"/>
      <c r="R77" s="87" t="str">
        <f t="shared" si="3"/>
        <v/>
      </c>
      <c r="S77" s="90" t="str">
        <f t="shared" si="4"/>
        <v/>
      </c>
      <c r="T77" s="91" t="str">
        <f t="shared" si="5"/>
        <v/>
      </c>
      <c r="U77" s="85">
        <f t="shared" si="6"/>
        <v>0</v>
      </c>
    </row>
  </sheetData>
  <autoFilter ref="$B$2:$T$77"/>
  <customSheetViews>
    <customSheetView guid="{B0C17AAF-6872-48F8-A58E-565BF6C8DB27}" filter="1" showAutoFilter="1">
      <autoFilter ref="$C$2:$T$52"/>
    </customSheetView>
  </customSheetViews>
  <mergeCells count="3">
    <mergeCell ref="K1:N1"/>
    <mergeCell ref="O1:R1"/>
    <mergeCell ref="G1:J1"/>
  </mergeCells>
  <conditionalFormatting sqref="G3:I77 K3:M77 O3:Q77">
    <cfRule type="endsWith" dxfId="2" priority="1" operator="endsWith" text="g">
      <formula>RIGHT((G3),LEN("g"))=("g")</formula>
    </cfRule>
  </conditionalFormatting>
  <conditionalFormatting sqref="G3:I77 K3:M77 O3:Q77">
    <cfRule type="endsWith" dxfId="1" priority="2" operator="endsWith" text="x">
      <formula>RIGHT((G3),LEN("x"))=("x")</formula>
    </cfRule>
  </conditionalFormatting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tabColor rgb="FF000000"/>
    <outlinePr summaryBelow="0" summaryRight="0"/>
  </sheetPr>
  <sheetViews>
    <sheetView workbookViewId="0">
      <pane xSplit="6.0" ySplit="2.0" topLeftCell="G3" activePane="bottomRight" state="frozen"/>
      <selection activeCell="G1" sqref="G1" pane="topRight"/>
      <selection activeCell="A3" sqref="A3" pane="bottomLeft"/>
      <selection activeCell="G3" sqref="G3" pane="bottomRight"/>
    </sheetView>
  </sheetViews>
  <sheetFormatPr customHeight="1" defaultColWidth="14.43" defaultRowHeight="15.75"/>
  <cols>
    <col customWidth="1" min="1" max="1" width="3.57"/>
    <col customWidth="1" min="2" max="2" width="10.29"/>
    <col customWidth="1" min="3" max="3" width="6.86"/>
    <col customWidth="1" min="4" max="4" width="14.71"/>
    <col customWidth="1" min="5" max="5" width="7.57"/>
    <col customWidth="1" min="6" max="6" width="18.29"/>
    <col customWidth="1" min="7" max="18" width="5.71"/>
    <col customWidth="1" min="19" max="19" width="9.86"/>
    <col customWidth="1" min="20" max="20" width="11.0"/>
    <col customWidth="1" hidden="1" min="21" max="21" width="11.0"/>
  </cols>
  <sheetData>
    <row r="1">
      <c r="A1" s="14"/>
      <c r="B1" s="16" t="s">
        <v>19</v>
      </c>
      <c r="C1" s="16" t="s">
        <v>135</v>
      </c>
      <c r="D1" s="57" t="s">
        <v>22</v>
      </c>
      <c r="E1" s="57" t="s">
        <v>23</v>
      </c>
      <c r="F1" s="57" t="s">
        <v>25</v>
      </c>
      <c r="G1" s="57" t="s">
        <v>115</v>
      </c>
      <c r="K1" s="57" t="s">
        <v>116</v>
      </c>
      <c r="O1" s="57" t="s">
        <v>117</v>
      </c>
      <c r="S1" s="57" t="s">
        <v>118</v>
      </c>
      <c r="T1" s="57" t="s">
        <v>119</v>
      </c>
      <c r="U1" s="57"/>
    </row>
    <row r="2">
      <c r="A2" s="81"/>
      <c r="B2" s="83" t="s">
        <v>19</v>
      </c>
      <c r="C2" s="83" t="s">
        <v>135</v>
      </c>
      <c r="D2" s="83" t="s">
        <v>22</v>
      </c>
      <c r="E2" s="84" t="s">
        <v>23</v>
      </c>
      <c r="F2" s="83" t="s">
        <v>25</v>
      </c>
      <c r="G2" s="83" t="s">
        <v>136</v>
      </c>
      <c r="H2" s="83" t="s">
        <v>137</v>
      </c>
      <c r="I2" s="83" t="s">
        <v>138</v>
      </c>
      <c r="J2" s="83" t="s">
        <v>139</v>
      </c>
      <c r="K2" s="83" t="s">
        <v>140</v>
      </c>
      <c r="L2" s="83" t="s">
        <v>141</v>
      </c>
      <c r="M2" s="83" t="s">
        <v>142</v>
      </c>
      <c r="N2" s="83" t="s">
        <v>143</v>
      </c>
      <c r="O2" s="83" t="s">
        <v>144</v>
      </c>
      <c r="P2" s="83" t="s">
        <v>145</v>
      </c>
      <c r="Q2" s="83" t="s">
        <v>146</v>
      </c>
      <c r="R2" s="83" t="s">
        <v>147</v>
      </c>
      <c r="S2" s="83"/>
      <c r="T2" s="84" t="s">
        <v>119</v>
      </c>
      <c r="U2" s="84"/>
    </row>
    <row r="3">
      <c r="A3" s="85">
        <v>1.0</v>
      </c>
      <c r="B3" s="35" t="s">
        <v>63</v>
      </c>
      <c r="C3" s="35" t="s">
        <v>109</v>
      </c>
      <c r="D3" s="86" t="s">
        <v>287</v>
      </c>
      <c r="E3" s="35">
        <v>138.8</v>
      </c>
      <c r="F3" s="86" t="s">
        <v>357</v>
      </c>
      <c r="G3" s="35" t="s">
        <v>170</v>
      </c>
      <c r="H3" s="85" t="s">
        <v>171</v>
      </c>
      <c r="I3" s="85" t="s">
        <v>224</v>
      </c>
      <c r="J3" s="87">
        <f t="shared" ref="J3:J77" si="1">IFERROR(__xludf.DUMMYFUNCTION("if(isblank(B3),,Max(if(right(G3,1)=""g"",split(G3,""g""),),if(right(H3,1)=""g"",split(H3,""g""),),if(right(I3,1)=""g"",split(I3,""g""),)))"),165.0)</f>
        <v>165</v>
      </c>
      <c r="K3" s="35" t="s">
        <v>195</v>
      </c>
      <c r="L3" s="88" t="s">
        <v>173</v>
      </c>
      <c r="M3" s="88" t="s">
        <v>207</v>
      </c>
      <c r="N3" s="87">
        <f t="shared" ref="N3:N77" si="2">IFERROR(__xludf.DUMMYFUNCTION("if(isblank($B3),,Max(if(right(K3,1)=""g"",split(K3,""g""),),if(right(L3,1)=""g"",split(L3,""g""),),if(right(M3,1)=""g"",split(M3,""g""),)))"),85.0)</f>
        <v>85</v>
      </c>
      <c r="O3" s="35" t="s">
        <v>203</v>
      </c>
      <c r="P3" s="88" t="s">
        <v>181</v>
      </c>
      <c r="Q3" s="88" t="s">
        <v>254</v>
      </c>
      <c r="R3" s="87">
        <f t="shared" ref="R3:R77" si="3">IFERROR(__xludf.DUMMYFUNCTION("if(isblank($B3),,Max(if(right(O3,1)=""g"",split(O3,""g""),),if(right(P3,1)=""g"",split(P3,""g""),),if(right(Q3,1)=""g"",split(Q3,""g""),)))"),205.0)</f>
        <v>205</v>
      </c>
      <c r="S3" s="90">
        <f t="shared" ref="S3:S77" si="4">if(isblank(F3),,if(or(and(right(G3,1)="x",right(H3,1)="x",right(I3,1)="x"),and(right(K3,1)="x",right(L3,1)="x",right(M3,1)="x"),and(right(O3,1)="x",right(P3,1)="x",right(Q3,1)="x")),0,J3+N3+R3))</f>
        <v>455</v>
      </c>
      <c r="T3" s="91">
        <f t="shared" ref="T3:T77" si="5">if(isblank(E3),,S3/E3)</f>
        <v>3.278097983</v>
      </c>
      <c r="U3" s="85">
        <f t="shared" ref="U3:U77" si="6">countif(G3:Q3,"*g")</f>
        <v>8</v>
      </c>
    </row>
    <row r="4">
      <c r="A4" s="85">
        <v>2.0</v>
      </c>
      <c r="B4" s="35" t="s">
        <v>63</v>
      </c>
      <c r="C4" s="35" t="s">
        <v>109</v>
      </c>
      <c r="D4" s="86" t="s">
        <v>221</v>
      </c>
      <c r="E4" s="35">
        <v>137.8</v>
      </c>
      <c r="F4" s="86" t="s">
        <v>358</v>
      </c>
      <c r="G4" s="35" t="s">
        <v>171</v>
      </c>
      <c r="H4" s="85" t="s">
        <v>161</v>
      </c>
      <c r="I4" s="85" t="s">
        <v>203</v>
      </c>
      <c r="J4" s="87">
        <f t="shared" si="1"/>
        <v>170</v>
      </c>
      <c r="K4" s="35" t="s">
        <v>220</v>
      </c>
      <c r="L4" s="88" t="s">
        <v>195</v>
      </c>
      <c r="M4" s="88" t="s">
        <v>172</v>
      </c>
      <c r="N4" s="87">
        <f t="shared" si="2"/>
        <v>75</v>
      </c>
      <c r="O4" s="35" t="s">
        <v>235</v>
      </c>
      <c r="P4" s="88" t="s">
        <v>175</v>
      </c>
      <c r="Q4" s="88" t="s">
        <v>254</v>
      </c>
      <c r="R4" s="87">
        <f t="shared" si="3"/>
        <v>205</v>
      </c>
      <c r="S4" s="90">
        <f t="shared" si="4"/>
        <v>450</v>
      </c>
      <c r="T4" s="91">
        <f t="shared" si="5"/>
        <v>3.265602322</v>
      </c>
      <c r="U4" s="85">
        <f t="shared" si="6"/>
        <v>9</v>
      </c>
    </row>
    <row r="5">
      <c r="A5" s="85">
        <v>3.0</v>
      </c>
      <c r="B5" s="35" t="s">
        <v>63</v>
      </c>
      <c r="C5" s="35" t="s">
        <v>109</v>
      </c>
      <c r="D5" s="86" t="s">
        <v>359</v>
      </c>
      <c r="E5" s="35">
        <v>141.6</v>
      </c>
      <c r="F5" s="86" t="s">
        <v>360</v>
      </c>
      <c r="G5" s="35" t="s">
        <v>224</v>
      </c>
      <c r="H5" s="85" t="s">
        <v>151</v>
      </c>
      <c r="I5" s="85" t="s">
        <v>208</v>
      </c>
      <c r="J5" s="87">
        <f t="shared" si="1"/>
        <v>185</v>
      </c>
      <c r="K5" s="35" t="s">
        <v>216</v>
      </c>
      <c r="L5" s="88" t="s">
        <v>164</v>
      </c>
      <c r="M5" s="88" t="s">
        <v>153</v>
      </c>
      <c r="N5" s="87">
        <f t="shared" si="2"/>
        <v>105</v>
      </c>
      <c r="O5" s="35" t="s">
        <v>151</v>
      </c>
      <c r="P5" s="88" t="s">
        <v>175</v>
      </c>
      <c r="Q5" s="88" t="s">
        <v>254</v>
      </c>
      <c r="R5" s="87">
        <f t="shared" si="3"/>
        <v>205</v>
      </c>
      <c r="S5" s="90">
        <f t="shared" si="4"/>
        <v>495</v>
      </c>
      <c r="T5" s="91">
        <f t="shared" si="5"/>
        <v>3.495762712</v>
      </c>
      <c r="U5" s="85">
        <f t="shared" si="6"/>
        <v>8</v>
      </c>
    </row>
    <row r="6" ht="16.5" customHeight="1">
      <c r="A6" s="85">
        <v>4.0</v>
      </c>
      <c r="B6" s="35" t="s">
        <v>63</v>
      </c>
      <c r="C6" s="35" t="s">
        <v>109</v>
      </c>
      <c r="D6" s="86" t="s">
        <v>204</v>
      </c>
      <c r="E6" s="35">
        <v>138.8</v>
      </c>
      <c r="F6" s="86" t="s">
        <v>361</v>
      </c>
      <c r="G6" s="35" t="s">
        <v>202</v>
      </c>
      <c r="H6" s="85" t="s">
        <v>150</v>
      </c>
      <c r="I6" s="85" t="s">
        <v>236</v>
      </c>
      <c r="J6" s="87">
        <f t="shared" si="1"/>
        <v>175</v>
      </c>
      <c r="K6" s="35" t="s">
        <v>216</v>
      </c>
      <c r="L6" s="88" t="s">
        <v>153</v>
      </c>
      <c r="M6" s="88" t="s">
        <v>165</v>
      </c>
      <c r="N6" s="87">
        <f t="shared" si="2"/>
        <v>105</v>
      </c>
      <c r="O6" s="35" t="s">
        <v>175</v>
      </c>
      <c r="P6" s="88" t="s">
        <v>208</v>
      </c>
      <c r="Q6" s="88" t="s">
        <v>208</v>
      </c>
      <c r="R6" s="87">
        <f t="shared" si="3"/>
        <v>195</v>
      </c>
      <c r="S6" s="90">
        <f t="shared" si="4"/>
        <v>475</v>
      </c>
      <c r="T6" s="91">
        <f t="shared" si="5"/>
        <v>3.422190202</v>
      </c>
      <c r="U6" s="85">
        <f t="shared" si="6"/>
        <v>5</v>
      </c>
    </row>
    <row r="7">
      <c r="A7" s="85">
        <v>5.0</v>
      </c>
      <c r="B7" s="35" t="s">
        <v>63</v>
      </c>
      <c r="C7" s="35" t="s">
        <v>109</v>
      </c>
      <c r="D7" s="86" t="s">
        <v>275</v>
      </c>
      <c r="E7" s="35">
        <v>138.8</v>
      </c>
      <c r="F7" s="86" t="s">
        <v>362</v>
      </c>
      <c r="G7" s="35" t="s">
        <v>162</v>
      </c>
      <c r="H7" s="85" t="s">
        <v>181</v>
      </c>
      <c r="I7" s="85" t="s">
        <v>182</v>
      </c>
      <c r="J7" s="87">
        <f t="shared" si="1"/>
        <v>200</v>
      </c>
      <c r="K7" s="35" t="s">
        <v>173</v>
      </c>
      <c r="L7" s="88" t="s">
        <v>163</v>
      </c>
      <c r="M7" s="88" t="s">
        <v>340</v>
      </c>
      <c r="N7" s="87">
        <f t="shared" si="2"/>
        <v>90</v>
      </c>
      <c r="O7" s="35" t="s">
        <v>181</v>
      </c>
      <c r="P7" s="88" t="s">
        <v>182</v>
      </c>
      <c r="Q7" s="88" t="s">
        <v>166</v>
      </c>
      <c r="R7" s="87">
        <f t="shared" si="3"/>
        <v>210</v>
      </c>
      <c r="S7" s="90">
        <f t="shared" si="4"/>
        <v>500</v>
      </c>
      <c r="T7" s="91">
        <f t="shared" si="5"/>
        <v>3.602305476</v>
      </c>
      <c r="U7" s="85">
        <f t="shared" si="6"/>
        <v>7</v>
      </c>
    </row>
    <row r="8">
      <c r="A8" s="85">
        <v>6.0</v>
      </c>
      <c r="B8" s="35" t="s">
        <v>63</v>
      </c>
      <c r="C8" s="35" t="s">
        <v>109</v>
      </c>
      <c r="D8" s="86" t="s">
        <v>363</v>
      </c>
      <c r="E8" s="35">
        <v>139.4</v>
      </c>
      <c r="F8" s="86" t="s">
        <v>364</v>
      </c>
      <c r="G8" s="35" t="s">
        <v>186</v>
      </c>
      <c r="H8" s="85" t="s">
        <v>202</v>
      </c>
      <c r="I8" s="85" t="s">
        <v>224</v>
      </c>
      <c r="J8" s="87">
        <f t="shared" si="1"/>
        <v>165</v>
      </c>
      <c r="K8" s="35" t="s">
        <v>216</v>
      </c>
      <c r="L8" s="88" t="s">
        <v>153</v>
      </c>
      <c r="M8" s="88" t="s">
        <v>193</v>
      </c>
      <c r="N8" s="87">
        <f t="shared" si="2"/>
        <v>115</v>
      </c>
      <c r="O8" s="35" t="s">
        <v>151</v>
      </c>
      <c r="P8" s="88" t="s">
        <v>254</v>
      </c>
      <c r="Q8" s="88" t="s">
        <v>190</v>
      </c>
      <c r="R8" s="87">
        <f t="shared" si="3"/>
        <v>215</v>
      </c>
      <c r="S8" s="90">
        <f t="shared" si="4"/>
        <v>495</v>
      </c>
      <c r="T8" s="91">
        <f t="shared" si="5"/>
        <v>3.550932568</v>
      </c>
      <c r="U8" s="85">
        <f t="shared" si="6"/>
        <v>9</v>
      </c>
    </row>
    <row r="9">
      <c r="A9" s="85">
        <v>7.0</v>
      </c>
      <c r="B9" s="35" t="s">
        <v>63</v>
      </c>
      <c r="C9" s="35" t="s">
        <v>109</v>
      </c>
      <c r="D9" s="86" t="s">
        <v>221</v>
      </c>
      <c r="E9" s="35">
        <v>143.0</v>
      </c>
      <c r="F9" s="86" t="s">
        <v>365</v>
      </c>
      <c r="G9" s="35" t="s">
        <v>161</v>
      </c>
      <c r="H9" s="85" t="s">
        <v>266</v>
      </c>
      <c r="I9" s="85" t="s">
        <v>203</v>
      </c>
      <c r="J9" s="87">
        <f t="shared" si="1"/>
        <v>170</v>
      </c>
      <c r="K9" s="35" t="s">
        <v>195</v>
      </c>
      <c r="L9" s="88" t="s">
        <v>210</v>
      </c>
      <c r="M9" s="88" t="s">
        <v>206</v>
      </c>
      <c r="N9" s="87">
        <f t="shared" si="2"/>
        <v>80</v>
      </c>
      <c r="O9" s="35" t="s">
        <v>181</v>
      </c>
      <c r="P9" s="88" t="s">
        <v>254</v>
      </c>
      <c r="Q9" s="88" t="s">
        <v>263</v>
      </c>
      <c r="R9" s="87">
        <f t="shared" si="3"/>
        <v>205</v>
      </c>
      <c r="S9" s="90">
        <f t="shared" si="4"/>
        <v>455</v>
      </c>
      <c r="T9" s="91">
        <f t="shared" si="5"/>
        <v>3.181818182</v>
      </c>
      <c r="U9" s="85">
        <f t="shared" si="6"/>
        <v>6</v>
      </c>
    </row>
    <row r="10">
      <c r="A10" s="85">
        <v>8.0</v>
      </c>
      <c r="B10" s="35" t="s">
        <v>63</v>
      </c>
      <c r="C10" s="35" t="s">
        <v>109</v>
      </c>
      <c r="D10" s="86" t="s">
        <v>366</v>
      </c>
      <c r="E10" s="85">
        <v>142.2</v>
      </c>
      <c r="F10" s="86" t="s">
        <v>367</v>
      </c>
      <c r="G10" s="35" t="s">
        <v>197</v>
      </c>
      <c r="H10" s="85" t="s">
        <v>186</v>
      </c>
      <c r="I10" s="85" t="s">
        <v>171</v>
      </c>
      <c r="J10" s="87">
        <f t="shared" si="1"/>
        <v>150</v>
      </c>
      <c r="K10" s="35" t="s">
        <v>172</v>
      </c>
      <c r="L10" s="88" t="s">
        <v>173</v>
      </c>
      <c r="M10" s="88" t="s">
        <v>340</v>
      </c>
      <c r="N10" s="87">
        <f t="shared" si="2"/>
        <v>85</v>
      </c>
      <c r="O10" s="35" t="s">
        <v>235</v>
      </c>
      <c r="P10" s="88" t="s">
        <v>182</v>
      </c>
      <c r="Q10" s="88" t="s">
        <v>320</v>
      </c>
      <c r="R10" s="87">
        <f t="shared" si="3"/>
        <v>200</v>
      </c>
      <c r="S10" s="90">
        <f t="shared" si="4"/>
        <v>435</v>
      </c>
      <c r="T10" s="91">
        <f t="shared" si="5"/>
        <v>3.05907173</v>
      </c>
      <c r="U10" s="85">
        <f t="shared" si="6"/>
        <v>7</v>
      </c>
    </row>
    <row r="11">
      <c r="A11" s="85">
        <v>9.0</v>
      </c>
      <c r="B11" s="35" t="s">
        <v>63</v>
      </c>
      <c r="C11" s="35" t="s">
        <v>109</v>
      </c>
      <c r="D11" s="86" t="s">
        <v>368</v>
      </c>
      <c r="E11" s="35">
        <v>140.5</v>
      </c>
      <c r="F11" s="86" t="s">
        <v>369</v>
      </c>
      <c r="G11" s="35" t="s">
        <v>224</v>
      </c>
      <c r="H11" s="85" t="s">
        <v>235</v>
      </c>
      <c r="I11" s="85" t="s">
        <v>211</v>
      </c>
      <c r="J11" s="87">
        <f t="shared" si="1"/>
        <v>180</v>
      </c>
      <c r="K11" s="35" t="s">
        <v>172</v>
      </c>
      <c r="L11" s="88" t="s">
        <v>206</v>
      </c>
      <c r="M11" s="88" t="s">
        <v>173</v>
      </c>
      <c r="N11" s="87">
        <f t="shared" si="2"/>
        <v>85</v>
      </c>
      <c r="O11" s="35" t="s">
        <v>254</v>
      </c>
      <c r="P11" s="88" t="s">
        <v>190</v>
      </c>
      <c r="Q11" s="88" t="s">
        <v>156</v>
      </c>
      <c r="R11" s="87">
        <f t="shared" si="3"/>
        <v>225</v>
      </c>
      <c r="S11" s="90">
        <f t="shared" si="4"/>
        <v>490</v>
      </c>
      <c r="T11" s="91">
        <f t="shared" si="5"/>
        <v>3.487544484</v>
      </c>
      <c r="U11" s="85">
        <f t="shared" si="6"/>
        <v>7</v>
      </c>
    </row>
    <row r="12">
      <c r="A12" s="85">
        <v>10.0</v>
      </c>
      <c r="B12" s="35" t="s">
        <v>63</v>
      </c>
      <c r="C12" s="35" t="s">
        <v>109</v>
      </c>
      <c r="D12" s="86" t="s">
        <v>370</v>
      </c>
      <c r="E12" s="35">
        <v>143.4</v>
      </c>
      <c r="F12" s="86" t="s">
        <v>371</v>
      </c>
      <c r="G12" s="35" t="s">
        <v>197</v>
      </c>
      <c r="H12" s="85" t="s">
        <v>234</v>
      </c>
      <c r="I12" s="85" t="s">
        <v>316</v>
      </c>
      <c r="J12" s="87">
        <f t="shared" si="1"/>
        <v>130</v>
      </c>
      <c r="K12" s="35" t="s">
        <v>163</v>
      </c>
      <c r="L12" s="88" t="s">
        <v>207</v>
      </c>
      <c r="M12" s="88" t="s">
        <v>207</v>
      </c>
      <c r="N12" s="87">
        <f t="shared" si="2"/>
        <v>90</v>
      </c>
      <c r="O12" s="35" t="s">
        <v>183</v>
      </c>
      <c r="P12" s="88" t="s">
        <v>271</v>
      </c>
      <c r="Q12" s="88" t="s">
        <v>308</v>
      </c>
      <c r="R12" s="87">
        <f t="shared" si="3"/>
        <v>230</v>
      </c>
      <c r="S12" s="90">
        <f t="shared" si="4"/>
        <v>450</v>
      </c>
      <c r="T12" s="91">
        <f t="shared" si="5"/>
        <v>3.138075314</v>
      </c>
      <c r="U12" s="85">
        <f t="shared" si="6"/>
        <v>5</v>
      </c>
    </row>
    <row r="13">
      <c r="A13" s="85">
        <v>11.0</v>
      </c>
      <c r="B13" s="35" t="s">
        <v>63</v>
      </c>
      <c r="C13" s="35" t="s">
        <v>109</v>
      </c>
      <c r="D13" s="86" t="s">
        <v>260</v>
      </c>
      <c r="E13" s="35">
        <v>141.4</v>
      </c>
      <c r="F13" s="86" t="s">
        <v>372</v>
      </c>
      <c r="G13" s="35" t="s">
        <v>179</v>
      </c>
      <c r="H13" s="85" t="s">
        <v>186</v>
      </c>
      <c r="I13" s="85" t="s">
        <v>245</v>
      </c>
      <c r="J13" s="87">
        <f t="shared" si="1"/>
        <v>145</v>
      </c>
      <c r="K13" s="35" t="s">
        <v>173</v>
      </c>
      <c r="L13" s="88" t="s">
        <v>216</v>
      </c>
      <c r="M13" s="88" t="s">
        <v>262</v>
      </c>
      <c r="N13" s="87">
        <f t="shared" si="2"/>
        <v>95</v>
      </c>
      <c r="O13" s="35" t="s">
        <v>190</v>
      </c>
      <c r="P13" s="88" t="s">
        <v>156</v>
      </c>
      <c r="Q13" s="88" t="s">
        <v>273</v>
      </c>
      <c r="R13" s="87">
        <f t="shared" si="3"/>
        <v>225</v>
      </c>
      <c r="S13" s="90">
        <f t="shared" si="4"/>
        <v>465</v>
      </c>
      <c r="T13" s="91">
        <f t="shared" si="5"/>
        <v>3.28854314</v>
      </c>
      <c r="U13" s="85">
        <f t="shared" si="6"/>
        <v>7</v>
      </c>
    </row>
    <row r="14">
      <c r="A14" s="85">
        <v>12.0</v>
      </c>
      <c r="B14" s="35" t="s">
        <v>63</v>
      </c>
      <c r="C14" s="35" t="s">
        <v>109</v>
      </c>
      <c r="D14" s="86" t="s">
        <v>168</v>
      </c>
      <c r="E14" s="35">
        <v>139.4</v>
      </c>
      <c r="F14" s="86" t="s">
        <v>374</v>
      </c>
      <c r="G14" s="35" t="s">
        <v>224</v>
      </c>
      <c r="H14" s="85" t="s">
        <v>150</v>
      </c>
      <c r="I14" s="85" t="s">
        <v>235</v>
      </c>
      <c r="J14" s="87">
        <f t="shared" si="1"/>
        <v>180</v>
      </c>
      <c r="K14" s="35" t="s">
        <v>173</v>
      </c>
      <c r="L14" s="88" t="s">
        <v>216</v>
      </c>
      <c r="M14" s="88" t="s">
        <v>153</v>
      </c>
      <c r="N14" s="87">
        <f t="shared" si="2"/>
        <v>105</v>
      </c>
      <c r="O14" s="35" t="s">
        <v>190</v>
      </c>
      <c r="P14" s="88" t="s">
        <v>167</v>
      </c>
      <c r="Q14" s="88" t="s">
        <v>158</v>
      </c>
      <c r="R14" s="87">
        <f t="shared" si="3"/>
        <v>240</v>
      </c>
      <c r="S14" s="90">
        <f t="shared" si="4"/>
        <v>525</v>
      </c>
      <c r="T14" s="91">
        <f t="shared" si="5"/>
        <v>3.766140603</v>
      </c>
      <c r="U14" s="85">
        <f t="shared" si="6"/>
        <v>9</v>
      </c>
    </row>
    <row r="15">
      <c r="A15" s="85">
        <v>13.0</v>
      </c>
      <c r="B15" s="35" t="s">
        <v>63</v>
      </c>
      <c r="C15" s="35" t="s">
        <v>109</v>
      </c>
      <c r="D15" s="86" t="s">
        <v>375</v>
      </c>
      <c r="E15" s="35">
        <v>136.2</v>
      </c>
      <c r="F15" s="86" t="s">
        <v>376</v>
      </c>
      <c r="G15" s="35" t="s">
        <v>202</v>
      </c>
      <c r="H15" s="85" t="s">
        <v>235</v>
      </c>
      <c r="I15" s="85" t="s">
        <v>175</v>
      </c>
      <c r="J15" s="87">
        <f t="shared" si="1"/>
        <v>195</v>
      </c>
      <c r="K15" s="35" t="s">
        <v>216</v>
      </c>
      <c r="L15" s="88" t="s">
        <v>153</v>
      </c>
      <c r="M15" s="88" t="s">
        <v>227</v>
      </c>
      <c r="N15" s="87">
        <f t="shared" si="2"/>
        <v>105</v>
      </c>
      <c r="O15" s="35" t="s">
        <v>182</v>
      </c>
      <c r="P15" s="88" t="s">
        <v>156</v>
      </c>
      <c r="Q15" s="88" t="s">
        <v>255</v>
      </c>
      <c r="R15" s="87">
        <f t="shared" si="3"/>
        <v>245</v>
      </c>
      <c r="S15" s="90">
        <f t="shared" si="4"/>
        <v>545</v>
      </c>
      <c r="T15" s="91">
        <f t="shared" si="5"/>
        <v>4.001468429</v>
      </c>
      <c r="U15" s="85">
        <f t="shared" si="6"/>
        <v>8</v>
      </c>
    </row>
    <row r="16">
      <c r="A16" s="85">
        <v>14.0</v>
      </c>
      <c r="B16" s="35" t="s">
        <v>63</v>
      </c>
      <c r="C16" s="35" t="s">
        <v>109</v>
      </c>
      <c r="D16" s="86" t="s">
        <v>350</v>
      </c>
      <c r="E16" s="35">
        <v>142.0</v>
      </c>
      <c r="F16" s="86" t="s">
        <v>377</v>
      </c>
      <c r="G16" s="35" t="s">
        <v>186</v>
      </c>
      <c r="H16" s="85" t="s">
        <v>202</v>
      </c>
      <c r="I16" s="85" t="s">
        <v>203</v>
      </c>
      <c r="J16" s="87">
        <f t="shared" si="1"/>
        <v>170</v>
      </c>
      <c r="K16" s="35" t="s">
        <v>154</v>
      </c>
      <c r="L16" s="88" t="s">
        <v>179</v>
      </c>
      <c r="M16" s="88" t="s">
        <v>194</v>
      </c>
      <c r="N16" s="87">
        <f t="shared" si="2"/>
        <v>125</v>
      </c>
      <c r="O16" s="35" t="s">
        <v>182</v>
      </c>
      <c r="P16" s="88" t="s">
        <v>156</v>
      </c>
      <c r="Q16" s="88" t="s">
        <v>176</v>
      </c>
      <c r="R16" s="87">
        <f t="shared" si="3"/>
        <v>250</v>
      </c>
      <c r="S16" s="90">
        <f t="shared" si="4"/>
        <v>545</v>
      </c>
      <c r="T16" s="91">
        <f t="shared" si="5"/>
        <v>3.838028169</v>
      </c>
      <c r="U16" s="85">
        <f t="shared" si="6"/>
        <v>8</v>
      </c>
    </row>
    <row r="17">
      <c r="A17" s="85">
        <v>15.0</v>
      </c>
      <c r="B17" s="35" t="s">
        <v>63</v>
      </c>
      <c r="C17" s="35" t="s">
        <v>109</v>
      </c>
      <c r="D17" s="86" t="s">
        <v>378</v>
      </c>
      <c r="E17" s="35">
        <v>140.8</v>
      </c>
      <c r="F17" s="86" t="s">
        <v>379</v>
      </c>
      <c r="G17" s="35" t="s">
        <v>175</v>
      </c>
      <c r="H17" s="85" t="s">
        <v>301</v>
      </c>
      <c r="I17" s="85" t="s">
        <v>166</v>
      </c>
      <c r="J17" s="87">
        <f t="shared" si="1"/>
        <v>210</v>
      </c>
      <c r="K17" s="35" t="s">
        <v>173</v>
      </c>
      <c r="L17" s="88" t="s">
        <v>216</v>
      </c>
      <c r="M17" s="88" t="s">
        <v>262</v>
      </c>
      <c r="N17" s="87">
        <f t="shared" si="2"/>
        <v>95</v>
      </c>
      <c r="O17" s="35" t="s">
        <v>190</v>
      </c>
      <c r="P17" s="88" t="s">
        <v>167</v>
      </c>
      <c r="Q17" s="88" t="s">
        <v>176</v>
      </c>
      <c r="R17" s="87">
        <f t="shared" si="3"/>
        <v>250</v>
      </c>
      <c r="S17" s="90">
        <f t="shared" si="4"/>
        <v>555</v>
      </c>
      <c r="T17" s="91">
        <f t="shared" si="5"/>
        <v>3.941761364</v>
      </c>
      <c r="U17" s="85">
        <f t="shared" si="6"/>
        <v>7</v>
      </c>
    </row>
    <row r="18">
      <c r="A18" s="85">
        <v>16.0</v>
      </c>
      <c r="B18" s="35" t="s">
        <v>63</v>
      </c>
      <c r="C18" s="35" t="s">
        <v>109</v>
      </c>
      <c r="D18" s="86" t="s">
        <v>159</v>
      </c>
      <c r="E18" s="35">
        <v>143.2</v>
      </c>
      <c r="F18" s="86" t="s">
        <v>381</v>
      </c>
      <c r="G18" s="35" t="s">
        <v>190</v>
      </c>
      <c r="H18" s="85" t="s">
        <v>191</v>
      </c>
      <c r="I18" s="85" t="s">
        <v>308</v>
      </c>
      <c r="J18" s="87">
        <f t="shared" si="1"/>
        <v>230</v>
      </c>
      <c r="K18" s="35" t="s">
        <v>210</v>
      </c>
      <c r="L18" s="88" t="s">
        <v>163</v>
      </c>
      <c r="M18" s="88" t="s">
        <v>340</v>
      </c>
      <c r="N18" s="87">
        <f t="shared" si="2"/>
        <v>90</v>
      </c>
      <c r="O18" s="35" t="s">
        <v>156</v>
      </c>
      <c r="P18" s="88" t="s">
        <v>158</v>
      </c>
      <c r="Q18" s="88" t="s">
        <v>295</v>
      </c>
      <c r="R18" s="87">
        <f t="shared" si="3"/>
        <v>240</v>
      </c>
      <c r="S18" s="90">
        <f t="shared" si="4"/>
        <v>560</v>
      </c>
      <c r="T18" s="91">
        <f t="shared" si="5"/>
        <v>3.910614525</v>
      </c>
      <c r="U18" s="85">
        <f t="shared" si="6"/>
        <v>6</v>
      </c>
    </row>
    <row r="19">
      <c r="A19" s="85">
        <v>17.0</v>
      </c>
      <c r="B19" s="35" t="s">
        <v>63</v>
      </c>
      <c r="C19" s="35" t="s">
        <v>109</v>
      </c>
      <c r="D19" s="86" t="s">
        <v>199</v>
      </c>
      <c r="E19" s="35">
        <v>137.8</v>
      </c>
      <c r="F19" s="86" t="s">
        <v>384</v>
      </c>
      <c r="G19" s="35" t="s">
        <v>254</v>
      </c>
      <c r="H19" s="85" t="s">
        <v>320</v>
      </c>
      <c r="I19" s="85" t="s">
        <v>183</v>
      </c>
      <c r="J19" s="87">
        <f t="shared" si="1"/>
        <v>220</v>
      </c>
      <c r="K19" s="35" t="s">
        <v>216</v>
      </c>
      <c r="L19" s="88" t="s">
        <v>153</v>
      </c>
      <c r="M19" s="88" t="s">
        <v>165</v>
      </c>
      <c r="N19" s="87">
        <f t="shared" si="2"/>
        <v>105</v>
      </c>
      <c r="O19" s="35" t="s">
        <v>156</v>
      </c>
      <c r="P19" s="88" t="s">
        <v>158</v>
      </c>
      <c r="Q19" s="88" t="s">
        <v>295</v>
      </c>
      <c r="R19" s="87">
        <f t="shared" si="3"/>
        <v>240</v>
      </c>
      <c r="S19" s="90">
        <f t="shared" si="4"/>
        <v>565</v>
      </c>
      <c r="T19" s="91">
        <f t="shared" si="5"/>
        <v>4.100145138</v>
      </c>
      <c r="U19" s="85">
        <f t="shared" si="6"/>
        <v>6</v>
      </c>
    </row>
    <row r="20">
      <c r="A20" s="85">
        <v>18.0</v>
      </c>
      <c r="B20" s="35" t="s">
        <v>63</v>
      </c>
      <c r="C20" s="35" t="s">
        <v>109</v>
      </c>
      <c r="D20" s="86" t="s">
        <v>387</v>
      </c>
      <c r="E20" s="35">
        <v>135.2</v>
      </c>
      <c r="F20" s="86" t="s">
        <v>388</v>
      </c>
      <c r="G20" s="35" t="s">
        <v>202</v>
      </c>
      <c r="H20" s="85" t="s">
        <v>150</v>
      </c>
      <c r="I20" s="85" t="s">
        <v>236</v>
      </c>
      <c r="J20" s="87">
        <f t="shared" si="1"/>
        <v>175</v>
      </c>
      <c r="K20" s="35" t="s">
        <v>173</v>
      </c>
      <c r="L20" s="88" t="s">
        <v>340</v>
      </c>
      <c r="M20" s="88" t="s">
        <v>340</v>
      </c>
      <c r="N20" s="87">
        <f t="shared" si="2"/>
        <v>85</v>
      </c>
      <c r="O20" s="35" t="s">
        <v>156</v>
      </c>
      <c r="P20" s="88" t="s">
        <v>158</v>
      </c>
      <c r="Q20" s="88" t="s">
        <v>328</v>
      </c>
      <c r="R20" s="87">
        <f t="shared" si="3"/>
        <v>260</v>
      </c>
      <c r="S20" s="90">
        <f t="shared" si="4"/>
        <v>520</v>
      </c>
      <c r="T20" s="91">
        <f t="shared" si="5"/>
        <v>3.846153846</v>
      </c>
      <c r="U20" s="85">
        <f t="shared" si="6"/>
        <v>6</v>
      </c>
    </row>
    <row r="21">
      <c r="A21" s="85">
        <v>19.0</v>
      </c>
      <c r="B21" s="35" t="s">
        <v>63</v>
      </c>
      <c r="C21" s="35" t="s">
        <v>109</v>
      </c>
      <c r="D21" s="86" t="s">
        <v>168</v>
      </c>
      <c r="E21" s="35">
        <v>134.4</v>
      </c>
      <c r="F21" s="86" t="s">
        <v>391</v>
      </c>
      <c r="G21" s="35" t="s">
        <v>245</v>
      </c>
      <c r="H21" s="85" t="s">
        <v>202</v>
      </c>
      <c r="I21" s="85" t="s">
        <v>161</v>
      </c>
      <c r="J21" s="87">
        <f t="shared" si="1"/>
        <v>160</v>
      </c>
      <c r="K21" s="35" t="s">
        <v>164</v>
      </c>
      <c r="L21" s="88" t="s">
        <v>153</v>
      </c>
      <c r="M21" s="88" t="s">
        <v>154</v>
      </c>
      <c r="N21" s="87">
        <f t="shared" si="2"/>
        <v>110</v>
      </c>
      <c r="O21" s="35" t="s">
        <v>167</v>
      </c>
      <c r="P21" s="88" t="s">
        <v>255</v>
      </c>
      <c r="Q21" s="88" t="s">
        <v>328</v>
      </c>
      <c r="R21" s="87">
        <f t="shared" si="3"/>
        <v>260</v>
      </c>
      <c r="S21" s="90">
        <f t="shared" si="4"/>
        <v>530</v>
      </c>
      <c r="T21" s="91">
        <f t="shared" si="5"/>
        <v>3.943452381</v>
      </c>
      <c r="U21" s="85">
        <f t="shared" si="6"/>
        <v>9</v>
      </c>
    </row>
    <row r="22">
      <c r="A22" s="85">
        <v>20.0</v>
      </c>
      <c r="B22" s="35" t="s">
        <v>63</v>
      </c>
      <c r="C22" s="35" t="s">
        <v>109</v>
      </c>
      <c r="D22" s="86" t="s">
        <v>184</v>
      </c>
      <c r="E22" s="35">
        <v>144.8</v>
      </c>
      <c r="F22" s="86" t="s">
        <v>393</v>
      </c>
      <c r="G22" s="35" t="s">
        <v>151</v>
      </c>
      <c r="H22" s="85" t="s">
        <v>175</v>
      </c>
      <c r="I22" s="85" t="s">
        <v>166</v>
      </c>
      <c r="J22" s="87">
        <f t="shared" si="1"/>
        <v>210</v>
      </c>
      <c r="K22" s="35" t="s">
        <v>173</v>
      </c>
      <c r="L22" s="88" t="s">
        <v>163</v>
      </c>
      <c r="M22" s="88" t="s">
        <v>340</v>
      </c>
      <c r="N22" s="87">
        <f t="shared" si="2"/>
        <v>90</v>
      </c>
      <c r="O22" s="35" t="s">
        <v>167</v>
      </c>
      <c r="P22" s="88" t="s">
        <v>176</v>
      </c>
      <c r="Q22" s="88" t="s">
        <v>293</v>
      </c>
      <c r="R22" s="87">
        <f t="shared" si="3"/>
        <v>265</v>
      </c>
      <c r="S22" s="90">
        <f t="shared" si="4"/>
        <v>565</v>
      </c>
      <c r="T22" s="91">
        <f t="shared" si="5"/>
        <v>3.901933702</v>
      </c>
      <c r="U22" s="85">
        <f t="shared" si="6"/>
        <v>8</v>
      </c>
    </row>
    <row r="23">
      <c r="A23" s="85">
        <v>21.0</v>
      </c>
      <c r="B23" s="35" t="s">
        <v>63</v>
      </c>
      <c r="C23" s="35" t="s">
        <v>109</v>
      </c>
      <c r="D23" s="86" t="s">
        <v>199</v>
      </c>
      <c r="E23" s="35">
        <v>142.2</v>
      </c>
      <c r="F23" s="86" t="s">
        <v>397</v>
      </c>
      <c r="G23" s="35" t="s">
        <v>151</v>
      </c>
      <c r="H23" s="85" t="s">
        <v>175</v>
      </c>
      <c r="I23" s="85" t="s">
        <v>254</v>
      </c>
      <c r="J23" s="87">
        <f t="shared" si="1"/>
        <v>205</v>
      </c>
      <c r="K23" s="35" t="s">
        <v>172</v>
      </c>
      <c r="L23" s="88" t="s">
        <v>206</v>
      </c>
      <c r="M23" s="88" t="s">
        <v>206</v>
      </c>
      <c r="N23" s="87">
        <f t="shared" si="2"/>
        <v>75</v>
      </c>
      <c r="O23" s="35" t="s">
        <v>156</v>
      </c>
      <c r="P23" s="88" t="s">
        <v>176</v>
      </c>
      <c r="Q23" s="88" t="s">
        <v>329</v>
      </c>
      <c r="R23" s="87">
        <f t="shared" si="3"/>
        <v>270</v>
      </c>
      <c r="S23" s="90">
        <f t="shared" si="4"/>
        <v>550</v>
      </c>
      <c r="T23" s="91">
        <f t="shared" si="5"/>
        <v>3.867791842</v>
      </c>
      <c r="U23" s="85">
        <f t="shared" si="6"/>
        <v>7</v>
      </c>
    </row>
    <row r="24">
      <c r="A24" s="85">
        <v>22.0</v>
      </c>
      <c r="B24" s="35" t="s">
        <v>63</v>
      </c>
      <c r="C24" s="35"/>
      <c r="D24" s="86" t="s">
        <v>240</v>
      </c>
      <c r="E24" s="85">
        <v>137.2</v>
      </c>
      <c r="F24" s="86" t="s">
        <v>400</v>
      </c>
      <c r="G24" s="35" t="s">
        <v>182</v>
      </c>
      <c r="H24" s="85" t="s">
        <v>190</v>
      </c>
      <c r="I24" s="85" t="s">
        <v>156</v>
      </c>
      <c r="J24" s="87">
        <f t="shared" si="1"/>
        <v>225</v>
      </c>
      <c r="K24" s="35" t="s">
        <v>163</v>
      </c>
      <c r="L24" s="88" t="s">
        <v>216</v>
      </c>
      <c r="M24" s="88" t="s">
        <v>164</v>
      </c>
      <c r="N24" s="87">
        <f t="shared" si="2"/>
        <v>100</v>
      </c>
      <c r="O24" s="35" t="s">
        <v>308</v>
      </c>
      <c r="P24" s="88" t="s">
        <v>324</v>
      </c>
      <c r="Q24" s="88" t="s">
        <v>325</v>
      </c>
      <c r="R24" s="87">
        <f t="shared" si="3"/>
        <v>275</v>
      </c>
      <c r="S24" s="90">
        <f t="shared" si="4"/>
        <v>600</v>
      </c>
      <c r="T24" s="91">
        <f t="shared" si="5"/>
        <v>4.373177843</v>
      </c>
      <c r="U24" s="85">
        <f t="shared" si="6"/>
        <v>9</v>
      </c>
    </row>
    <row r="25">
      <c r="A25" s="85">
        <v>23.0</v>
      </c>
      <c r="B25" s="35" t="s">
        <v>63</v>
      </c>
      <c r="C25" s="35" t="s">
        <v>109</v>
      </c>
      <c r="D25" s="86" t="s">
        <v>260</v>
      </c>
      <c r="E25" s="35">
        <v>137.2</v>
      </c>
      <c r="F25" s="86" t="s">
        <v>404</v>
      </c>
      <c r="G25" s="35" t="s">
        <v>150</v>
      </c>
      <c r="H25" s="85" t="s">
        <v>182</v>
      </c>
      <c r="I25" s="85" t="s">
        <v>183</v>
      </c>
      <c r="J25" s="87">
        <f t="shared" si="1"/>
        <v>220</v>
      </c>
      <c r="K25" s="35" t="s">
        <v>173</v>
      </c>
      <c r="L25" s="88" t="s">
        <v>163</v>
      </c>
      <c r="M25" s="88" t="s">
        <v>207</v>
      </c>
      <c r="N25" s="87">
        <f t="shared" si="2"/>
        <v>90</v>
      </c>
      <c r="O25" s="35" t="s">
        <v>324</v>
      </c>
      <c r="P25" s="88" t="s">
        <v>325</v>
      </c>
      <c r="Q25" s="88" t="s">
        <v>399</v>
      </c>
      <c r="R25" s="87">
        <f t="shared" si="3"/>
        <v>285</v>
      </c>
      <c r="S25" s="90">
        <f t="shared" si="4"/>
        <v>595</v>
      </c>
      <c r="T25" s="91">
        <f t="shared" si="5"/>
        <v>4.336734694</v>
      </c>
      <c r="U25" s="85">
        <f t="shared" si="6"/>
        <v>8</v>
      </c>
    </row>
    <row r="26">
      <c r="A26" s="85">
        <v>24.0</v>
      </c>
      <c r="B26" s="35" t="s">
        <v>63</v>
      </c>
      <c r="C26" s="35" t="s">
        <v>109</v>
      </c>
      <c r="D26" s="86" t="s">
        <v>409</v>
      </c>
      <c r="E26" s="85">
        <v>134.8</v>
      </c>
      <c r="F26" s="86" t="s">
        <v>410</v>
      </c>
      <c r="G26" s="35" t="s">
        <v>156</v>
      </c>
      <c r="H26" s="85" t="s">
        <v>167</v>
      </c>
      <c r="I26" s="85" t="s">
        <v>295</v>
      </c>
      <c r="J26" s="87">
        <f t="shared" si="1"/>
        <v>235</v>
      </c>
      <c r="K26" s="35" t="s">
        <v>164</v>
      </c>
      <c r="L26" s="88" t="s">
        <v>154</v>
      </c>
      <c r="M26" s="88" t="s">
        <v>193</v>
      </c>
      <c r="N26" s="87">
        <f t="shared" si="2"/>
        <v>115</v>
      </c>
      <c r="O26" s="35" t="s">
        <v>325</v>
      </c>
      <c r="P26" s="88" t="s">
        <v>406</v>
      </c>
      <c r="Q26" s="88" t="s">
        <v>407</v>
      </c>
      <c r="R26" s="87">
        <f t="shared" si="3"/>
        <v>315</v>
      </c>
      <c r="S26" s="90">
        <f t="shared" si="4"/>
        <v>665</v>
      </c>
      <c r="T26" s="91">
        <f t="shared" si="5"/>
        <v>4.933234421</v>
      </c>
      <c r="U26" s="85">
        <f t="shared" si="6"/>
        <v>8</v>
      </c>
    </row>
    <row r="27">
      <c r="A27" s="85">
        <v>25.0</v>
      </c>
      <c r="B27" s="35" t="s">
        <v>63</v>
      </c>
      <c r="C27" s="35" t="s">
        <v>109</v>
      </c>
      <c r="D27" s="86" t="s">
        <v>287</v>
      </c>
      <c r="E27" s="85">
        <v>138.0</v>
      </c>
      <c r="F27" s="86" t="s">
        <v>413</v>
      </c>
      <c r="G27" s="35" t="s">
        <v>208</v>
      </c>
      <c r="H27" s="85" t="s">
        <v>254</v>
      </c>
      <c r="I27" s="85" t="s">
        <v>308</v>
      </c>
      <c r="J27" s="87">
        <f t="shared" si="1"/>
        <v>230</v>
      </c>
      <c r="K27" s="35" t="s">
        <v>193</v>
      </c>
      <c r="L27" s="88" t="s">
        <v>179</v>
      </c>
      <c r="M27" s="88" t="s">
        <v>180</v>
      </c>
      <c r="N27" s="87">
        <f t="shared" si="2"/>
        <v>125</v>
      </c>
      <c r="O27" s="35" t="s">
        <v>414</v>
      </c>
      <c r="P27" s="88" t="s">
        <v>416</v>
      </c>
      <c r="Q27" s="88" t="s">
        <v>417</v>
      </c>
      <c r="R27" s="87">
        <f t="shared" si="3"/>
        <v>355</v>
      </c>
      <c r="S27" s="90">
        <f t="shared" si="4"/>
        <v>710</v>
      </c>
      <c r="T27" s="91">
        <f t="shared" si="5"/>
        <v>5.144927536</v>
      </c>
      <c r="U27" s="85">
        <f t="shared" si="6"/>
        <v>7</v>
      </c>
    </row>
    <row r="28">
      <c r="A28" s="85">
        <v>26.0</v>
      </c>
      <c r="B28" s="35"/>
      <c r="C28" s="65"/>
      <c r="D28" s="76"/>
      <c r="E28" s="93"/>
      <c r="F28" s="76"/>
      <c r="G28" s="35"/>
      <c r="H28" s="85"/>
      <c r="I28" s="85"/>
      <c r="J28" s="87" t="str">
        <f t="shared" si="1"/>
        <v/>
      </c>
      <c r="K28" s="35"/>
      <c r="L28" s="88"/>
      <c r="M28" s="88"/>
      <c r="N28" s="87" t="str">
        <f t="shared" si="2"/>
        <v/>
      </c>
      <c r="O28" s="35"/>
      <c r="P28" s="88"/>
      <c r="Q28" s="88"/>
      <c r="R28" s="87" t="str">
        <f t="shared" si="3"/>
        <v/>
      </c>
      <c r="S28" s="90" t="str">
        <f t="shared" si="4"/>
        <v/>
      </c>
      <c r="T28" s="91" t="str">
        <f t="shared" si="5"/>
        <v/>
      </c>
      <c r="U28" s="85">
        <f t="shared" si="6"/>
        <v>0</v>
      </c>
    </row>
    <row r="29">
      <c r="A29" s="85">
        <v>27.0</v>
      </c>
      <c r="B29" s="35"/>
      <c r="C29" s="65"/>
      <c r="D29" s="76"/>
      <c r="E29" s="93"/>
      <c r="F29" s="76"/>
      <c r="G29" s="35"/>
      <c r="H29" s="85"/>
      <c r="I29" s="85"/>
      <c r="J29" s="87" t="str">
        <f t="shared" si="1"/>
        <v/>
      </c>
      <c r="K29" s="35"/>
      <c r="L29" s="88"/>
      <c r="M29" s="88"/>
      <c r="N29" s="87" t="str">
        <f t="shared" si="2"/>
        <v/>
      </c>
      <c r="O29" s="35"/>
      <c r="P29" s="88"/>
      <c r="Q29" s="88"/>
      <c r="R29" s="87" t="str">
        <f t="shared" si="3"/>
        <v/>
      </c>
      <c r="S29" s="90" t="str">
        <f t="shared" si="4"/>
        <v/>
      </c>
      <c r="T29" s="91" t="str">
        <f t="shared" si="5"/>
        <v/>
      </c>
      <c r="U29" s="85">
        <f t="shared" si="6"/>
        <v>0</v>
      </c>
    </row>
    <row r="30">
      <c r="A30" s="85">
        <v>28.0</v>
      </c>
      <c r="B30" s="35"/>
      <c r="C30" s="65"/>
      <c r="D30" s="76"/>
      <c r="E30" s="93"/>
      <c r="F30" s="76"/>
      <c r="G30" s="35"/>
      <c r="H30" s="85"/>
      <c r="I30" s="85"/>
      <c r="J30" s="87" t="str">
        <f t="shared" si="1"/>
        <v/>
      </c>
      <c r="K30" s="35"/>
      <c r="L30" s="88"/>
      <c r="M30" s="88"/>
      <c r="N30" s="87" t="str">
        <f t="shared" si="2"/>
        <v/>
      </c>
      <c r="O30" s="35"/>
      <c r="P30" s="88"/>
      <c r="Q30" s="88"/>
      <c r="R30" s="87" t="str">
        <f t="shared" si="3"/>
        <v/>
      </c>
      <c r="S30" s="90" t="str">
        <f t="shared" si="4"/>
        <v/>
      </c>
      <c r="T30" s="91" t="str">
        <f t="shared" si="5"/>
        <v/>
      </c>
      <c r="U30" s="85">
        <f t="shared" si="6"/>
        <v>0</v>
      </c>
    </row>
    <row r="31">
      <c r="A31" s="85">
        <v>29.0</v>
      </c>
      <c r="B31" s="35"/>
      <c r="C31" s="65"/>
      <c r="D31" s="76"/>
      <c r="E31" s="93"/>
      <c r="F31" s="76"/>
      <c r="G31" s="35"/>
      <c r="H31" s="85"/>
      <c r="I31" s="85"/>
      <c r="J31" s="87" t="str">
        <f t="shared" si="1"/>
        <v/>
      </c>
      <c r="K31" s="35"/>
      <c r="L31" s="88"/>
      <c r="M31" s="88"/>
      <c r="N31" s="87" t="str">
        <f t="shared" si="2"/>
        <v/>
      </c>
      <c r="O31" s="35"/>
      <c r="P31" s="88"/>
      <c r="Q31" s="88"/>
      <c r="R31" s="87" t="str">
        <f t="shared" si="3"/>
        <v/>
      </c>
      <c r="S31" s="90" t="str">
        <f t="shared" si="4"/>
        <v/>
      </c>
      <c r="T31" s="91" t="str">
        <f t="shared" si="5"/>
        <v/>
      </c>
      <c r="U31" s="85">
        <f t="shared" si="6"/>
        <v>0</v>
      </c>
    </row>
    <row r="32">
      <c r="A32" s="85">
        <v>30.0</v>
      </c>
      <c r="B32" s="35"/>
      <c r="C32" s="65"/>
      <c r="D32" s="76"/>
      <c r="E32" s="93"/>
      <c r="F32" s="76"/>
      <c r="G32" s="35"/>
      <c r="H32" s="85"/>
      <c r="I32" s="85"/>
      <c r="J32" s="87" t="str">
        <f t="shared" si="1"/>
        <v/>
      </c>
      <c r="K32" s="35"/>
      <c r="L32" s="88"/>
      <c r="M32" s="88"/>
      <c r="N32" s="87" t="str">
        <f t="shared" si="2"/>
        <v/>
      </c>
      <c r="O32" s="35"/>
      <c r="P32" s="88"/>
      <c r="Q32" s="88"/>
      <c r="R32" s="87" t="str">
        <f t="shared" si="3"/>
        <v/>
      </c>
      <c r="S32" s="90" t="str">
        <f t="shared" si="4"/>
        <v/>
      </c>
      <c r="T32" s="91" t="str">
        <f t="shared" si="5"/>
        <v/>
      </c>
      <c r="U32" s="85">
        <f t="shared" si="6"/>
        <v>0</v>
      </c>
    </row>
    <row r="33">
      <c r="A33" s="85">
        <v>31.0</v>
      </c>
      <c r="B33" s="35"/>
      <c r="C33" s="65"/>
      <c r="D33" s="76"/>
      <c r="E33" s="93"/>
      <c r="F33" s="76"/>
      <c r="G33" s="35"/>
      <c r="H33" s="85"/>
      <c r="I33" s="85"/>
      <c r="J33" s="87" t="str">
        <f t="shared" si="1"/>
        <v/>
      </c>
      <c r="K33" s="35"/>
      <c r="L33" s="88"/>
      <c r="M33" s="88"/>
      <c r="N33" s="87" t="str">
        <f t="shared" si="2"/>
        <v/>
      </c>
      <c r="O33" s="35"/>
      <c r="P33" s="88"/>
      <c r="Q33" s="88"/>
      <c r="R33" s="87" t="str">
        <f t="shared" si="3"/>
        <v/>
      </c>
      <c r="S33" s="90" t="str">
        <f t="shared" si="4"/>
        <v/>
      </c>
      <c r="T33" s="91" t="str">
        <f t="shared" si="5"/>
        <v/>
      </c>
      <c r="U33" s="85">
        <f t="shared" si="6"/>
        <v>0</v>
      </c>
    </row>
    <row r="34">
      <c r="A34" s="85">
        <v>32.0</v>
      </c>
      <c r="B34" s="35"/>
      <c r="C34" s="65"/>
      <c r="D34" s="76"/>
      <c r="E34" s="93"/>
      <c r="F34" s="76"/>
      <c r="G34" s="35"/>
      <c r="H34" s="85"/>
      <c r="I34" s="85"/>
      <c r="J34" s="87" t="str">
        <f t="shared" si="1"/>
        <v/>
      </c>
      <c r="K34" s="35"/>
      <c r="L34" s="88"/>
      <c r="M34" s="88"/>
      <c r="N34" s="87" t="str">
        <f t="shared" si="2"/>
        <v/>
      </c>
      <c r="O34" s="35"/>
      <c r="P34" s="88"/>
      <c r="Q34" s="88"/>
      <c r="R34" s="87" t="str">
        <f t="shared" si="3"/>
        <v/>
      </c>
      <c r="S34" s="90" t="str">
        <f t="shared" si="4"/>
        <v/>
      </c>
      <c r="T34" s="91" t="str">
        <f t="shared" si="5"/>
        <v/>
      </c>
      <c r="U34" s="85">
        <f t="shared" si="6"/>
        <v>0</v>
      </c>
    </row>
    <row r="35">
      <c r="A35" s="85">
        <v>33.0</v>
      </c>
      <c r="B35" s="35"/>
      <c r="C35" s="65"/>
      <c r="D35" s="76"/>
      <c r="E35" s="93"/>
      <c r="F35" s="76"/>
      <c r="G35" s="35"/>
      <c r="H35" s="85"/>
      <c r="I35" s="85"/>
      <c r="J35" s="87" t="str">
        <f t="shared" si="1"/>
        <v/>
      </c>
      <c r="K35" s="35"/>
      <c r="L35" s="88"/>
      <c r="M35" s="88"/>
      <c r="N35" s="87" t="str">
        <f t="shared" si="2"/>
        <v/>
      </c>
      <c r="O35" s="35"/>
      <c r="P35" s="88"/>
      <c r="Q35" s="88"/>
      <c r="R35" s="87" t="str">
        <f t="shared" si="3"/>
        <v/>
      </c>
      <c r="S35" s="90" t="str">
        <f t="shared" si="4"/>
        <v/>
      </c>
      <c r="T35" s="91" t="str">
        <f t="shared" si="5"/>
        <v/>
      </c>
      <c r="U35" s="85">
        <f t="shared" si="6"/>
        <v>0</v>
      </c>
    </row>
    <row r="36">
      <c r="A36" s="85">
        <v>34.0</v>
      </c>
      <c r="B36" s="35"/>
      <c r="C36" s="65"/>
      <c r="D36" s="76"/>
      <c r="E36" s="93"/>
      <c r="F36" s="76"/>
      <c r="G36" s="35"/>
      <c r="H36" s="85"/>
      <c r="I36" s="85"/>
      <c r="J36" s="87" t="str">
        <f t="shared" si="1"/>
        <v/>
      </c>
      <c r="K36" s="35"/>
      <c r="L36" s="88"/>
      <c r="M36" s="88"/>
      <c r="N36" s="87" t="str">
        <f t="shared" si="2"/>
        <v/>
      </c>
      <c r="O36" s="35"/>
      <c r="P36" s="88"/>
      <c r="Q36" s="88"/>
      <c r="R36" s="87" t="str">
        <f t="shared" si="3"/>
        <v/>
      </c>
      <c r="S36" s="90" t="str">
        <f t="shared" si="4"/>
        <v/>
      </c>
      <c r="T36" s="91" t="str">
        <f t="shared" si="5"/>
        <v/>
      </c>
      <c r="U36" s="85">
        <f t="shared" si="6"/>
        <v>0</v>
      </c>
    </row>
    <row r="37">
      <c r="A37" s="85">
        <v>35.0</v>
      </c>
      <c r="B37" s="35"/>
      <c r="C37" s="65"/>
      <c r="D37" s="76"/>
      <c r="E37" s="93"/>
      <c r="F37" s="76"/>
      <c r="G37" s="35"/>
      <c r="H37" s="85"/>
      <c r="I37" s="85"/>
      <c r="J37" s="87" t="str">
        <f t="shared" si="1"/>
        <v/>
      </c>
      <c r="K37" s="35"/>
      <c r="L37" s="88"/>
      <c r="M37" s="88"/>
      <c r="N37" s="87" t="str">
        <f t="shared" si="2"/>
        <v/>
      </c>
      <c r="O37" s="35"/>
      <c r="P37" s="88"/>
      <c r="Q37" s="88"/>
      <c r="R37" s="87" t="str">
        <f t="shared" si="3"/>
        <v/>
      </c>
      <c r="S37" s="90" t="str">
        <f t="shared" si="4"/>
        <v/>
      </c>
      <c r="T37" s="91" t="str">
        <f t="shared" si="5"/>
        <v/>
      </c>
      <c r="U37" s="85">
        <f t="shared" si="6"/>
        <v>0</v>
      </c>
    </row>
    <row r="38">
      <c r="A38" s="85">
        <v>36.0</v>
      </c>
      <c r="B38" s="35"/>
      <c r="C38" s="65"/>
      <c r="D38" s="76"/>
      <c r="E38" s="93"/>
      <c r="F38" s="76"/>
      <c r="G38" s="35"/>
      <c r="H38" s="85"/>
      <c r="I38" s="85"/>
      <c r="J38" s="87" t="str">
        <f t="shared" si="1"/>
        <v/>
      </c>
      <c r="K38" s="35"/>
      <c r="L38" s="88"/>
      <c r="M38" s="88"/>
      <c r="N38" s="87" t="str">
        <f t="shared" si="2"/>
        <v/>
      </c>
      <c r="O38" s="35"/>
      <c r="P38" s="88"/>
      <c r="Q38" s="88"/>
      <c r="R38" s="87" t="str">
        <f t="shared" si="3"/>
        <v/>
      </c>
      <c r="S38" s="90" t="str">
        <f t="shared" si="4"/>
        <v/>
      </c>
      <c r="T38" s="91" t="str">
        <f t="shared" si="5"/>
        <v/>
      </c>
      <c r="U38" s="85">
        <f t="shared" si="6"/>
        <v>0</v>
      </c>
    </row>
    <row r="39">
      <c r="A39" s="85">
        <v>37.0</v>
      </c>
      <c r="B39" s="35"/>
      <c r="C39" s="65"/>
      <c r="D39" s="76"/>
      <c r="E39" s="93"/>
      <c r="F39" s="76"/>
      <c r="G39" s="35"/>
      <c r="H39" s="85"/>
      <c r="I39" s="85"/>
      <c r="J39" s="87" t="str">
        <f t="shared" si="1"/>
        <v/>
      </c>
      <c r="K39" s="35"/>
      <c r="L39" s="88"/>
      <c r="M39" s="88"/>
      <c r="N39" s="87" t="str">
        <f t="shared" si="2"/>
        <v/>
      </c>
      <c r="O39" s="35"/>
      <c r="P39" s="88"/>
      <c r="Q39" s="88"/>
      <c r="R39" s="87" t="str">
        <f t="shared" si="3"/>
        <v/>
      </c>
      <c r="S39" s="90" t="str">
        <f t="shared" si="4"/>
        <v/>
      </c>
      <c r="T39" s="91" t="str">
        <f t="shared" si="5"/>
        <v/>
      </c>
      <c r="U39" s="85">
        <f t="shared" si="6"/>
        <v>0</v>
      </c>
    </row>
    <row r="40">
      <c r="A40" s="85">
        <v>38.0</v>
      </c>
      <c r="B40" s="35"/>
      <c r="C40" s="65"/>
      <c r="D40" s="76"/>
      <c r="E40" s="93"/>
      <c r="F40" s="76"/>
      <c r="G40" s="35"/>
      <c r="H40" s="85"/>
      <c r="I40" s="85"/>
      <c r="J40" s="87" t="str">
        <f t="shared" si="1"/>
        <v/>
      </c>
      <c r="K40" s="35"/>
      <c r="L40" s="88"/>
      <c r="M40" s="88"/>
      <c r="N40" s="87" t="str">
        <f t="shared" si="2"/>
        <v/>
      </c>
      <c r="O40" s="35"/>
      <c r="P40" s="88"/>
      <c r="Q40" s="88"/>
      <c r="R40" s="87" t="str">
        <f t="shared" si="3"/>
        <v/>
      </c>
      <c r="S40" s="90" t="str">
        <f t="shared" si="4"/>
        <v/>
      </c>
      <c r="T40" s="91" t="str">
        <f t="shared" si="5"/>
        <v/>
      </c>
      <c r="U40" s="85">
        <f t="shared" si="6"/>
        <v>0</v>
      </c>
    </row>
    <row r="41">
      <c r="A41" s="85">
        <v>39.0</v>
      </c>
      <c r="B41" s="35"/>
      <c r="C41" s="65"/>
      <c r="D41" s="76"/>
      <c r="E41" s="93"/>
      <c r="F41" s="76"/>
      <c r="G41" s="35"/>
      <c r="H41" s="85"/>
      <c r="I41" s="85"/>
      <c r="J41" s="87" t="str">
        <f t="shared" si="1"/>
        <v/>
      </c>
      <c r="K41" s="35"/>
      <c r="L41" s="88"/>
      <c r="M41" s="88"/>
      <c r="N41" s="87" t="str">
        <f t="shared" si="2"/>
        <v/>
      </c>
      <c r="O41" s="35"/>
      <c r="P41" s="88"/>
      <c r="Q41" s="88"/>
      <c r="R41" s="87" t="str">
        <f t="shared" si="3"/>
        <v/>
      </c>
      <c r="S41" s="90" t="str">
        <f t="shared" si="4"/>
        <v/>
      </c>
      <c r="T41" s="91" t="str">
        <f t="shared" si="5"/>
        <v/>
      </c>
      <c r="U41" s="85">
        <f t="shared" si="6"/>
        <v>0</v>
      </c>
    </row>
    <row r="42">
      <c r="A42" s="85">
        <v>40.0</v>
      </c>
      <c r="B42" s="35"/>
      <c r="C42" s="65"/>
      <c r="D42" s="76"/>
      <c r="E42" s="93"/>
      <c r="F42" s="76"/>
      <c r="G42" s="35"/>
      <c r="H42" s="85"/>
      <c r="I42" s="85"/>
      <c r="J42" s="87" t="str">
        <f t="shared" si="1"/>
        <v/>
      </c>
      <c r="K42" s="35"/>
      <c r="L42" s="88"/>
      <c r="M42" s="88"/>
      <c r="N42" s="87" t="str">
        <f t="shared" si="2"/>
        <v/>
      </c>
      <c r="O42" s="35"/>
      <c r="P42" s="88"/>
      <c r="Q42" s="88"/>
      <c r="R42" s="87" t="str">
        <f t="shared" si="3"/>
        <v/>
      </c>
      <c r="S42" s="90" t="str">
        <f t="shared" si="4"/>
        <v/>
      </c>
      <c r="T42" s="91" t="str">
        <f t="shared" si="5"/>
        <v/>
      </c>
      <c r="U42" s="85">
        <f t="shared" si="6"/>
        <v>0</v>
      </c>
    </row>
    <row r="43">
      <c r="A43" s="85">
        <v>41.0</v>
      </c>
      <c r="B43" s="35"/>
      <c r="C43" s="65"/>
      <c r="D43" s="76"/>
      <c r="E43" s="93"/>
      <c r="F43" s="76"/>
      <c r="G43" s="35"/>
      <c r="H43" s="85"/>
      <c r="I43" s="85"/>
      <c r="J43" s="87" t="str">
        <f t="shared" si="1"/>
        <v/>
      </c>
      <c r="K43" s="35"/>
      <c r="L43" s="88"/>
      <c r="M43" s="88"/>
      <c r="N43" s="87" t="str">
        <f t="shared" si="2"/>
        <v/>
      </c>
      <c r="O43" s="35"/>
      <c r="P43" s="88"/>
      <c r="Q43" s="88"/>
      <c r="R43" s="87" t="str">
        <f t="shared" si="3"/>
        <v/>
      </c>
      <c r="S43" s="90" t="str">
        <f t="shared" si="4"/>
        <v/>
      </c>
      <c r="T43" s="91" t="str">
        <f t="shared" si="5"/>
        <v/>
      </c>
      <c r="U43" s="85">
        <f t="shared" si="6"/>
        <v>0</v>
      </c>
    </row>
    <row r="44">
      <c r="A44" s="85">
        <v>42.0</v>
      </c>
      <c r="B44" s="35"/>
      <c r="C44" s="65"/>
      <c r="D44" s="76"/>
      <c r="E44" s="93"/>
      <c r="F44" s="76"/>
      <c r="G44" s="35"/>
      <c r="H44" s="85"/>
      <c r="I44" s="85"/>
      <c r="J44" s="87" t="str">
        <f t="shared" si="1"/>
        <v/>
      </c>
      <c r="K44" s="35"/>
      <c r="L44" s="88"/>
      <c r="M44" s="88"/>
      <c r="N44" s="87" t="str">
        <f t="shared" si="2"/>
        <v/>
      </c>
      <c r="O44" s="35"/>
      <c r="P44" s="88"/>
      <c r="Q44" s="88"/>
      <c r="R44" s="87" t="str">
        <f t="shared" si="3"/>
        <v/>
      </c>
      <c r="S44" s="90" t="str">
        <f t="shared" si="4"/>
        <v/>
      </c>
      <c r="T44" s="91" t="str">
        <f t="shared" si="5"/>
        <v/>
      </c>
      <c r="U44" s="85">
        <f t="shared" si="6"/>
        <v>0</v>
      </c>
    </row>
    <row r="45">
      <c r="A45" s="85">
        <v>43.0</v>
      </c>
      <c r="B45" s="35"/>
      <c r="C45" s="65"/>
      <c r="D45" s="76"/>
      <c r="E45" s="93"/>
      <c r="F45" s="76"/>
      <c r="G45" s="35"/>
      <c r="H45" s="85"/>
      <c r="I45" s="85"/>
      <c r="J45" s="87" t="str">
        <f t="shared" si="1"/>
        <v/>
      </c>
      <c r="K45" s="35"/>
      <c r="L45" s="88"/>
      <c r="M45" s="88"/>
      <c r="N45" s="87" t="str">
        <f t="shared" si="2"/>
        <v/>
      </c>
      <c r="O45" s="35"/>
      <c r="P45" s="88"/>
      <c r="Q45" s="88"/>
      <c r="R45" s="87" t="str">
        <f t="shared" si="3"/>
        <v/>
      </c>
      <c r="S45" s="90" t="str">
        <f t="shared" si="4"/>
        <v/>
      </c>
      <c r="T45" s="91" t="str">
        <f t="shared" si="5"/>
        <v/>
      </c>
      <c r="U45" s="85">
        <f t="shared" si="6"/>
        <v>0</v>
      </c>
    </row>
    <row r="46">
      <c r="A46" s="85">
        <v>44.0</v>
      </c>
      <c r="B46" s="35"/>
      <c r="C46" s="65"/>
      <c r="D46" s="76"/>
      <c r="E46" s="93"/>
      <c r="F46" s="76"/>
      <c r="G46" s="35"/>
      <c r="H46" s="85"/>
      <c r="I46" s="85"/>
      <c r="J46" s="87" t="str">
        <f t="shared" si="1"/>
        <v/>
      </c>
      <c r="K46" s="35"/>
      <c r="L46" s="88"/>
      <c r="M46" s="88"/>
      <c r="N46" s="87" t="str">
        <f t="shared" si="2"/>
        <v/>
      </c>
      <c r="O46" s="35"/>
      <c r="P46" s="88"/>
      <c r="Q46" s="88"/>
      <c r="R46" s="87" t="str">
        <f t="shared" si="3"/>
        <v/>
      </c>
      <c r="S46" s="90" t="str">
        <f t="shared" si="4"/>
        <v/>
      </c>
      <c r="T46" s="91" t="str">
        <f t="shared" si="5"/>
        <v/>
      </c>
      <c r="U46" s="85">
        <f t="shared" si="6"/>
        <v>0</v>
      </c>
    </row>
    <row r="47">
      <c r="A47" s="85">
        <v>45.0</v>
      </c>
      <c r="B47" s="35"/>
      <c r="C47" s="65"/>
      <c r="D47" s="76"/>
      <c r="E47" s="93"/>
      <c r="F47" s="76"/>
      <c r="G47" s="35"/>
      <c r="H47" s="85"/>
      <c r="I47" s="85"/>
      <c r="J47" s="87" t="str">
        <f t="shared" si="1"/>
        <v/>
      </c>
      <c r="K47" s="35"/>
      <c r="L47" s="88"/>
      <c r="M47" s="88"/>
      <c r="N47" s="87" t="str">
        <f t="shared" si="2"/>
        <v/>
      </c>
      <c r="O47" s="35"/>
      <c r="P47" s="88"/>
      <c r="Q47" s="88"/>
      <c r="R47" s="87" t="str">
        <f t="shared" si="3"/>
        <v/>
      </c>
      <c r="S47" s="90" t="str">
        <f t="shared" si="4"/>
        <v/>
      </c>
      <c r="T47" s="91" t="str">
        <f t="shared" si="5"/>
        <v/>
      </c>
      <c r="U47" s="85">
        <f t="shared" si="6"/>
        <v>0</v>
      </c>
    </row>
    <row r="48">
      <c r="A48" s="85">
        <v>46.0</v>
      </c>
      <c r="B48" s="35"/>
      <c r="C48" s="65"/>
      <c r="D48" s="76"/>
      <c r="E48" s="93"/>
      <c r="F48" s="76"/>
      <c r="G48" s="35"/>
      <c r="H48" s="85"/>
      <c r="I48" s="85"/>
      <c r="J48" s="87" t="str">
        <f t="shared" si="1"/>
        <v/>
      </c>
      <c r="K48" s="35"/>
      <c r="L48" s="88"/>
      <c r="M48" s="88"/>
      <c r="N48" s="87" t="str">
        <f t="shared" si="2"/>
        <v/>
      </c>
      <c r="O48" s="35"/>
      <c r="P48" s="88"/>
      <c r="Q48" s="88"/>
      <c r="R48" s="87" t="str">
        <f t="shared" si="3"/>
        <v/>
      </c>
      <c r="S48" s="90" t="str">
        <f t="shared" si="4"/>
        <v/>
      </c>
      <c r="T48" s="91" t="str">
        <f t="shared" si="5"/>
        <v/>
      </c>
      <c r="U48" s="85">
        <f t="shared" si="6"/>
        <v>0</v>
      </c>
    </row>
    <row r="49">
      <c r="A49" s="85">
        <v>47.0</v>
      </c>
      <c r="B49" s="35"/>
      <c r="C49" s="65"/>
      <c r="D49" s="76"/>
      <c r="E49" s="93"/>
      <c r="F49" s="76"/>
      <c r="G49" s="35"/>
      <c r="H49" s="85"/>
      <c r="I49" s="85"/>
      <c r="J49" s="87" t="str">
        <f t="shared" si="1"/>
        <v/>
      </c>
      <c r="K49" s="35"/>
      <c r="L49" s="88"/>
      <c r="M49" s="88"/>
      <c r="N49" s="87" t="str">
        <f t="shared" si="2"/>
        <v/>
      </c>
      <c r="O49" s="35"/>
      <c r="P49" s="88"/>
      <c r="Q49" s="88"/>
      <c r="R49" s="87" t="str">
        <f t="shared" si="3"/>
        <v/>
      </c>
      <c r="S49" s="90" t="str">
        <f t="shared" si="4"/>
        <v/>
      </c>
      <c r="T49" s="91" t="str">
        <f t="shared" si="5"/>
        <v/>
      </c>
      <c r="U49" s="85">
        <f t="shared" si="6"/>
        <v>0</v>
      </c>
    </row>
    <row r="50">
      <c r="A50" s="85">
        <v>48.0</v>
      </c>
      <c r="B50" s="35"/>
      <c r="C50" s="65"/>
      <c r="D50" s="76"/>
      <c r="E50" s="93"/>
      <c r="F50" s="76"/>
      <c r="G50" s="35"/>
      <c r="H50" s="85"/>
      <c r="I50" s="85"/>
      <c r="J50" s="87" t="str">
        <f t="shared" si="1"/>
        <v/>
      </c>
      <c r="K50" s="35"/>
      <c r="L50" s="88"/>
      <c r="M50" s="88"/>
      <c r="N50" s="87" t="str">
        <f t="shared" si="2"/>
        <v/>
      </c>
      <c r="O50" s="35"/>
      <c r="P50" s="88"/>
      <c r="Q50" s="88"/>
      <c r="R50" s="87" t="str">
        <f t="shared" si="3"/>
        <v/>
      </c>
      <c r="S50" s="90" t="str">
        <f t="shared" si="4"/>
        <v/>
      </c>
      <c r="T50" s="91" t="str">
        <f t="shared" si="5"/>
        <v/>
      </c>
      <c r="U50" s="85">
        <f t="shared" si="6"/>
        <v>0</v>
      </c>
    </row>
    <row r="51">
      <c r="A51" s="85">
        <v>49.0</v>
      </c>
      <c r="B51" s="35"/>
      <c r="C51" s="65"/>
      <c r="D51" s="76"/>
      <c r="E51" s="93"/>
      <c r="F51" s="76"/>
      <c r="G51" s="35"/>
      <c r="H51" s="85"/>
      <c r="I51" s="85"/>
      <c r="J51" s="87" t="str">
        <f t="shared" si="1"/>
        <v/>
      </c>
      <c r="K51" s="35"/>
      <c r="L51" s="88"/>
      <c r="M51" s="88"/>
      <c r="N51" s="87" t="str">
        <f t="shared" si="2"/>
        <v/>
      </c>
      <c r="O51" s="35"/>
      <c r="P51" s="88"/>
      <c r="Q51" s="88"/>
      <c r="R51" s="87" t="str">
        <f t="shared" si="3"/>
        <v/>
      </c>
      <c r="S51" s="90" t="str">
        <f t="shared" si="4"/>
        <v/>
      </c>
      <c r="T51" s="91" t="str">
        <f t="shared" si="5"/>
        <v/>
      </c>
      <c r="U51" s="85">
        <f t="shared" si="6"/>
        <v>0</v>
      </c>
    </row>
    <row r="52">
      <c r="A52" s="85">
        <v>50.0</v>
      </c>
      <c r="B52" s="35"/>
      <c r="C52" s="65"/>
      <c r="D52" s="76"/>
      <c r="E52" s="93"/>
      <c r="F52" s="76"/>
      <c r="G52" s="35"/>
      <c r="H52" s="85"/>
      <c r="I52" s="85"/>
      <c r="J52" s="87" t="str">
        <f t="shared" si="1"/>
        <v/>
      </c>
      <c r="K52" s="35"/>
      <c r="L52" s="88"/>
      <c r="M52" s="88"/>
      <c r="N52" s="87" t="str">
        <f t="shared" si="2"/>
        <v/>
      </c>
      <c r="O52" s="35"/>
      <c r="P52" s="88"/>
      <c r="Q52" s="88"/>
      <c r="R52" s="87" t="str">
        <f t="shared" si="3"/>
        <v/>
      </c>
      <c r="S52" s="90" t="str">
        <f t="shared" si="4"/>
        <v/>
      </c>
      <c r="T52" s="91" t="str">
        <f t="shared" si="5"/>
        <v/>
      </c>
      <c r="U52" s="85">
        <f t="shared" si="6"/>
        <v>0</v>
      </c>
    </row>
    <row r="53">
      <c r="A53" s="85">
        <v>51.0</v>
      </c>
      <c r="B53" s="35"/>
      <c r="C53" s="65"/>
      <c r="D53" s="76"/>
      <c r="E53" s="93"/>
      <c r="F53" s="76"/>
      <c r="G53" s="35"/>
      <c r="H53" s="85"/>
      <c r="I53" s="85"/>
      <c r="J53" s="87" t="str">
        <f t="shared" si="1"/>
        <v/>
      </c>
      <c r="K53" s="35"/>
      <c r="L53" s="88"/>
      <c r="M53" s="88"/>
      <c r="N53" s="87" t="str">
        <f t="shared" si="2"/>
        <v/>
      </c>
      <c r="O53" s="35"/>
      <c r="P53" s="88"/>
      <c r="Q53" s="88"/>
      <c r="R53" s="87" t="str">
        <f t="shared" si="3"/>
        <v/>
      </c>
      <c r="S53" s="90" t="str">
        <f t="shared" si="4"/>
        <v/>
      </c>
      <c r="T53" s="91" t="str">
        <f t="shared" si="5"/>
        <v/>
      </c>
      <c r="U53" s="85">
        <f t="shared" si="6"/>
        <v>0</v>
      </c>
    </row>
    <row r="54">
      <c r="A54" s="85">
        <v>52.0</v>
      </c>
      <c r="B54" s="35"/>
      <c r="C54" s="65"/>
      <c r="D54" s="76"/>
      <c r="E54" s="93"/>
      <c r="F54" s="76"/>
      <c r="G54" s="35"/>
      <c r="H54" s="85"/>
      <c r="I54" s="85"/>
      <c r="J54" s="87" t="str">
        <f t="shared" si="1"/>
        <v/>
      </c>
      <c r="K54" s="35"/>
      <c r="L54" s="88"/>
      <c r="M54" s="88"/>
      <c r="N54" s="87" t="str">
        <f t="shared" si="2"/>
        <v/>
      </c>
      <c r="O54" s="35"/>
      <c r="P54" s="88"/>
      <c r="Q54" s="88"/>
      <c r="R54" s="87" t="str">
        <f t="shared" si="3"/>
        <v/>
      </c>
      <c r="S54" s="90" t="str">
        <f t="shared" si="4"/>
        <v/>
      </c>
      <c r="T54" s="91" t="str">
        <f t="shared" si="5"/>
        <v/>
      </c>
      <c r="U54" s="85">
        <f t="shared" si="6"/>
        <v>0</v>
      </c>
    </row>
    <row r="55">
      <c r="A55" s="85">
        <v>53.0</v>
      </c>
      <c r="B55" s="35"/>
      <c r="C55" s="65"/>
      <c r="D55" s="76"/>
      <c r="E55" s="93"/>
      <c r="F55" s="76"/>
      <c r="G55" s="35"/>
      <c r="H55" s="85"/>
      <c r="I55" s="85"/>
      <c r="J55" s="87" t="str">
        <f t="shared" si="1"/>
        <v/>
      </c>
      <c r="K55" s="35"/>
      <c r="L55" s="88"/>
      <c r="M55" s="88"/>
      <c r="N55" s="87" t="str">
        <f t="shared" si="2"/>
        <v/>
      </c>
      <c r="O55" s="35"/>
      <c r="P55" s="88"/>
      <c r="Q55" s="88"/>
      <c r="R55" s="87" t="str">
        <f t="shared" si="3"/>
        <v/>
      </c>
      <c r="S55" s="90" t="str">
        <f t="shared" si="4"/>
        <v/>
      </c>
      <c r="T55" s="91" t="str">
        <f t="shared" si="5"/>
        <v/>
      </c>
      <c r="U55" s="85">
        <f t="shared" si="6"/>
        <v>0</v>
      </c>
    </row>
    <row r="56">
      <c r="A56" s="85">
        <v>54.0</v>
      </c>
      <c r="B56" s="35"/>
      <c r="C56" s="65"/>
      <c r="D56" s="76"/>
      <c r="E56" s="93"/>
      <c r="F56" s="76"/>
      <c r="G56" s="35"/>
      <c r="H56" s="85"/>
      <c r="I56" s="85"/>
      <c r="J56" s="87" t="str">
        <f t="shared" si="1"/>
        <v/>
      </c>
      <c r="K56" s="35"/>
      <c r="L56" s="88"/>
      <c r="M56" s="88"/>
      <c r="N56" s="87" t="str">
        <f t="shared" si="2"/>
        <v/>
      </c>
      <c r="O56" s="35"/>
      <c r="P56" s="88"/>
      <c r="Q56" s="88"/>
      <c r="R56" s="87" t="str">
        <f t="shared" si="3"/>
        <v/>
      </c>
      <c r="S56" s="90" t="str">
        <f t="shared" si="4"/>
        <v/>
      </c>
      <c r="T56" s="91" t="str">
        <f t="shared" si="5"/>
        <v/>
      </c>
      <c r="U56" s="85">
        <f t="shared" si="6"/>
        <v>0</v>
      </c>
    </row>
    <row r="57">
      <c r="A57" s="85">
        <v>55.0</v>
      </c>
      <c r="B57" s="35"/>
      <c r="C57" s="65"/>
      <c r="D57" s="76"/>
      <c r="E57" s="93"/>
      <c r="F57" s="76"/>
      <c r="G57" s="35"/>
      <c r="H57" s="85"/>
      <c r="I57" s="85"/>
      <c r="J57" s="87" t="str">
        <f t="shared" si="1"/>
        <v/>
      </c>
      <c r="K57" s="35"/>
      <c r="L57" s="88"/>
      <c r="M57" s="88"/>
      <c r="N57" s="87" t="str">
        <f t="shared" si="2"/>
        <v/>
      </c>
      <c r="O57" s="35"/>
      <c r="P57" s="88"/>
      <c r="Q57" s="88"/>
      <c r="R57" s="87" t="str">
        <f t="shared" si="3"/>
        <v/>
      </c>
      <c r="S57" s="90" t="str">
        <f t="shared" si="4"/>
        <v/>
      </c>
      <c r="T57" s="91" t="str">
        <f t="shared" si="5"/>
        <v/>
      </c>
      <c r="U57" s="85">
        <f t="shared" si="6"/>
        <v>0</v>
      </c>
    </row>
    <row r="58">
      <c r="A58" s="85">
        <v>56.0</v>
      </c>
      <c r="B58" s="35"/>
      <c r="C58" s="65"/>
      <c r="D58" s="76"/>
      <c r="E58" s="93"/>
      <c r="F58" s="76"/>
      <c r="G58" s="35"/>
      <c r="H58" s="85"/>
      <c r="I58" s="85"/>
      <c r="J58" s="87" t="str">
        <f t="shared" si="1"/>
        <v/>
      </c>
      <c r="K58" s="35"/>
      <c r="L58" s="88"/>
      <c r="M58" s="88"/>
      <c r="N58" s="87" t="str">
        <f t="shared" si="2"/>
        <v/>
      </c>
      <c r="O58" s="35"/>
      <c r="P58" s="88"/>
      <c r="Q58" s="88"/>
      <c r="R58" s="87" t="str">
        <f t="shared" si="3"/>
        <v/>
      </c>
      <c r="S58" s="90" t="str">
        <f t="shared" si="4"/>
        <v/>
      </c>
      <c r="T58" s="91" t="str">
        <f t="shared" si="5"/>
        <v/>
      </c>
      <c r="U58" s="85">
        <f t="shared" si="6"/>
        <v>0</v>
      </c>
    </row>
    <row r="59">
      <c r="A59" s="85">
        <v>57.0</v>
      </c>
      <c r="B59" s="35"/>
      <c r="C59" s="65"/>
      <c r="D59" s="76"/>
      <c r="E59" s="93"/>
      <c r="F59" s="76"/>
      <c r="G59" s="35"/>
      <c r="H59" s="85"/>
      <c r="I59" s="85"/>
      <c r="J59" s="87" t="str">
        <f t="shared" si="1"/>
        <v/>
      </c>
      <c r="K59" s="35"/>
      <c r="L59" s="88"/>
      <c r="M59" s="88"/>
      <c r="N59" s="87" t="str">
        <f t="shared" si="2"/>
        <v/>
      </c>
      <c r="O59" s="35"/>
      <c r="P59" s="88"/>
      <c r="Q59" s="88"/>
      <c r="R59" s="87" t="str">
        <f t="shared" si="3"/>
        <v/>
      </c>
      <c r="S59" s="90" t="str">
        <f t="shared" si="4"/>
        <v/>
      </c>
      <c r="T59" s="91" t="str">
        <f t="shared" si="5"/>
        <v/>
      </c>
      <c r="U59" s="85">
        <f t="shared" si="6"/>
        <v>0</v>
      </c>
    </row>
    <row r="60">
      <c r="A60" s="85">
        <v>58.0</v>
      </c>
      <c r="B60" s="35"/>
      <c r="C60" s="65"/>
      <c r="D60" s="76"/>
      <c r="E60" s="93"/>
      <c r="F60" s="76"/>
      <c r="G60" s="35"/>
      <c r="H60" s="85"/>
      <c r="I60" s="85"/>
      <c r="J60" s="87" t="str">
        <f t="shared" si="1"/>
        <v/>
      </c>
      <c r="K60" s="35"/>
      <c r="L60" s="88"/>
      <c r="M60" s="88"/>
      <c r="N60" s="87" t="str">
        <f t="shared" si="2"/>
        <v/>
      </c>
      <c r="O60" s="35"/>
      <c r="P60" s="88"/>
      <c r="Q60" s="88"/>
      <c r="R60" s="87" t="str">
        <f t="shared" si="3"/>
        <v/>
      </c>
      <c r="S60" s="90" t="str">
        <f t="shared" si="4"/>
        <v/>
      </c>
      <c r="T60" s="91" t="str">
        <f t="shared" si="5"/>
        <v/>
      </c>
      <c r="U60" s="85">
        <f t="shared" si="6"/>
        <v>0</v>
      </c>
    </row>
    <row r="61">
      <c r="A61" s="85">
        <v>59.0</v>
      </c>
      <c r="B61" s="35"/>
      <c r="C61" s="65"/>
      <c r="D61" s="76"/>
      <c r="E61" s="93"/>
      <c r="F61" s="76"/>
      <c r="G61" s="35"/>
      <c r="H61" s="85"/>
      <c r="I61" s="85"/>
      <c r="J61" s="87" t="str">
        <f t="shared" si="1"/>
        <v/>
      </c>
      <c r="K61" s="35"/>
      <c r="L61" s="88"/>
      <c r="M61" s="88"/>
      <c r="N61" s="87" t="str">
        <f t="shared" si="2"/>
        <v/>
      </c>
      <c r="O61" s="35"/>
      <c r="P61" s="88"/>
      <c r="Q61" s="88"/>
      <c r="R61" s="87" t="str">
        <f t="shared" si="3"/>
        <v/>
      </c>
      <c r="S61" s="90" t="str">
        <f t="shared" si="4"/>
        <v/>
      </c>
      <c r="T61" s="91" t="str">
        <f t="shared" si="5"/>
        <v/>
      </c>
      <c r="U61" s="85">
        <f t="shared" si="6"/>
        <v>0</v>
      </c>
    </row>
    <row r="62">
      <c r="A62" s="85">
        <v>60.0</v>
      </c>
      <c r="B62" s="35"/>
      <c r="C62" s="65"/>
      <c r="D62" s="76"/>
      <c r="E62" s="93"/>
      <c r="F62" s="76"/>
      <c r="G62" s="35"/>
      <c r="H62" s="85"/>
      <c r="I62" s="85"/>
      <c r="J62" s="87" t="str">
        <f t="shared" si="1"/>
        <v/>
      </c>
      <c r="K62" s="35"/>
      <c r="L62" s="88"/>
      <c r="M62" s="88"/>
      <c r="N62" s="87" t="str">
        <f t="shared" si="2"/>
        <v/>
      </c>
      <c r="O62" s="35"/>
      <c r="P62" s="88"/>
      <c r="Q62" s="88"/>
      <c r="R62" s="87" t="str">
        <f t="shared" si="3"/>
        <v/>
      </c>
      <c r="S62" s="90" t="str">
        <f t="shared" si="4"/>
        <v/>
      </c>
      <c r="T62" s="91" t="str">
        <f t="shared" si="5"/>
        <v/>
      </c>
      <c r="U62" s="85">
        <f t="shared" si="6"/>
        <v>0</v>
      </c>
    </row>
    <row r="63">
      <c r="A63" s="85">
        <v>61.0</v>
      </c>
      <c r="B63" s="35"/>
      <c r="C63" s="65"/>
      <c r="D63" s="76"/>
      <c r="E63" s="93"/>
      <c r="F63" s="76"/>
      <c r="G63" s="35"/>
      <c r="H63" s="85"/>
      <c r="I63" s="85"/>
      <c r="J63" s="87" t="str">
        <f t="shared" si="1"/>
        <v/>
      </c>
      <c r="K63" s="35"/>
      <c r="L63" s="88"/>
      <c r="M63" s="88"/>
      <c r="N63" s="87" t="str">
        <f t="shared" si="2"/>
        <v/>
      </c>
      <c r="O63" s="35"/>
      <c r="P63" s="88"/>
      <c r="Q63" s="88"/>
      <c r="R63" s="87" t="str">
        <f t="shared" si="3"/>
        <v/>
      </c>
      <c r="S63" s="90" t="str">
        <f t="shared" si="4"/>
        <v/>
      </c>
      <c r="T63" s="91" t="str">
        <f t="shared" si="5"/>
        <v/>
      </c>
      <c r="U63" s="85">
        <f t="shared" si="6"/>
        <v>0</v>
      </c>
    </row>
    <row r="64">
      <c r="A64" s="85">
        <v>62.0</v>
      </c>
      <c r="B64" s="35"/>
      <c r="C64" s="65"/>
      <c r="D64" s="76"/>
      <c r="E64" s="93"/>
      <c r="F64" s="76"/>
      <c r="G64" s="35"/>
      <c r="H64" s="85"/>
      <c r="I64" s="85"/>
      <c r="J64" s="87" t="str">
        <f t="shared" si="1"/>
        <v/>
      </c>
      <c r="K64" s="35"/>
      <c r="L64" s="88"/>
      <c r="M64" s="88"/>
      <c r="N64" s="87" t="str">
        <f t="shared" si="2"/>
        <v/>
      </c>
      <c r="O64" s="35"/>
      <c r="P64" s="88"/>
      <c r="Q64" s="88"/>
      <c r="R64" s="87" t="str">
        <f t="shared" si="3"/>
        <v/>
      </c>
      <c r="S64" s="90" t="str">
        <f t="shared" si="4"/>
        <v/>
      </c>
      <c r="T64" s="91" t="str">
        <f t="shared" si="5"/>
        <v/>
      </c>
      <c r="U64" s="85">
        <f t="shared" si="6"/>
        <v>0</v>
      </c>
    </row>
    <row r="65">
      <c r="A65" s="85">
        <v>63.0</v>
      </c>
      <c r="B65" s="35"/>
      <c r="C65" s="65"/>
      <c r="D65" s="76"/>
      <c r="E65" s="93"/>
      <c r="F65" s="76"/>
      <c r="G65" s="35"/>
      <c r="H65" s="85"/>
      <c r="I65" s="85"/>
      <c r="J65" s="87" t="str">
        <f t="shared" si="1"/>
        <v/>
      </c>
      <c r="K65" s="35"/>
      <c r="L65" s="88"/>
      <c r="M65" s="88"/>
      <c r="N65" s="87" t="str">
        <f t="shared" si="2"/>
        <v/>
      </c>
      <c r="O65" s="35"/>
      <c r="P65" s="88"/>
      <c r="Q65" s="88"/>
      <c r="R65" s="87" t="str">
        <f t="shared" si="3"/>
        <v/>
      </c>
      <c r="S65" s="90" t="str">
        <f t="shared" si="4"/>
        <v/>
      </c>
      <c r="T65" s="91" t="str">
        <f t="shared" si="5"/>
        <v/>
      </c>
      <c r="U65" s="85">
        <f t="shared" si="6"/>
        <v>0</v>
      </c>
    </row>
    <row r="66">
      <c r="A66" s="85">
        <v>64.0</v>
      </c>
      <c r="B66" s="35"/>
      <c r="C66" s="65"/>
      <c r="D66" s="76"/>
      <c r="E66" s="93"/>
      <c r="F66" s="76"/>
      <c r="G66" s="35"/>
      <c r="H66" s="85"/>
      <c r="I66" s="85"/>
      <c r="J66" s="87" t="str">
        <f t="shared" si="1"/>
        <v/>
      </c>
      <c r="K66" s="35"/>
      <c r="L66" s="88"/>
      <c r="M66" s="88"/>
      <c r="N66" s="87" t="str">
        <f t="shared" si="2"/>
        <v/>
      </c>
      <c r="O66" s="35"/>
      <c r="P66" s="88"/>
      <c r="Q66" s="88"/>
      <c r="R66" s="87" t="str">
        <f t="shared" si="3"/>
        <v/>
      </c>
      <c r="S66" s="90" t="str">
        <f t="shared" si="4"/>
        <v/>
      </c>
      <c r="T66" s="91" t="str">
        <f t="shared" si="5"/>
        <v/>
      </c>
      <c r="U66" s="85">
        <f t="shared" si="6"/>
        <v>0</v>
      </c>
    </row>
    <row r="67">
      <c r="A67" s="85">
        <v>65.0</v>
      </c>
      <c r="B67" s="35"/>
      <c r="C67" s="65"/>
      <c r="D67" s="76"/>
      <c r="E67" s="93"/>
      <c r="F67" s="76"/>
      <c r="G67" s="35"/>
      <c r="H67" s="85"/>
      <c r="I67" s="85"/>
      <c r="J67" s="87" t="str">
        <f t="shared" si="1"/>
        <v/>
      </c>
      <c r="K67" s="35"/>
      <c r="L67" s="88"/>
      <c r="M67" s="88"/>
      <c r="N67" s="87" t="str">
        <f t="shared" si="2"/>
        <v/>
      </c>
      <c r="O67" s="35"/>
      <c r="P67" s="88"/>
      <c r="Q67" s="88"/>
      <c r="R67" s="87" t="str">
        <f t="shared" si="3"/>
        <v/>
      </c>
      <c r="S67" s="90" t="str">
        <f t="shared" si="4"/>
        <v/>
      </c>
      <c r="T67" s="91" t="str">
        <f t="shared" si="5"/>
        <v/>
      </c>
      <c r="U67" s="85">
        <f t="shared" si="6"/>
        <v>0</v>
      </c>
    </row>
    <row r="68">
      <c r="A68" s="85">
        <v>66.0</v>
      </c>
      <c r="B68" s="35"/>
      <c r="C68" s="65"/>
      <c r="D68" s="76"/>
      <c r="E68" s="93"/>
      <c r="F68" s="76"/>
      <c r="G68" s="35"/>
      <c r="H68" s="85"/>
      <c r="I68" s="85"/>
      <c r="J68" s="87" t="str">
        <f t="shared" si="1"/>
        <v/>
      </c>
      <c r="K68" s="35"/>
      <c r="L68" s="88"/>
      <c r="M68" s="88"/>
      <c r="N68" s="87" t="str">
        <f t="shared" si="2"/>
        <v/>
      </c>
      <c r="O68" s="35"/>
      <c r="P68" s="88"/>
      <c r="Q68" s="88"/>
      <c r="R68" s="87" t="str">
        <f t="shared" si="3"/>
        <v/>
      </c>
      <c r="S68" s="90" t="str">
        <f t="shared" si="4"/>
        <v/>
      </c>
      <c r="T68" s="91" t="str">
        <f t="shared" si="5"/>
        <v/>
      </c>
      <c r="U68" s="85">
        <f t="shared" si="6"/>
        <v>0</v>
      </c>
    </row>
    <row r="69">
      <c r="A69" s="85">
        <v>67.0</v>
      </c>
      <c r="B69" s="35"/>
      <c r="C69" s="65"/>
      <c r="D69" s="76"/>
      <c r="E69" s="93"/>
      <c r="F69" s="76"/>
      <c r="G69" s="35"/>
      <c r="H69" s="85"/>
      <c r="I69" s="85"/>
      <c r="J69" s="87" t="str">
        <f t="shared" si="1"/>
        <v/>
      </c>
      <c r="K69" s="35"/>
      <c r="L69" s="88"/>
      <c r="M69" s="88"/>
      <c r="N69" s="87" t="str">
        <f t="shared" si="2"/>
        <v/>
      </c>
      <c r="O69" s="35"/>
      <c r="P69" s="88"/>
      <c r="Q69" s="88"/>
      <c r="R69" s="87" t="str">
        <f t="shared" si="3"/>
        <v/>
      </c>
      <c r="S69" s="90" t="str">
        <f t="shared" si="4"/>
        <v/>
      </c>
      <c r="T69" s="91" t="str">
        <f t="shared" si="5"/>
        <v/>
      </c>
      <c r="U69" s="85">
        <f t="shared" si="6"/>
        <v>0</v>
      </c>
    </row>
    <row r="70">
      <c r="A70" s="85">
        <v>68.0</v>
      </c>
      <c r="B70" s="35"/>
      <c r="C70" s="65"/>
      <c r="D70" s="76"/>
      <c r="E70" s="93"/>
      <c r="F70" s="76"/>
      <c r="G70" s="35"/>
      <c r="H70" s="85"/>
      <c r="I70" s="85"/>
      <c r="J70" s="87" t="str">
        <f t="shared" si="1"/>
        <v/>
      </c>
      <c r="K70" s="35"/>
      <c r="L70" s="88"/>
      <c r="M70" s="88"/>
      <c r="N70" s="87" t="str">
        <f t="shared" si="2"/>
        <v/>
      </c>
      <c r="O70" s="35"/>
      <c r="P70" s="88"/>
      <c r="Q70" s="88"/>
      <c r="R70" s="87" t="str">
        <f t="shared" si="3"/>
        <v/>
      </c>
      <c r="S70" s="90" t="str">
        <f t="shared" si="4"/>
        <v/>
      </c>
      <c r="T70" s="91" t="str">
        <f t="shared" si="5"/>
        <v/>
      </c>
      <c r="U70" s="85">
        <f t="shared" si="6"/>
        <v>0</v>
      </c>
    </row>
    <row r="71">
      <c r="A71" s="85">
        <v>69.0</v>
      </c>
      <c r="B71" s="35"/>
      <c r="C71" s="65"/>
      <c r="D71" s="76"/>
      <c r="E71" s="93"/>
      <c r="F71" s="76"/>
      <c r="G71" s="35"/>
      <c r="H71" s="85"/>
      <c r="I71" s="85"/>
      <c r="J71" s="87" t="str">
        <f t="shared" si="1"/>
        <v/>
      </c>
      <c r="K71" s="35"/>
      <c r="L71" s="88"/>
      <c r="M71" s="88"/>
      <c r="N71" s="87" t="str">
        <f t="shared" si="2"/>
        <v/>
      </c>
      <c r="O71" s="35"/>
      <c r="P71" s="88"/>
      <c r="Q71" s="88"/>
      <c r="R71" s="87" t="str">
        <f t="shared" si="3"/>
        <v/>
      </c>
      <c r="S71" s="90" t="str">
        <f t="shared" si="4"/>
        <v/>
      </c>
      <c r="T71" s="91" t="str">
        <f t="shared" si="5"/>
        <v/>
      </c>
      <c r="U71" s="85">
        <f t="shared" si="6"/>
        <v>0</v>
      </c>
    </row>
    <row r="72">
      <c r="A72" s="85">
        <v>70.0</v>
      </c>
      <c r="B72" s="35"/>
      <c r="C72" s="65"/>
      <c r="D72" s="76"/>
      <c r="E72" s="93"/>
      <c r="F72" s="76"/>
      <c r="G72" s="35"/>
      <c r="H72" s="85"/>
      <c r="I72" s="85"/>
      <c r="J72" s="87" t="str">
        <f t="shared" si="1"/>
        <v/>
      </c>
      <c r="K72" s="35"/>
      <c r="L72" s="88"/>
      <c r="M72" s="88"/>
      <c r="N72" s="87" t="str">
        <f t="shared" si="2"/>
        <v/>
      </c>
      <c r="O72" s="35"/>
      <c r="P72" s="88"/>
      <c r="Q72" s="88"/>
      <c r="R72" s="87" t="str">
        <f t="shared" si="3"/>
        <v/>
      </c>
      <c r="S72" s="90" t="str">
        <f t="shared" si="4"/>
        <v/>
      </c>
      <c r="T72" s="91" t="str">
        <f t="shared" si="5"/>
        <v/>
      </c>
      <c r="U72" s="85">
        <f t="shared" si="6"/>
        <v>0</v>
      </c>
    </row>
    <row r="73">
      <c r="A73" s="85">
        <v>71.0</v>
      </c>
      <c r="B73" s="35"/>
      <c r="C73" s="65"/>
      <c r="D73" s="76"/>
      <c r="E73" s="93"/>
      <c r="F73" s="76"/>
      <c r="G73" s="35"/>
      <c r="H73" s="85"/>
      <c r="I73" s="85"/>
      <c r="J73" s="87" t="str">
        <f t="shared" si="1"/>
        <v/>
      </c>
      <c r="K73" s="35"/>
      <c r="L73" s="88"/>
      <c r="M73" s="88"/>
      <c r="N73" s="87" t="str">
        <f t="shared" si="2"/>
        <v/>
      </c>
      <c r="O73" s="35"/>
      <c r="P73" s="88"/>
      <c r="Q73" s="88"/>
      <c r="R73" s="87" t="str">
        <f t="shared" si="3"/>
        <v/>
      </c>
      <c r="S73" s="90" t="str">
        <f t="shared" si="4"/>
        <v/>
      </c>
      <c r="T73" s="91" t="str">
        <f t="shared" si="5"/>
        <v/>
      </c>
      <c r="U73" s="85">
        <f t="shared" si="6"/>
        <v>0</v>
      </c>
    </row>
    <row r="74">
      <c r="A74" s="85">
        <v>72.0</v>
      </c>
      <c r="B74" s="35"/>
      <c r="C74" s="65"/>
      <c r="D74" s="76"/>
      <c r="E74" s="93"/>
      <c r="F74" s="76"/>
      <c r="G74" s="35"/>
      <c r="H74" s="85"/>
      <c r="I74" s="85"/>
      <c r="J74" s="87" t="str">
        <f t="shared" si="1"/>
        <v/>
      </c>
      <c r="K74" s="35"/>
      <c r="L74" s="88"/>
      <c r="M74" s="88"/>
      <c r="N74" s="87" t="str">
        <f t="shared" si="2"/>
        <v/>
      </c>
      <c r="O74" s="35"/>
      <c r="P74" s="88"/>
      <c r="Q74" s="88"/>
      <c r="R74" s="87" t="str">
        <f t="shared" si="3"/>
        <v/>
      </c>
      <c r="S74" s="90" t="str">
        <f t="shared" si="4"/>
        <v/>
      </c>
      <c r="T74" s="91" t="str">
        <f t="shared" si="5"/>
        <v/>
      </c>
      <c r="U74" s="85">
        <f t="shared" si="6"/>
        <v>0</v>
      </c>
    </row>
    <row r="75">
      <c r="A75" s="85">
        <v>73.0</v>
      </c>
      <c r="B75" s="35"/>
      <c r="C75" s="65"/>
      <c r="D75" s="76"/>
      <c r="E75" s="93"/>
      <c r="F75" s="76"/>
      <c r="G75" s="35"/>
      <c r="H75" s="85"/>
      <c r="I75" s="85"/>
      <c r="J75" s="87" t="str">
        <f t="shared" si="1"/>
        <v/>
      </c>
      <c r="K75" s="35"/>
      <c r="L75" s="88"/>
      <c r="M75" s="88"/>
      <c r="N75" s="87" t="str">
        <f t="shared" si="2"/>
        <v/>
      </c>
      <c r="O75" s="35"/>
      <c r="P75" s="88"/>
      <c r="Q75" s="88"/>
      <c r="R75" s="87" t="str">
        <f t="shared" si="3"/>
        <v/>
      </c>
      <c r="S75" s="90" t="str">
        <f t="shared" si="4"/>
        <v/>
      </c>
      <c r="T75" s="91" t="str">
        <f t="shared" si="5"/>
        <v/>
      </c>
      <c r="U75" s="85">
        <f t="shared" si="6"/>
        <v>0</v>
      </c>
    </row>
    <row r="76">
      <c r="A76" s="85">
        <v>74.0</v>
      </c>
      <c r="B76" s="35"/>
      <c r="C76" s="65"/>
      <c r="D76" s="76"/>
      <c r="E76" s="93"/>
      <c r="F76" s="76"/>
      <c r="G76" s="35"/>
      <c r="H76" s="85"/>
      <c r="I76" s="85"/>
      <c r="J76" s="87" t="str">
        <f t="shared" si="1"/>
        <v/>
      </c>
      <c r="K76" s="35"/>
      <c r="L76" s="88"/>
      <c r="M76" s="88"/>
      <c r="N76" s="87" t="str">
        <f t="shared" si="2"/>
        <v/>
      </c>
      <c r="O76" s="35"/>
      <c r="P76" s="88"/>
      <c r="Q76" s="88"/>
      <c r="R76" s="87" t="str">
        <f t="shared" si="3"/>
        <v/>
      </c>
      <c r="S76" s="90" t="str">
        <f t="shared" si="4"/>
        <v/>
      </c>
      <c r="T76" s="91" t="str">
        <f t="shared" si="5"/>
        <v/>
      </c>
      <c r="U76" s="85">
        <f t="shared" si="6"/>
        <v>0</v>
      </c>
    </row>
    <row r="77">
      <c r="A77" s="85">
        <v>75.0</v>
      </c>
      <c r="B77" s="35"/>
      <c r="C77" s="65"/>
      <c r="D77" s="76"/>
      <c r="E77" s="93"/>
      <c r="F77" s="76"/>
      <c r="G77" s="35"/>
      <c r="H77" s="85"/>
      <c r="I77" s="85"/>
      <c r="J77" s="87" t="str">
        <f t="shared" si="1"/>
        <v/>
      </c>
      <c r="K77" s="35"/>
      <c r="L77" s="88"/>
      <c r="M77" s="88"/>
      <c r="N77" s="87" t="str">
        <f t="shared" si="2"/>
        <v/>
      </c>
      <c r="O77" s="35"/>
      <c r="P77" s="88"/>
      <c r="Q77" s="88"/>
      <c r="R77" s="87" t="str">
        <f t="shared" si="3"/>
        <v/>
      </c>
      <c r="S77" s="90" t="str">
        <f t="shared" si="4"/>
        <v/>
      </c>
      <c r="T77" s="91" t="str">
        <f t="shared" si="5"/>
        <v/>
      </c>
      <c r="U77" s="85">
        <f t="shared" si="6"/>
        <v>0</v>
      </c>
    </row>
  </sheetData>
  <autoFilter ref="$B$2:$T$77"/>
  <customSheetViews>
    <customSheetView guid="{B0C17AAF-6872-48F8-A58E-565BF6C8DB27}" filter="1" showAutoFilter="1">
      <autoFilter ref="$C$2:$T$51"/>
    </customSheetView>
  </customSheetViews>
  <mergeCells count="3">
    <mergeCell ref="K1:N1"/>
    <mergeCell ref="O1:R1"/>
    <mergeCell ref="G1:J1"/>
  </mergeCells>
  <conditionalFormatting sqref="G3:I77 K3:M77 O3:Q77">
    <cfRule type="endsWith" dxfId="2" priority="1" operator="endsWith" text="g">
      <formula>RIGHT((G3),LEN("g"))=("g")</formula>
    </cfRule>
  </conditionalFormatting>
  <conditionalFormatting sqref="G3:I77 K3:M77 O3:Q77">
    <cfRule type="endsWith" dxfId="1" priority="2" operator="endsWith" text="x">
      <formula>RIGHT((G3),LEN("x"))=("x")</formula>
    </cfRule>
  </conditionalFormatting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tabColor rgb="FF000000"/>
    <outlinePr summaryBelow="0" summaryRight="0"/>
  </sheetPr>
  <sheetViews>
    <sheetView workbookViewId="0">
      <pane xSplit="6.0" ySplit="2.0" topLeftCell="G3" activePane="bottomRight" state="frozen"/>
      <selection activeCell="G1" sqref="G1" pane="topRight"/>
      <selection activeCell="A3" sqref="A3" pane="bottomLeft"/>
      <selection activeCell="G3" sqref="G3" pane="bottomRight"/>
    </sheetView>
  </sheetViews>
  <sheetFormatPr customHeight="1" defaultColWidth="14.43" defaultRowHeight="15.75"/>
  <cols>
    <col customWidth="1" min="1" max="1" width="3.57"/>
    <col customWidth="1" min="2" max="2" width="12.0"/>
    <col customWidth="1" min="3" max="3" width="6.86"/>
    <col customWidth="1" min="4" max="4" width="14.71"/>
    <col customWidth="1" min="5" max="5" width="7.57"/>
    <col customWidth="1" min="6" max="6" width="18.29"/>
    <col customWidth="1" min="7" max="18" width="5.71"/>
    <col customWidth="1" min="19" max="19" width="9.86"/>
    <col customWidth="1" min="20" max="20" width="11.0"/>
    <col customWidth="1" hidden="1" min="21" max="21" width="11.0"/>
  </cols>
  <sheetData>
    <row r="1">
      <c r="A1" s="14"/>
      <c r="B1" s="16" t="s">
        <v>19</v>
      </c>
      <c r="C1" s="16" t="s">
        <v>135</v>
      </c>
      <c r="D1" s="57" t="s">
        <v>22</v>
      </c>
      <c r="E1" s="57" t="s">
        <v>23</v>
      </c>
      <c r="F1" s="57" t="s">
        <v>25</v>
      </c>
      <c r="G1" s="57" t="s">
        <v>115</v>
      </c>
      <c r="K1" s="57" t="s">
        <v>116</v>
      </c>
      <c r="O1" s="57" t="s">
        <v>117</v>
      </c>
      <c r="S1" s="57" t="s">
        <v>118</v>
      </c>
      <c r="T1" s="57" t="s">
        <v>119</v>
      </c>
      <c r="U1" s="57"/>
    </row>
    <row r="2">
      <c r="A2" s="81"/>
      <c r="B2" s="83" t="s">
        <v>19</v>
      </c>
      <c r="C2" s="83" t="s">
        <v>135</v>
      </c>
      <c r="D2" s="83" t="s">
        <v>22</v>
      </c>
      <c r="E2" s="84" t="s">
        <v>23</v>
      </c>
      <c r="F2" s="83" t="s">
        <v>25</v>
      </c>
      <c r="G2" s="83" t="s">
        <v>136</v>
      </c>
      <c r="H2" s="83" t="s">
        <v>137</v>
      </c>
      <c r="I2" s="83" t="s">
        <v>138</v>
      </c>
      <c r="J2" s="83" t="s">
        <v>139</v>
      </c>
      <c r="K2" s="83" t="s">
        <v>140</v>
      </c>
      <c r="L2" s="83" t="s">
        <v>141</v>
      </c>
      <c r="M2" s="83" t="s">
        <v>142</v>
      </c>
      <c r="N2" s="83" t="s">
        <v>143</v>
      </c>
      <c r="O2" s="83" t="s">
        <v>144</v>
      </c>
      <c r="P2" s="83" t="s">
        <v>145</v>
      </c>
      <c r="Q2" s="83" t="s">
        <v>146</v>
      </c>
      <c r="R2" s="83" t="s">
        <v>147</v>
      </c>
      <c r="S2" s="83"/>
      <c r="T2" s="84" t="s">
        <v>119</v>
      </c>
      <c r="U2" s="84"/>
    </row>
    <row r="3">
      <c r="A3" s="85">
        <v>1.0</v>
      </c>
      <c r="B3" s="35" t="s">
        <v>68</v>
      </c>
      <c r="C3" s="35" t="s">
        <v>109</v>
      </c>
      <c r="D3" s="86" t="s">
        <v>204</v>
      </c>
      <c r="E3" s="35">
        <v>153.8</v>
      </c>
      <c r="F3" s="86" t="s">
        <v>373</v>
      </c>
      <c r="G3" s="35" t="s">
        <v>202</v>
      </c>
      <c r="H3" s="85" t="s">
        <v>201</v>
      </c>
      <c r="I3" s="85" t="s">
        <v>224</v>
      </c>
      <c r="J3" s="87">
        <f t="shared" ref="J3:J77" si="1">IFERROR(__xludf.DUMMYFUNCTION("if(isblank(B3),,Max(if(right(G3,1)=""g"",split(G3,""g""),),if(right(H3,1)=""g"",split(H3,""g""),),if(right(I3,1)=""g"",split(I3,""g""),)))"),165.0)</f>
        <v>165</v>
      </c>
      <c r="K3" s="35" t="s">
        <v>220</v>
      </c>
      <c r="L3" s="88" t="s">
        <v>195</v>
      </c>
      <c r="M3" s="88" t="s">
        <v>189</v>
      </c>
      <c r="N3" s="87">
        <f t="shared" ref="N3:N77" si="2">IFERROR(__xludf.DUMMYFUNCTION("if(isblank($B3),,Max(if(right(K3,1)=""g"",split(K3,""g""),),if(right(L3,1)=""g"",split(L3,""g""),),if(right(M3,1)=""g"",split(M3,""g""),)))"),70.0)</f>
        <v>70</v>
      </c>
      <c r="O3" s="35" t="s">
        <v>151</v>
      </c>
      <c r="P3" s="88" t="s">
        <v>166</v>
      </c>
      <c r="Q3" s="88" t="s">
        <v>191</v>
      </c>
      <c r="R3" s="87">
        <f t="shared" ref="R3:R77" si="3">IFERROR(__xludf.DUMMYFUNCTION("if(isblank($B3),,Max(if(right(O3,1)=""g"",split(O3,""g""),),if(right(P3,1)=""g"",split(P3,""g""),),if(right(Q3,1)=""g"",split(Q3,""g""),)))"),210.0)</f>
        <v>210</v>
      </c>
      <c r="S3" s="90">
        <f t="shared" ref="S3:S77" si="4">if(isblank(F3),,if(or(and(right(G3,1)="x",right(H3,1)="x",right(I3,1)="x"),and(right(K3,1)="x",right(L3,1)="x",right(M3,1)="x"),and(right(O3,1)="x",right(P3,1)="x",right(Q3,1)="x")),0,J3+N3+R3))</f>
        <v>445</v>
      </c>
      <c r="T3" s="91">
        <f t="shared" ref="T3:T77" si="5">if(isblank(E3),,S3/E3)</f>
        <v>2.89336801</v>
      </c>
      <c r="U3" s="85">
        <f t="shared" ref="U3:U77" si="6">countif(G3:Q3,"*g")</f>
        <v>6</v>
      </c>
    </row>
    <row r="4">
      <c r="A4" s="85">
        <v>2.0</v>
      </c>
      <c r="B4" s="35" t="s">
        <v>68</v>
      </c>
      <c r="C4" s="35" t="s">
        <v>109</v>
      </c>
      <c r="D4" s="86" t="s">
        <v>275</v>
      </c>
      <c r="E4" s="35">
        <v>152.4</v>
      </c>
      <c r="F4" s="86" t="s">
        <v>380</v>
      </c>
      <c r="G4" s="35" t="s">
        <v>166</v>
      </c>
      <c r="H4" s="85" t="s">
        <v>183</v>
      </c>
      <c r="I4" s="85" t="s">
        <v>156</v>
      </c>
      <c r="J4" s="87">
        <f t="shared" si="1"/>
        <v>225</v>
      </c>
      <c r="K4" s="35" t="s">
        <v>164</v>
      </c>
      <c r="L4" s="88" t="s">
        <v>153</v>
      </c>
      <c r="M4" s="88" t="s">
        <v>227</v>
      </c>
      <c r="N4" s="87">
        <f t="shared" si="2"/>
        <v>105</v>
      </c>
      <c r="O4" s="35" t="s">
        <v>156</v>
      </c>
      <c r="P4" s="88" t="s">
        <v>273</v>
      </c>
      <c r="Q4" s="88" t="s">
        <v>273</v>
      </c>
      <c r="R4" s="87">
        <f t="shared" si="3"/>
        <v>225</v>
      </c>
      <c r="S4" s="90">
        <f t="shared" si="4"/>
        <v>555</v>
      </c>
      <c r="T4" s="91">
        <f t="shared" si="5"/>
        <v>3.641732283</v>
      </c>
      <c r="U4" s="85">
        <f t="shared" si="6"/>
        <v>6</v>
      </c>
    </row>
    <row r="5">
      <c r="A5" s="85">
        <v>3.0</v>
      </c>
      <c r="B5" s="4" t="s">
        <v>68</v>
      </c>
      <c r="C5" s="4" t="s">
        <v>109</v>
      </c>
      <c r="D5" s="4" t="s">
        <v>359</v>
      </c>
      <c r="E5" s="4">
        <v>152.2</v>
      </c>
      <c r="F5" s="4" t="s">
        <v>382</v>
      </c>
      <c r="G5" s="35" t="s">
        <v>175</v>
      </c>
      <c r="H5" s="85" t="s">
        <v>156</v>
      </c>
      <c r="I5" s="85" t="s">
        <v>295</v>
      </c>
      <c r="J5" s="87">
        <f t="shared" si="1"/>
        <v>225</v>
      </c>
      <c r="K5" s="35" t="s">
        <v>153</v>
      </c>
      <c r="L5" s="88" t="s">
        <v>154</v>
      </c>
      <c r="M5" s="88" t="s">
        <v>193</v>
      </c>
      <c r="N5" s="87">
        <f t="shared" si="2"/>
        <v>115</v>
      </c>
      <c r="O5" s="35" t="s">
        <v>254</v>
      </c>
      <c r="P5" s="88" t="s">
        <v>156</v>
      </c>
      <c r="Q5" s="88" t="s">
        <v>158</v>
      </c>
      <c r="R5" s="87">
        <f t="shared" si="3"/>
        <v>240</v>
      </c>
      <c r="S5" s="90">
        <f t="shared" si="4"/>
        <v>580</v>
      </c>
      <c r="T5" s="91">
        <f t="shared" si="5"/>
        <v>3.810775296</v>
      </c>
      <c r="U5" s="85">
        <f t="shared" si="6"/>
        <v>8</v>
      </c>
    </row>
    <row r="6" ht="16.5" customHeight="1">
      <c r="A6" s="85">
        <v>4.0</v>
      </c>
      <c r="B6" s="35" t="s">
        <v>68</v>
      </c>
      <c r="C6" s="35" t="s">
        <v>109</v>
      </c>
      <c r="D6" s="86" t="s">
        <v>204</v>
      </c>
      <c r="E6" s="35">
        <v>149.0</v>
      </c>
      <c r="F6" s="86" t="s">
        <v>383</v>
      </c>
      <c r="G6" s="35" t="s">
        <v>151</v>
      </c>
      <c r="H6" s="85" t="s">
        <v>208</v>
      </c>
      <c r="I6" s="85" t="s">
        <v>254</v>
      </c>
      <c r="J6" s="87">
        <f t="shared" si="1"/>
        <v>205</v>
      </c>
      <c r="K6" s="35" t="s">
        <v>173</v>
      </c>
      <c r="L6" s="88" t="s">
        <v>340</v>
      </c>
      <c r="M6" s="88" t="s">
        <v>340</v>
      </c>
      <c r="N6" s="87">
        <f t="shared" si="2"/>
        <v>85</v>
      </c>
      <c r="O6" s="35" t="s">
        <v>156</v>
      </c>
      <c r="P6" s="88" t="s">
        <v>157</v>
      </c>
      <c r="Q6" s="88" t="s">
        <v>158</v>
      </c>
      <c r="R6" s="87">
        <f t="shared" si="3"/>
        <v>240</v>
      </c>
      <c r="S6" s="90">
        <f t="shared" si="4"/>
        <v>530</v>
      </c>
      <c r="T6" s="91">
        <f t="shared" si="5"/>
        <v>3.55704698</v>
      </c>
      <c r="U6" s="85">
        <f t="shared" si="6"/>
        <v>5</v>
      </c>
    </row>
    <row r="7">
      <c r="A7" s="85">
        <v>5.0</v>
      </c>
      <c r="B7" s="35" t="s">
        <v>68</v>
      </c>
      <c r="C7" s="35" t="s">
        <v>109</v>
      </c>
      <c r="D7" s="86" t="s">
        <v>240</v>
      </c>
      <c r="E7" s="35">
        <v>150.6</v>
      </c>
      <c r="F7" s="86" t="s">
        <v>385</v>
      </c>
      <c r="G7" s="35" t="s">
        <v>151</v>
      </c>
      <c r="H7" s="85" t="s">
        <v>182</v>
      </c>
      <c r="I7" s="85" t="s">
        <v>263</v>
      </c>
      <c r="J7" s="87">
        <f t="shared" si="1"/>
        <v>200</v>
      </c>
      <c r="K7" s="35" t="s">
        <v>153</v>
      </c>
      <c r="L7" s="88" t="s">
        <v>165</v>
      </c>
      <c r="M7" s="88" t="s">
        <v>165</v>
      </c>
      <c r="N7" s="87">
        <f t="shared" si="2"/>
        <v>105</v>
      </c>
      <c r="O7" s="35" t="s">
        <v>166</v>
      </c>
      <c r="P7" s="88" t="s">
        <v>308</v>
      </c>
      <c r="Q7" s="88" t="s">
        <v>157</v>
      </c>
      <c r="R7" s="87">
        <f t="shared" si="3"/>
        <v>230</v>
      </c>
      <c r="S7" s="90">
        <f t="shared" si="4"/>
        <v>535</v>
      </c>
      <c r="T7" s="91">
        <f t="shared" si="5"/>
        <v>3.552456839</v>
      </c>
      <c r="U7" s="85">
        <f t="shared" si="6"/>
        <v>5</v>
      </c>
    </row>
    <row r="8">
      <c r="A8" s="85">
        <v>6.0</v>
      </c>
      <c r="B8" s="35" t="s">
        <v>68</v>
      </c>
      <c r="C8" s="35" t="s">
        <v>109</v>
      </c>
      <c r="D8" s="86" t="s">
        <v>268</v>
      </c>
      <c r="E8" s="35">
        <v>146.6</v>
      </c>
      <c r="F8" s="86" t="s">
        <v>386</v>
      </c>
      <c r="G8" s="35" t="s">
        <v>161</v>
      </c>
      <c r="H8" s="85" t="s">
        <v>266</v>
      </c>
      <c r="I8" s="85" t="s">
        <v>266</v>
      </c>
      <c r="J8" s="87">
        <f t="shared" si="1"/>
        <v>160</v>
      </c>
      <c r="K8" s="35" t="s">
        <v>189</v>
      </c>
      <c r="L8" s="88" t="s">
        <v>173</v>
      </c>
      <c r="M8" s="88" t="s">
        <v>340</v>
      </c>
      <c r="N8" s="87">
        <f t="shared" si="2"/>
        <v>85</v>
      </c>
      <c r="O8" s="35" t="s">
        <v>183</v>
      </c>
      <c r="P8" s="88" t="s">
        <v>167</v>
      </c>
      <c r="Q8" s="88" t="s">
        <v>389</v>
      </c>
      <c r="R8" s="87">
        <f t="shared" si="3"/>
        <v>235</v>
      </c>
      <c r="S8" s="90">
        <f t="shared" si="4"/>
        <v>480</v>
      </c>
      <c r="T8" s="91">
        <f t="shared" si="5"/>
        <v>3.274215553</v>
      </c>
      <c r="U8" s="85">
        <f t="shared" si="6"/>
        <v>4</v>
      </c>
    </row>
    <row r="9">
      <c r="A9" s="85">
        <v>7.0</v>
      </c>
      <c r="B9" s="35" t="s">
        <v>68</v>
      </c>
      <c r="C9" s="35" t="s">
        <v>109</v>
      </c>
      <c r="D9" s="86" t="s">
        <v>240</v>
      </c>
      <c r="E9" s="35">
        <v>150.8</v>
      </c>
      <c r="F9" s="86" t="s">
        <v>390</v>
      </c>
      <c r="G9" s="35" t="s">
        <v>171</v>
      </c>
      <c r="H9" s="85" t="s">
        <v>280</v>
      </c>
      <c r="I9" s="85" t="s">
        <v>280</v>
      </c>
      <c r="J9" s="87">
        <f t="shared" si="1"/>
        <v>150</v>
      </c>
      <c r="K9" s="35" t="s">
        <v>173</v>
      </c>
      <c r="L9" s="88" t="s">
        <v>174</v>
      </c>
      <c r="M9" s="88" t="s">
        <v>174</v>
      </c>
      <c r="N9" s="87">
        <f t="shared" si="2"/>
        <v>85</v>
      </c>
      <c r="O9" s="35" t="s">
        <v>156</v>
      </c>
      <c r="P9" s="88" t="s">
        <v>255</v>
      </c>
      <c r="Q9" s="88" t="s">
        <v>256</v>
      </c>
      <c r="R9" s="87">
        <f t="shared" si="3"/>
        <v>245</v>
      </c>
      <c r="S9" s="90">
        <f t="shared" si="4"/>
        <v>480</v>
      </c>
      <c r="T9" s="91">
        <f t="shared" si="5"/>
        <v>3.183023873</v>
      </c>
      <c r="U9" s="85">
        <f t="shared" si="6"/>
        <v>4</v>
      </c>
    </row>
    <row r="10">
      <c r="A10" s="85">
        <v>8.0</v>
      </c>
      <c r="B10" s="35" t="s">
        <v>68</v>
      </c>
      <c r="C10" s="35" t="s">
        <v>109</v>
      </c>
      <c r="D10" s="86" t="s">
        <v>342</v>
      </c>
      <c r="E10" s="35">
        <v>149.4</v>
      </c>
      <c r="F10" s="86" t="s">
        <v>392</v>
      </c>
      <c r="G10" s="35" t="s">
        <v>202</v>
      </c>
      <c r="H10" s="85" t="s">
        <v>224</v>
      </c>
      <c r="I10" s="85" t="s">
        <v>235</v>
      </c>
      <c r="J10" s="87">
        <f t="shared" si="1"/>
        <v>180</v>
      </c>
      <c r="K10" s="35" t="s">
        <v>153</v>
      </c>
      <c r="L10" s="88" t="s">
        <v>165</v>
      </c>
      <c r="M10" s="88" t="s">
        <v>165</v>
      </c>
      <c r="N10" s="87">
        <f t="shared" si="2"/>
        <v>105</v>
      </c>
      <c r="O10" s="35" t="s">
        <v>295</v>
      </c>
      <c r="P10" s="88" t="s">
        <v>176</v>
      </c>
      <c r="Q10" s="88" t="s">
        <v>256</v>
      </c>
      <c r="R10" s="87">
        <f t="shared" si="3"/>
        <v>250</v>
      </c>
      <c r="S10" s="90">
        <f t="shared" si="4"/>
        <v>535</v>
      </c>
      <c r="T10" s="91">
        <f t="shared" si="5"/>
        <v>3.580990629</v>
      </c>
      <c r="U10" s="85">
        <f t="shared" si="6"/>
        <v>5</v>
      </c>
    </row>
    <row r="11">
      <c r="A11" s="85">
        <v>9.0</v>
      </c>
      <c r="B11" s="35" t="s">
        <v>68</v>
      </c>
      <c r="C11" s="35" t="s">
        <v>109</v>
      </c>
      <c r="D11" s="86" t="s">
        <v>394</v>
      </c>
      <c r="E11" s="35">
        <v>154.8</v>
      </c>
      <c r="F11" s="86" t="s">
        <v>395</v>
      </c>
      <c r="G11" s="35" t="s">
        <v>202</v>
      </c>
      <c r="H11" s="85" t="s">
        <v>224</v>
      </c>
      <c r="I11" s="85" t="s">
        <v>235</v>
      </c>
      <c r="J11" s="87">
        <f t="shared" si="1"/>
        <v>180</v>
      </c>
      <c r="K11" s="35" t="s">
        <v>173</v>
      </c>
      <c r="L11" s="88" t="s">
        <v>216</v>
      </c>
      <c r="M11" s="88" t="s">
        <v>207</v>
      </c>
      <c r="N11" s="87">
        <f t="shared" si="2"/>
        <v>95</v>
      </c>
      <c r="O11" s="35" t="s">
        <v>156</v>
      </c>
      <c r="P11" s="88" t="s">
        <v>176</v>
      </c>
      <c r="Q11" s="88" t="s">
        <v>293</v>
      </c>
      <c r="R11" s="87">
        <f t="shared" si="3"/>
        <v>265</v>
      </c>
      <c r="S11" s="90">
        <f t="shared" si="4"/>
        <v>540</v>
      </c>
      <c r="T11" s="91">
        <f t="shared" si="5"/>
        <v>3.488372093</v>
      </c>
      <c r="U11" s="85">
        <f t="shared" si="6"/>
        <v>8</v>
      </c>
    </row>
    <row r="12">
      <c r="A12" s="85">
        <v>10.0</v>
      </c>
      <c r="B12" s="35" t="s">
        <v>68</v>
      </c>
      <c r="C12" s="35" t="s">
        <v>109</v>
      </c>
      <c r="D12" s="86" t="s">
        <v>212</v>
      </c>
      <c r="E12" s="35">
        <v>154.4</v>
      </c>
      <c r="F12" s="86" t="s">
        <v>396</v>
      </c>
      <c r="G12" s="35" t="s">
        <v>151</v>
      </c>
      <c r="H12" s="85" t="s">
        <v>175</v>
      </c>
      <c r="I12" s="85" t="s">
        <v>166</v>
      </c>
      <c r="J12" s="87">
        <f t="shared" si="1"/>
        <v>210</v>
      </c>
      <c r="K12" s="35" t="s">
        <v>153</v>
      </c>
      <c r="L12" s="88" t="s">
        <v>193</v>
      </c>
      <c r="M12" s="88" t="s">
        <v>197</v>
      </c>
      <c r="N12" s="87">
        <f t="shared" si="2"/>
        <v>120</v>
      </c>
      <c r="O12" s="35" t="s">
        <v>167</v>
      </c>
      <c r="P12" s="88" t="s">
        <v>324</v>
      </c>
      <c r="Q12" s="88" t="s">
        <v>293</v>
      </c>
      <c r="R12" s="87">
        <f t="shared" si="3"/>
        <v>265</v>
      </c>
      <c r="S12" s="90">
        <f t="shared" si="4"/>
        <v>595</v>
      </c>
      <c r="T12" s="91">
        <f t="shared" si="5"/>
        <v>3.853626943</v>
      </c>
      <c r="U12" s="85">
        <f t="shared" si="6"/>
        <v>9</v>
      </c>
    </row>
    <row r="13">
      <c r="A13" s="85">
        <v>11.0</v>
      </c>
      <c r="B13" s="35" t="s">
        <v>68</v>
      </c>
      <c r="C13" s="35" t="s">
        <v>109</v>
      </c>
      <c r="D13" s="86" t="s">
        <v>177</v>
      </c>
      <c r="E13" s="85">
        <v>151.4</v>
      </c>
      <c r="F13" s="86" t="s">
        <v>398</v>
      </c>
      <c r="G13" s="35" t="s">
        <v>151</v>
      </c>
      <c r="H13" s="85" t="s">
        <v>208</v>
      </c>
      <c r="I13" s="85" t="s">
        <v>208</v>
      </c>
      <c r="J13" s="87">
        <f t="shared" si="1"/>
        <v>185</v>
      </c>
      <c r="K13" s="35" t="s">
        <v>193</v>
      </c>
      <c r="L13" s="88" t="s">
        <v>179</v>
      </c>
      <c r="M13" s="88" t="s">
        <v>186</v>
      </c>
      <c r="N13" s="87">
        <f t="shared" si="2"/>
        <v>135</v>
      </c>
      <c r="O13" s="35" t="s">
        <v>156</v>
      </c>
      <c r="P13" s="88" t="s">
        <v>324</v>
      </c>
      <c r="Q13" s="88" t="s">
        <v>399</v>
      </c>
      <c r="R13" s="87">
        <f t="shared" si="3"/>
        <v>285</v>
      </c>
      <c r="S13" s="90">
        <f t="shared" si="4"/>
        <v>605</v>
      </c>
      <c r="T13" s="91">
        <f t="shared" si="5"/>
        <v>3.996036988</v>
      </c>
      <c r="U13" s="85">
        <f t="shared" si="6"/>
        <v>7</v>
      </c>
    </row>
    <row r="14">
      <c r="A14" s="85">
        <v>12.0</v>
      </c>
      <c r="B14" s="35" t="s">
        <v>68</v>
      </c>
      <c r="C14" s="35" t="s">
        <v>109</v>
      </c>
      <c r="D14" s="86" t="s">
        <v>212</v>
      </c>
      <c r="E14" s="35">
        <v>153.6</v>
      </c>
      <c r="F14" s="86" t="s">
        <v>401</v>
      </c>
      <c r="G14" s="35" t="s">
        <v>151</v>
      </c>
      <c r="H14" s="85" t="s">
        <v>175</v>
      </c>
      <c r="I14" s="85" t="s">
        <v>166</v>
      </c>
      <c r="J14" s="87">
        <f t="shared" si="1"/>
        <v>210</v>
      </c>
      <c r="K14" s="35" t="s">
        <v>173</v>
      </c>
      <c r="L14" s="88" t="s">
        <v>164</v>
      </c>
      <c r="M14" s="88" t="s">
        <v>154</v>
      </c>
      <c r="N14" s="87">
        <f t="shared" si="2"/>
        <v>110</v>
      </c>
      <c r="O14" s="35" t="s">
        <v>324</v>
      </c>
      <c r="P14" s="88" t="s">
        <v>293</v>
      </c>
      <c r="Q14" s="88" t="s">
        <v>399</v>
      </c>
      <c r="R14" s="87">
        <f t="shared" si="3"/>
        <v>285</v>
      </c>
      <c r="S14" s="90">
        <f t="shared" si="4"/>
        <v>605</v>
      </c>
      <c r="T14" s="91">
        <f t="shared" si="5"/>
        <v>3.938802083</v>
      </c>
      <c r="U14" s="85">
        <f t="shared" si="6"/>
        <v>9</v>
      </c>
    </row>
    <row r="15">
      <c r="A15" s="85">
        <v>13.0</v>
      </c>
      <c r="B15" s="35" t="s">
        <v>68</v>
      </c>
      <c r="C15" s="35" t="s">
        <v>109</v>
      </c>
      <c r="D15" s="86" t="s">
        <v>402</v>
      </c>
      <c r="E15" s="35">
        <v>148.2</v>
      </c>
      <c r="F15" s="86" t="s">
        <v>403</v>
      </c>
      <c r="G15" s="35" t="s">
        <v>183</v>
      </c>
      <c r="H15" s="85" t="s">
        <v>255</v>
      </c>
      <c r="I15" s="85" t="s">
        <v>295</v>
      </c>
      <c r="J15" s="87">
        <f t="shared" si="1"/>
        <v>245</v>
      </c>
      <c r="K15" s="35" t="s">
        <v>153</v>
      </c>
      <c r="L15" s="88" t="s">
        <v>197</v>
      </c>
      <c r="M15" s="88" t="s">
        <v>179</v>
      </c>
      <c r="N15" s="87">
        <f t="shared" si="2"/>
        <v>125</v>
      </c>
      <c r="O15" s="35" t="s">
        <v>405</v>
      </c>
      <c r="P15" s="88" t="s">
        <v>406</v>
      </c>
      <c r="Q15" s="88" t="s">
        <v>407</v>
      </c>
      <c r="R15" s="87">
        <f t="shared" si="3"/>
        <v>315</v>
      </c>
      <c r="S15" s="90">
        <f t="shared" si="4"/>
        <v>685</v>
      </c>
      <c r="T15" s="91">
        <f t="shared" si="5"/>
        <v>4.622132254</v>
      </c>
      <c r="U15" s="85">
        <f t="shared" si="6"/>
        <v>7</v>
      </c>
    </row>
    <row r="16">
      <c r="A16" s="85">
        <v>14.0</v>
      </c>
      <c r="B16" s="35" t="s">
        <v>68</v>
      </c>
      <c r="C16" s="35" t="s">
        <v>109</v>
      </c>
      <c r="D16" s="86" t="s">
        <v>204</v>
      </c>
      <c r="E16" s="35">
        <v>146.4</v>
      </c>
      <c r="F16" s="86" t="s">
        <v>408</v>
      </c>
      <c r="G16" s="35" t="s">
        <v>150</v>
      </c>
      <c r="H16" s="85" t="s">
        <v>162</v>
      </c>
      <c r="I16" s="85" t="s">
        <v>151</v>
      </c>
      <c r="J16" s="87">
        <f t="shared" si="1"/>
        <v>185</v>
      </c>
      <c r="K16" s="35" t="s">
        <v>188</v>
      </c>
      <c r="L16" s="88" t="s">
        <v>244</v>
      </c>
      <c r="M16" s="88" t="s">
        <v>244</v>
      </c>
      <c r="N16" s="87">
        <f t="shared" si="2"/>
        <v>65</v>
      </c>
      <c r="O16" s="35" t="s">
        <v>150</v>
      </c>
      <c r="P16" s="88" t="s">
        <v>162</v>
      </c>
      <c r="Q16" s="88" t="s">
        <v>162</v>
      </c>
      <c r="R16" s="87">
        <f t="shared" si="3"/>
        <v>175</v>
      </c>
      <c r="S16" s="90">
        <f t="shared" si="4"/>
        <v>425</v>
      </c>
      <c r="T16" s="91">
        <f t="shared" si="5"/>
        <v>2.903005464</v>
      </c>
      <c r="U16" s="85">
        <f t="shared" si="6"/>
        <v>4</v>
      </c>
    </row>
    <row r="17">
      <c r="A17" s="85">
        <v>15.0</v>
      </c>
      <c r="B17" s="35" t="s">
        <v>68</v>
      </c>
      <c r="C17" s="35" t="s">
        <v>109</v>
      </c>
      <c r="D17" s="86" t="s">
        <v>214</v>
      </c>
      <c r="E17" s="35">
        <v>153.6</v>
      </c>
      <c r="F17" s="86" t="s">
        <v>411</v>
      </c>
      <c r="G17" s="35" t="s">
        <v>170</v>
      </c>
      <c r="H17" s="85" t="s">
        <v>161</v>
      </c>
      <c r="I17" s="85" t="s">
        <v>224</v>
      </c>
      <c r="J17" s="87">
        <f t="shared" si="1"/>
        <v>165</v>
      </c>
      <c r="K17" s="35" t="s">
        <v>244</v>
      </c>
      <c r="L17" s="88" t="s">
        <v>173</v>
      </c>
      <c r="M17" s="88" t="s">
        <v>207</v>
      </c>
      <c r="N17" s="87">
        <f t="shared" si="2"/>
        <v>85</v>
      </c>
      <c r="O17" s="35" t="s">
        <v>203</v>
      </c>
      <c r="P17" s="88" t="s">
        <v>211</v>
      </c>
      <c r="Q17" s="88" t="s">
        <v>211</v>
      </c>
      <c r="R17" s="87">
        <f t="shared" si="3"/>
        <v>170</v>
      </c>
      <c r="S17" s="90">
        <f t="shared" si="4"/>
        <v>420</v>
      </c>
      <c r="T17" s="91">
        <f t="shared" si="5"/>
        <v>2.734375</v>
      </c>
      <c r="U17" s="85">
        <f t="shared" si="6"/>
        <v>5</v>
      </c>
    </row>
    <row r="18">
      <c r="A18" s="85">
        <v>16.0</v>
      </c>
      <c r="B18" s="35" t="s">
        <v>68</v>
      </c>
      <c r="C18" s="35" t="s">
        <v>109</v>
      </c>
      <c r="D18" s="86" t="s">
        <v>285</v>
      </c>
      <c r="E18" s="35">
        <v>151.8</v>
      </c>
      <c r="F18" s="86" t="s">
        <v>412</v>
      </c>
      <c r="G18" s="35" t="s">
        <v>216</v>
      </c>
      <c r="H18" s="85" t="s">
        <v>193</v>
      </c>
      <c r="I18" s="85" t="s">
        <v>179</v>
      </c>
      <c r="J18" s="87">
        <f t="shared" si="1"/>
        <v>125</v>
      </c>
      <c r="K18" s="35" t="s">
        <v>172</v>
      </c>
      <c r="L18" s="88" t="s">
        <v>189</v>
      </c>
      <c r="M18" s="88" t="s">
        <v>210</v>
      </c>
      <c r="N18" s="87">
        <f t="shared" si="2"/>
        <v>80</v>
      </c>
      <c r="O18" s="35" t="s">
        <v>224</v>
      </c>
      <c r="P18" s="88" t="s">
        <v>151</v>
      </c>
      <c r="Q18" s="88" t="s">
        <v>254</v>
      </c>
      <c r="R18" s="87">
        <f t="shared" si="3"/>
        <v>205</v>
      </c>
      <c r="S18" s="90">
        <f t="shared" si="4"/>
        <v>410</v>
      </c>
      <c r="T18" s="91">
        <f t="shared" si="5"/>
        <v>2.700922266</v>
      </c>
      <c r="U18" s="85">
        <f t="shared" si="6"/>
        <v>8</v>
      </c>
    </row>
    <row r="19">
      <c r="A19" s="85">
        <v>17.0</v>
      </c>
      <c r="B19" s="35" t="s">
        <v>68</v>
      </c>
      <c r="C19" s="35" t="s">
        <v>109</v>
      </c>
      <c r="D19" s="86" t="s">
        <v>212</v>
      </c>
      <c r="E19" s="85">
        <v>150.2</v>
      </c>
      <c r="F19" s="86" t="s">
        <v>415</v>
      </c>
      <c r="G19" s="35" t="s">
        <v>171</v>
      </c>
      <c r="H19" s="85" t="s">
        <v>161</v>
      </c>
      <c r="I19" s="85" t="s">
        <v>203</v>
      </c>
      <c r="J19" s="87">
        <f t="shared" si="1"/>
        <v>170</v>
      </c>
      <c r="K19" s="35" t="s">
        <v>195</v>
      </c>
      <c r="L19" s="88" t="s">
        <v>189</v>
      </c>
      <c r="M19" s="88" t="s">
        <v>189</v>
      </c>
      <c r="N19" s="87">
        <f t="shared" si="2"/>
        <v>70</v>
      </c>
      <c r="O19" s="35" t="s">
        <v>203</v>
      </c>
      <c r="P19" s="88" t="s">
        <v>181</v>
      </c>
      <c r="Q19" s="88" t="s">
        <v>254</v>
      </c>
      <c r="R19" s="87">
        <f t="shared" si="3"/>
        <v>205</v>
      </c>
      <c r="S19" s="90">
        <f t="shared" si="4"/>
        <v>445</v>
      </c>
      <c r="T19" s="91">
        <f t="shared" si="5"/>
        <v>2.962716378</v>
      </c>
      <c r="U19" s="85">
        <f t="shared" si="6"/>
        <v>7</v>
      </c>
    </row>
    <row r="20">
      <c r="A20" s="85">
        <v>18.0</v>
      </c>
      <c r="B20" s="35" t="s">
        <v>68</v>
      </c>
      <c r="C20" s="35" t="s">
        <v>109</v>
      </c>
      <c r="D20" s="86" t="s">
        <v>204</v>
      </c>
      <c r="E20" s="35">
        <v>147.0</v>
      </c>
      <c r="F20" s="86" t="s">
        <v>418</v>
      </c>
      <c r="G20" s="35" t="s">
        <v>151</v>
      </c>
      <c r="H20" s="85" t="s">
        <v>208</v>
      </c>
      <c r="I20" s="85" t="s">
        <v>208</v>
      </c>
      <c r="J20" s="87">
        <f t="shared" si="1"/>
        <v>185</v>
      </c>
      <c r="K20" s="35" t="s">
        <v>153</v>
      </c>
      <c r="L20" s="88" t="s">
        <v>154</v>
      </c>
      <c r="M20" s="88" t="s">
        <v>193</v>
      </c>
      <c r="N20" s="87">
        <f t="shared" si="2"/>
        <v>115</v>
      </c>
      <c r="O20" s="35" t="s">
        <v>151</v>
      </c>
      <c r="P20" s="88" t="s">
        <v>175</v>
      </c>
      <c r="Q20" s="88" t="s">
        <v>254</v>
      </c>
      <c r="R20" s="87">
        <f t="shared" si="3"/>
        <v>205</v>
      </c>
      <c r="S20" s="90">
        <f t="shared" si="4"/>
        <v>505</v>
      </c>
      <c r="T20" s="91">
        <f t="shared" si="5"/>
        <v>3.43537415</v>
      </c>
      <c r="U20" s="85">
        <f t="shared" si="6"/>
        <v>7</v>
      </c>
    </row>
    <row r="21">
      <c r="A21" s="85">
        <v>19.0</v>
      </c>
      <c r="B21" s="35" t="s">
        <v>68</v>
      </c>
      <c r="C21" s="35" t="s">
        <v>109</v>
      </c>
      <c r="D21" s="86" t="s">
        <v>168</v>
      </c>
      <c r="E21" s="35">
        <v>151.4</v>
      </c>
      <c r="F21" s="86" t="s">
        <v>419</v>
      </c>
      <c r="G21" s="35" t="s">
        <v>164</v>
      </c>
      <c r="H21" s="85" t="s">
        <v>193</v>
      </c>
      <c r="I21" s="85" t="s">
        <v>243</v>
      </c>
      <c r="J21" s="87">
        <f t="shared" si="1"/>
        <v>115</v>
      </c>
      <c r="K21" s="35" t="s">
        <v>195</v>
      </c>
      <c r="L21" s="88" t="s">
        <v>172</v>
      </c>
      <c r="M21" s="88" t="s">
        <v>189</v>
      </c>
      <c r="N21" s="87">
        <f t="shared" si="2"/>
        <v>75</v>
      </c>
      <c r="O21" s="35" t="s">
        <v>162</v>
      </c>
      <c r="P21" s="88" t="s">
        <v>208</v>
      </c>
      <c r="Q21" s="88" t="s">
        <v>263</v>
      </c>
      <c r="R21" s="87">
        <f t="shared" si="3"/>
        <v>0</v>
      </c>
      <c r="S21" s="90">
        <f t="shared" si="4"/>
        <v>0</v>
      </c>
      <c r="T21" s="91">
        <f t="shared" si="5"/>
        <v>0</v>
      </c>
      <c r="U21" s="85">
        <f t="shared" si="6"/>
        <v>4</v>
      </c>
    </row>
    <row r="22">
      <c r="A22" s="85">
        <v>20.0</v>
      </c>
      <c r="B22" s="35" t="s">
        <v>68</v>
      </c>
      <c r="C22" s="35" t="s">
        <v>109</v>
      </c>
      <c r="D22" s="86" t="s">
        <v>420</v>
      </c>
      <c r="E22" s="35">
        <v>154.0</v>
      </c>
      <c r="F22" s="86" t="s">
        <v>421</v>
      </c>
      <c r="G22" s="35" t="s">
        <v>224</v>
      </c>
      <c r="H22" s="85" t="s">
        <v>235</v>
      </c>
      <c r="I22" s="85" t="s">
        <v>175</v>
      </c>
      <c r="J22" s="87">
        <f t="shared" si="1"/>
        <v>195</v>
      </c>
      <c r="K22" s="35" t="s">
        <v>188</v>
      </c>
      <c r="L22" s="88" t="s">
        <v>210</v>
      </c>
      <c r="M22" s="88" t="s">
        <v>340</v>
      </c>
      <c r="N22" s="87">
        <f t="shared" si="2"/>
        <v>80</v>
      </c>
      <c r="O22" s="35" t="s">
        <v>150</v>
      </c>
      <c r="P22" s="88" t="s">
        <v>181</v>
      </c>
      <c r="Q22" s="88" t="s">
        <v>183</v>
      </c>
      <c r="R22" s="87">
        <f t="shared" si="3"/>
        <v>220</v>
      </c>
      <c r="S22" s="90">
        <f t="shared" si="4"/>
        <v>495</v>
      </c>
      <c r="T22" s="91">
        <f t="shared" si="5"/>
        <v>3.214285714</v>
      </c>
      <c r="U22" s="85">
        <f t="shared" si="6"/>
        <v>8</v>
      </c>
    </row>
    <row r="23">
      <c r="A23" s="85">
        <v>21.0</v>
      </c>
      <c r="B23" s="35"/>
      <c r="C23" s="35"/>
      <c r="D23" s="86"/>
      <c r="E23" s="35"/>
      <c r="F23" s="86"/>
      <c r="G23" s="35"/>
      <c r="H23" s="85"/>
      <c r="I23" s="85"/>
      <c r="J23" s="87" t="str">
        <f t="shared" si="1"/>
        <v/>
      </c>
      <c r="K23" s="35"/>
      <c r="L23" s="88"/>
      <c r="M23" s="88"/>
      <c r="N23" s="87" t="str">
        <f t="shared" si="2"/>
        <v/>
      </c>
      <c r="O23" s="35"/>
      <c r="P23" s="88"/>
      <c r="Q23" s="88"/>
      <c r="R23" s="87" t="str">
        <f t="shared" si="3"/>
        <v/>
      </c>
      <c r="S23" s="90" t="str">
        <f t="shared" si="4"/>
        <v/>
      </c>
      <c r="T23" s="91" t="str">
        <f t="shared" si="5"/>
        <v/>
      </c>
      <c r="U23" s="85">
        <f t="shared" si="6"/>
        <v>0</v>
      </c>
    </row>
    <row r="24">
      <c r="A24" s="85">
        <v>22.0</v>
      </c>
      <c r="B24" s="35"/>
      <c r="C24" s="35"/>
      <c r="D24" s="86"/>
      <c r="E24" s="35"/>
      <c r="F24" s="86"/>
      <c r="G24" s="35"/>
      <c r="H24" s="85"/>
      <c r="I24" s="85"/>
      <c r="J24" s="87" t="str">
        <f t="shared" si="1"/>
        <v/>
      </c>
      <c r="K24" s="35"/>
      <c r="L24" s="88"/>
      <c r="M24" s="88"/>
      <c r="N24" s="87" t="str">
        <f t="shared" si="2"/>
        <v/>
      </c>
      <c r="O24" s="35"/>
      <c r="P24" s="88"/>
      <c r="Q24" s="88"/>
      <c r="R24" s="87" t="str">
        <f t="shared" si="3"/>
        <v/>
      </c>
      <c r="S24" s="90" t="str">
        <f t="shared" si="4"/>
        <v/>
      </c>
      <c r="T24" s="91" t="str">
        <f t="shared" si="5"/>
        <v/>
      </c>
      <c r="U24" s="85">
        <f t="shared" si="6"/>
        <v>0</v>
      </c>
    </row>
    <row r="25">
      <c r="A25" s="85">
        <v>23.0</v>
      </c>
      <c r="B25" s="35"/>
      <c r="C25" s="35"/>
      <c r="D25" s="86"/>
      <c r="E25" s="35"/>
      <c r="F25" s="86"/>
      <c r="G25" s="35"/>
      <c r="H25" s="85"/>
      <c r="I25" s="85"/>
      <c r="J25" s="87" t="str">
        <f t="shared" si="1"/>
        <v/>
      </c>
      <c r="K25" s="35"/>
      <c r="L25" s="88"/>
      <c r="M25" s="88"/>
      <c r="N25" s="87" t="str">
        <f t="shared" si="2"/>
        <v/>
      </c>
      <c r="O25" s="35"/>
      <c r="P25" s="88"/>
      <c r="Q25" s="88"/>
      <c r="R25" s="87" t="str">
        <f t="shared" si="3"/>
        <v/>
      </c>
      <c r="S25" s="90" t="str">
        <f t="shared" si="4"/>
        <v/>
      </c>
      <c r="T25" s="91" t="str">
        <f t="shared" si="5"/>
        <v/>
      </c>
      <c r="U25" s="85">
        <f t="shared" si="6"/>
        <v>0</v>
      </c>
    </row>
    <row r="26">
      <c r="A26" s="85">
        <v>24.0</v>
      </c>
      <c r="B26" s="35"/>
      <c r="C26" s="35"/>
      <c r="D26" s="86"/>
      <c r="E26" s="35"/>
      <c r="F26" s="86"/>
      <c r="G26" s="35"/>
      <c r="H26" s="85"/>
      <c r="I26" s="85"/>
      <c r="J26" s="87" t="str">
        <f t="shared" si="1"/>
        <v/>
      </c>
      <c r="K26" s="35"/>
      <c r="L26" s="88"/>
      <c r="M26" s="88"/>
      <c r="N26" s="87" t="str">
        <f t="shared" si="2"/>
        <v/>
      </c>
      <c r="O26" s="35"/>
      <c r="P26" s="88"/>
      <c r="Q26" s="88"/>
      <c r="R26" s="87" t="str">
        <f t="shared" si="3"/>
        <v/>
      </c>
      <c r="S26" s="90" t="str">
        <f t="shared" si="4"/>
        <v/>
      </c>
      <c r="T26" s="91" t="str">
        <f t="shared" si="5"/>
        <v/>
      </c>
      <c r="U26" s="85">
        <f t="shared" si="6"/>
        <v>0</v>
      </c>
    </row>
    <row r="27">
      <c r="A27" s="85">
        <v>25.0</v>
      </c>
      <c r="B27" s="35"/>
      <c r="C27" s="35"/>
      <c r="D27" s="86"/>
      <c r="E27" s="85"/>
      <c r="F27" s="86"/>
      <c r="G27" s="35"/>
      <c r="H27" s="85"/>
      <c r="I27" s="85"/>
      <c r="J27" s="87" t="str">
        <f t="shared" si="1"/>
        <v/>
      </c>
      <c r="K27" s="35"/>
      <c r="L27" s="88"/>
      <c r="M27" s="88"/>
      <c r="N27" s="87" t="str">
        <f t="shared" si="2"/>
        <v/>
      </c>
      <c r="O27" s="35"/>
      <c r="P27" s="88"/>
      <c r="Q27" s="88"/>
      <c r="R27" s="87" t="str">
        <f t="shared" si="3"/>
        <v/>
      </c>
      <c r="S27" s="90" t="str">
        <f t="shared" si="4"/>
        <v/>
      </c>
      <c r="T27" s="91" t="str">
        <f t="shared" si="5"/>
        <v/>
      </c>
      <c r="U27" s="85">
        <f t="shared" si="6"/>
        <v>0</v>
      </c>
    </row>
    <row r="28">
      <c r="A28" s="85">
        <v>26.0</v>
      </c>
      <c r="B28" s="35"/>
      <c r="C28" s="65"/>
      <c r="D28" s="76"/>
      <c r="E28" s="93"/>
      <c r="F28" s="76"/>
      <c r="G28" s="35"/>
      <c r="H28" s="85"/>
      <c r="I28" s="85"/>
      <c r="J28" s="87" t="str">
        <f t="shared" si="1"/>
        <v/>
      </c>
      <c r="K28" s="35"/>
      <c r="L28" s="88"/>
      <c r="M28" s="88"/>
      <c r="N28" s="87" t="str">
        <f t="shared" si="2"/>
        <v/>
      </c>
      <c r="O28" s="35"/>
      <c r="P28" s="88"/>
      <c r="Q28" s="88"/>
      <c r="R28" s="87" t="str">
        <f t="shared" si="3"/>
        <v/>
      </c>
      <c r="S28" s="90" t="str">
        <f t="shared" si="4"/>
        <v/>
      </c>
      <c r="T28" s="91" t="str">
        <f t="shared" si="5"/>
        <v/>
      </c>
      <c r="U28" s="85">
        <f t="shared" si="6"/>
        <v>0</v>
      </c>
    </row>
    <row r="29">
      <c r="A29" s="85">
        <v>27.0</v>
      </c>
      <c r="B29" s="35"/>
      <c r="C29" s="65"/>
      <c r="D29" s="76"/>
      <c r="E29" s="93"/>
      <c r="F29" s="76"/>
      <c r="G29" s="35"/>
      <c r="H29" s="85"/>
      <c r="I29" s="85"/>
      <c r="J29" s="87" t="str">
        <f t="shared" si="1"/>
        <v/>
      </c>
      <c r="K29" s="35"/>
      <c r="L29" s="88"/>
      <c r="M29" s="88"/>
      <c r="N29" s="87" t="str">
        <f t="shared" si="2"/>
        <v/>
      </c>
      <c r="O29" s="35"/>
      <c r="P29" s="88"/>
      <c r="Q29" s="88"/>
      <c r="R29" s="87" t="str">
        <f t="shared" si="3"/>
        <v/>
      </c>
      <c r="S29" s="90" t="str">
        <f t="shared" si="4"/>
        <v/>
      </c>
      <c r="T29" s="91" t="str">
        <f t="shared" si="5"/>
        <v/>
      </c>
      <c r="U29" s="85">
        <f t="shared" si="6"/>
        <v>0</v>
      </c>
    </row>
    <row r="30">
      <c r="A30" s="85">
        <v>28.0</v>
      </c>
      <c r="B30" s="35"/>
      <c r="C30" s="65"/>
      <c r="D30" s="76"/>
      <c r="E30" s="93"/>
      <c r="F30" s="76"/>
      <c r="G30" s="35"/>
      <c r="H30" s="85"/>
      <c r="I30" s="85"/>
      <c r="J30" s="87" t="str">
        <f t="shared" si="1"/>
        <v/>
      </c>
      <c r="K30" s="35"/>
      <c r="L30" s="88"/>
      <c r="M30" s="88"/>
      <c r="N30" s="87" t="str">
        <f t="shared" si="2"/>
        <v/>
      </c>
      <c r="O30" s="35"/>
      <c r="P30" s="88"/>
      <c r="Q30" s="88"/>
      <c r="R30" s="87" t="str">
        <f t="shared" si="3"/>
        <v/>
      </c>
      <c r="S30" s="90" t="str">
        <f t="shared" si="4"/>
        <v/>
      </c>
      <c r="T30" s="91" t="str">
        <f t="shared" si="5"/>
        <v/>
      </c>
      <c r="U30" s="85">
        <f t="shared" si="6"/>
        <v>0</v>
      </c>
    </row>
    <row r="31">
      <c r="A31" s="85">
        <v>29.0</v>
      </c>
      <c r="B31" s="35"/>
      <c r="C31" s="65"/>
      <c r="D31" s="76"/>
      <c r="E31" s="93"/>
      <c r="F31" s="76"/>
      <c r="G31" s="35"/>
      <c r="H31" s="85"/>
      <c r="I31" s="85"/>
      <c r="J31" s="87" t="str">
        <f t="shared" si="1"/>
        <v/>
      </c>
      <c r="K31" s="35"/>
      <c r="L31" s="88"/>
      <c r="M31" s="88"/>
      <c r="N31" s="87" t="str">
        <f t="shared" si="2"/>
        <v/>
      </c>
      <c r="O31" s="35"/>
      <c r="P31" s="88"/>
      <c r="Q31" s="88"/>
      <c r="R31" s="87" t="str">
        <f t="shared" si="3"/>
        <v/>
      </c>
      <c r="S31" s="90" t="str">
        <f t="shared" si="4"/>
        <v/>
      </c>
      <c r="T31" s="91" t="str">
        <f t="shared" si="5"/>
        <v/>
      </c>
      <c r="U31" s="85">
        <f t="shared" si="6"/>
        <v>0</v>
      </c>
    </row>
    <row r="32">
      <c r="A32" s="85">
        <v>30.0</v>
      </c>
      <c r="B32" s="35"/>
      <c r="C32" s="65"/>
      <c r="D32" s="76"/>
      <c r="E32" s="93"/>
      <c r="F32" s="76"/>
      <c r="G32" s="35"/>
      <c r="H32" s="85"/>
      <c r="I32" s="85"/>
      <c r="J32" s="87" t="str">
        <f t="shared" si="1"/>
        <v/>
      </c>
      <c r="K32" s="35"/>
      <c r="L32" s="88"/>
      <c r="M32" s="88"/>
      <c r="N32" s="87" t="str">
        <f t="shared" si="2"/>
        <v/>
      </c>
      <c r="O32" s="35"/>
      <c r="P32" s="88"/>
      <c r="Q32" s="88"/>
      <c r="R32" s="87" t="str">
        <f t="shared" si="3"/>
        <v/>
      </c>
      <c r="S32" s="90" t="str">
        <f t="shared" si="4"/>
        <v/>
      </c>
      <c r="T32" s="91" t="str">
        <f t="shared" si="5"/>
        <v/>
      </c>
      <c r="U32" s="85">
        <f t="shared" si="6"/>
        <v>0</v>
      </c>
    </row>
    <row r="33">
      <c r="A33" s="85">
        <v>31.0</v>
      </c>
      <c r="B33" s="35"/>
      <c r="C33" s="65"/>
      <c r="D33" s="76"/>
      <c r="E33" s="93"/>
      <c r="F33" s="76"/>
      <c r="G33" s="35"/>
      <c r="H33" s="85"/>
      <c r="I33" s="85"/>
      <c r="J33" s="87" t="str">
        <f t="shared" si="1"/>
        <v/>
      </c>
      <c r="K33" s="35"/>
      <c r="L33" s="88"/>
      <c r="M33" s="88"/>
      <c r="N33" s="87" t="str">
        <f t="shared" si="2"/>
        <v/>
      </c>
      <c r="O33" s="35"/>
      <c r="P33" s="88"/>
      <c r="Q33" s="88"/>
      <c r="R33" s="87" t="str">
        <f t="shared" si="3"/>
        <v/>
      </c>
      <c r="S33" s="90" t="str">
        <f t="shared" si="4"/>
        <v/>
      </c>
      <c r="T33" s="91" t="str">
        <f t="shared" si="5"/>
        <v/>
      </c>
      <c r="U33" s="85">
        <f t="shared" si="6"/>
        <v>0</v>
      </c>
    </row>
    <row r="34">
      <c r="A34" s="85">
        <v>32.0</v>
      </c>
      <c r="B34" s="35"/>
      <c r="C34" s="65"/>
      <c r="D34" s="76"/>
      <c r="E34" s="93"/>
      <c r="F34" s="76"/>
      <c r="G34" s="35"/>
      <c r="H34" s="85"/>
      <c r="I34" s="85"/>
      <c r="J34" s="87" t="str">
        <f t="shared" si="1"/>
        <v/>
      </c>
      <c r="K34" s="35"/>
      <c r="L34" s="88"/>
      <c r="M34" s="88"/>
      <c r="N34" s="87" t="str">
        <f t="shared" si="2"/>
        <v/>
      </c>
      <c r="O34" s="35"/>
      <c r="P34" s="88"/>
      <c r="Q34" s="88"/>
      <c r="R34" s="87" t="str">
        <f t="shared" si="3"/>
        <v/>
      </c>
      <c r="S34" s="90" t="str">
        <f t="shared" si="4"/>
        <v/>
      </c>
      <c r="T34" s="91" t="str">
        <f t="shared" si="5"/>
        <v/>
      </c>
      <c r="U34" s="85">
        <f t="shared" si="6"/>
        <v>0</v>
      </c>
    </row>
    <row r="35">
      <c r="A35" s="85">
        <v>33.0</v>
      </c>
      <c r="B35" s="35"/>
      <c r="C35" s="65"/>
      <c r="D35" s="76"/>
      <c r="E35" s="93"/>
      <c r="F35" s="76"/>
      <c r="G35" s="35"/>
      <c r="H35" s="85"/>
      <c r="I35" s="85"/>
      <c r="J35" s="87" t="str">
        <f t="shared" si="1"/>
        <v/>
      </c>
      <c r="K35" s="35"/>
      <c r="L35" s="88"/>
      <c r="M35" s="88"/>
      <c r="N35" s="87" t="str">
        <f t="shared" si="2"/>
        <v/>
      </c>
      <c r="O35" s="35"/>
      <c r="P35" s="88"/>
      <c r="Q35" s="88"/>
      <c r="R35" s="87" t="str">
        <f t="shared" si="3"/>
        <v/>
      </c>
      <c r="S35" s="90" t="str">
        <f t="shared" si="4"/>
        <v/>
      </c>
      <c r="T35" s="91" t="str">
        <f t="shared" si="5"/>
        <v/>
      </c>
      <c r="U35" s="85">
        <f t="shared" si="6"/>
        <v>0</v>
      </c>
    </row>
    <row r="36">
      <c r="A36" s="85">
        <v>34.0</v>
      </c>
      <c r="B36" s="35"/>
      <c r="C36" s="65"/>
      <c r="D36" s="76"/>
      <c r="E36" s="93"/>
      <c r="F36" s="76"/>
      <c r="G36" s="35"/>
      <c r="H36" s="85"/>
      <c r="I36" s="85"/>
      <c r="J36" s="87" t="str">
        <f t="shared" si="1"/>
        <v/>
      </c>
      <c r="K36" s="35"/>
      <c r="L36" s="88"/>
      <c r="M36" s="88"/>
      <c r="N36" s="87" t="str">
        <f t="shared" si="2"/>
        <v/>
      </c>
      <c r="O36" s="35"/>
      <c r="P36" s="88"/>
      <c r="Q36" s="88"/>
      <c r="R36" s="87" t="str">
        <f t="shared" si="3"/>
        <v/>
      </c>
      <c r="S36" s="90" t="str">
        <f t="shared" si="4"/>
        <v/>
      </c>
      <c r="T36" s="91" t="str">
        <f t="shared" si="5"/>
        <v/>
      </c>
      <c r="U36" s="85">
        <f t="shared" si="6"/>
        <v>0</v>
      </c>
    </row>
    <row r="37">
      <c r="A37" s="85">
        <v>35.0</v>
      </c>
      <c r="B37" s="35"/>
      <c r="C37" s="65"/>
      <c r="D37" s="76"/>
      <c r="E37" s="93"/>
      <c r="F37" s="76"/>
      <c r="G37" s="35"/>
      <c r="H37" s="85"/>
      <c r="I37" s="85"/>
      <c r="J37" s="87" t="str">
        <f t="shared" si="1"/>
        <v/>
      </c>
      <c r="K37" s="35"/>
      <c r="L37" s="88"/>
      <c r="M37" s="88"/>
      <c r="N37" s="87" t="str">
        <f t="shared" si="2"/>
        <v/>
      </c>
      <c r="O37" s="35"/>
      <c r="P37" s="88"/>
      <c r="Q37" s="88"/>
      <c r="R37" s="87" t="str">
        <f t="shared" si="3"/>
        <v/>
      </c>
      <c r="S37" s="90" t="str">
        <f t="shared" si="4"/>
        <v/>
      </c>
      <c r="T37" s="91" t="str">
        <f t="shared" si="5"/>
        <v/>
      </c>
      <c r="U37" s="85">
        <f t="shared" si="6"/>
        <v>0</v>
      </c>
    </row>
    <row r="38">
      <c r="A38" s="85">
        <v>36.0</v>
      </c>
      <c r="B38" s="35"/>
      <c r="C38" s="65"/>
      <c r="D38" s="76"/>
      <c r="E38" s="93"/>
      <c r="F38" s="76"/>
      <c r="G38" s="35"/>
      <c r="H38" s="85"/>
      <c r="I38" s="85"/>
      <c r="J38" s="87" t="str">
        <f t="shared" si="1"/>
        <v/>
      </c>
      <c r="K38" s="35"/>
      <c r="L38" s="88"/>
      <c r="M38" s="88"/>
      <c r="N38" s="87" t="str">
        <f t="shared" si="2"/>
        <v/>
      </c>
      <c r="O38" s="35"/>
      <c r="P38" s="88"/>
      <c r="Q38" s="88"/>
      <c r="R38" s="87" t="str">
        <f t="shared" si="3"/>
        <v/>
      </c>
      <c r="S38" s="90" t="str">
        <f t="shared" si="4"/>
        <v/>
      </c>
      <c r="T38" s="91" t="str">
        <f t="shared" si="5"/>
        <v/>
      </c>
      <c r="U38" s="85">
        <f t="shared" si="6"/>
        <v>0</v>
      </c>
    </row>
    <row r="39">
      <c r="A39" s="85">
        <v>37.0</v>
      </c>
      <c r="B39" s="35"/>
      <c r="C39" s="65"/>
      <c r="D39" s="76"/>
      <c r="E39" s="93"/>
      <c r="F39" s="76"/>
      <c r="G39" s="35"/>
      <c r="H39" s="85"/>
      <c r="I39" s="85"/>
      <c r="J39" s="87" t="str">
        <f t="shared" si="1"/>
        <v/>
      </c>
      <c r="K39" s="35"/>
      <c r="L39" s="88"/>
      <c r="M39" s="88"/>
      <c r="N39" s="87" t="str">
        <f t="shared" si="2"/>
        <v/>
      </c>
      <c r="O39" s="35"/>
      <c r="P39" s="88"/>
      <c r="Q39" s="88"/>
      <c r="R39" s="87" t="str">
        <f t="shared" si="3"/>
        <v/>
      </c>
      <c r="S39" s="90" t="str">
        <f t="shared" si="4"/>
        <v/>
      </c>
      <c r="T39" s="91" t="str">
        <f t="shared" si="5"/>
        <v/>
      </c>
      <c r="U39" s="85">
        <f t="shared" si="6"/>
        <v>0</v>
      </c>
    </row>
    <row r="40">
      <c r="A40" s="85">
        <v>38.0</v>
      </c>
      <c r="B40" s="35"/>
      <c r="C40" s="65"/>
      <c r="D40" s="76"/>
      <c r="E40" s="93"/>
      <c r="F40" s="76"/>
      <c r="G40" s="35"/>
      <c r="H40" s="85"/>
      <c r="I40" s="85"/>
      <c r="J40" s="87" t="str">
        <f t="shared" si="1"/>
        <v/>
      </c>
      <c r="K40" s="35"/>
      <c r="L40" s="88"/>
      <c r="M40" s="88"/>
      <c r="N40" s="87" t="str">
        <f t="shared" si="2"/>
        <v/>
      </c>
      <c r="O40" s="35"/>
      <c r="P40" s="88"/>
      <c r="Q40" s="88"/>
      <c r="R40" s="87" t="str">
        <f t="shared" si="3"/>
        <v/>
      </c>
      <c r="S40" s="90" t="str">
        <f t="shared" si="4"/>
        <v/>
      </c>
      <c r="T40" s="91" t="str">
        <f t="shared" si="5"/>
        <v/>
      </c>
      <c r="U40" s="85">
        <f t="shared" si="6"/>
        <v>0</v>
      </c>
    </row>
    <row r="41">
      <c r="A41" s="85">
        <v>39.0</v>
      </c>
      <c r="B41" s="35"/>
      <c r="C41" s="65"/>
      <c r="D41" s="76"/>
      <c r="E41" s="93"/>
      <c r="F41" s="76"/>
      <c r="G41" s="35"/>
      <c r="H41" s="85"/>
      <c r="I41" s="85"/>
      <c r="J41" s="87" t="str">
        <f t="shared" si="1"/>
        <v/>
      </c>
      <c r="K41" s="35"/>
      <c r="L41" s="88"/>
      <c r="M41" s="88"/>
      <c r="N41" s="87" t="str">
        <f t="shared" si="2"/>
        <v/>
      </c>
      <c r="O41" s="35"/>
      <c r="P41" s="88"/>
      <c r="Q41" s="88"/>
      <c r="R41" s="87" t="str">
        <f t="shared" si="3"/>
        <v/>
      </c>
      <c r="S41" s="90" t="str">
        <f t="shared" si="4"/>
        <v/>
      </c>
      <c r="T41" s="91" t="str">
        <f t="shared" si="5"/>
        <v/>
      </c>
      <c r="U41" s="85">
        <f t="shared" si="6"/>
        <v>0</v>
      </c>
    </row>
    <row r="42">
      <c r="A42" s="85">
        <v>40.0</v>
      </c>
      <c r="B42" s="35"/>
      <c r="C42" s="65"/>
      <c r="D42" s="76"/>
      <c r="E42" s="93"/>
      <c r="F42" s="76"/>
      <c r="G42" s="35"/>
      <c r="H42" s="85"/>
      <c r="I42" s="85"/>
      <c r="J42" s="87" t="str">
        <f t="shared" si="1"/>
        <v/>
      </c>
      <c r="K42" s="35"/>
      <c r="L42" s="88"/>
      <c r="M42" s="88"/>
      <c r="N42" s="87" t="str">
        <f t="shared" si="2"/>
        <v/>
      </c>
      <c r="O42" s="35"/>
      <c r="P42" s="88"/>
      <c r="Q42" s="88"/>
      <c r="R42" s="87" t="str">
        <f t="shared" si="3"/>
        <v/>
      </c>
      <c r="S42" s="90" t="str">
        <f t="shared" si="4"/>
        <v/>
      </c>
      <c r="T42" s="91" t="str">
        <f t="shared" si="5"/>
        <v/>
      </c>
      <c r="U42" s="85">
        <f t="shared" si="6"/>
        <v>0</v>
      </c>
    </row>
    <row r="43">
      <c r="A43" s="85">
        <v>41.0</v>
      </c>
      <c r="B43" s="35"/>
      <c r="C43" s="65"/>
      <c r="D43" s="76"/>
      <c r="E43" s="93"/>
      <c r="F43" s="76"/>
      <c r="G43" s="35"/>
      <c r="H43" s="85"/>
      <c r="I43" s="85"/>
      <c r="J43" s="87" t="str">
        <f t="shared" si="1"/>
        <v/>
      </c>
      <c r="K43" s="35"/>
      <c r="L43" s="88"/>
      <c r="M43" s="88"/>
      <c r="N43" s="87" t="str">
        <f t="shared" si="2"/>
        <v/>
      </c>
      <c r="O43" s="35"/>
      <c r="P43" s="88"/>
      <c r="Q43" s="88"/>
      <c r="R43" s="87" t="str">
        <f t="shared" si="3"/>
        <v/>
      </c>
      <c r="S43" s="90" t="str">
        <f t="shared" si="4"/>
        <v/>
      </c>
      <c r="T43" s="91" t="str">
        <f t="shared" si="5"/>
        <v/>
      </c>
      <c r="U43" s="85">
        <f t="shared" si="6"/>
        <v>0</v>
      </c>
    </row>
    <row r="44">
      <c r="A44" s="85">
        <v>42.0</v>
      </c>
      <c r="B44" s="35"/>
      <c r="C44" s="65"/>
      <c r="D44" s="76"/>
      <c r="E44" s="93"/>
      <c r="F44" s="76"/>
      <c r="G44" s="35"/>
      <c r="H44" s="85"/>
      <c r="I44" s="85"/>
      <c r="J44" s="87" t="str">
        <f t="shared" si="1"/>
        <v/>
      </c>
      <c r="K44" s="35"/>
      <c r="L44" s="88"/>
      <c r="M44" s="88"/>
      <c r="N44" s="87" t="str">
        <f t="shared" si="2"/>
        <v/>
      </c>
      <c r="O44" s="35"/>
      <c r="P44" s="88"/>
      <c r="Q44" s="88"/>
      <c r="R44" s="87" t="str">
        <f t="shared" si="3"/>
        <v/>
      </c>
      <c r="S44" s="90" t="str">
        <f t="shared" si="4"/>
        <v/>
      </c>
      <c r="T44" s="91" t="str">
        <f t="shared" si="5"/>
        <v/>
      </c>
      <c r="U44" s="85">
        <f t="shared" si="6"/>
        <v>0</v>
      </c>
    </row>
    <row r="45">
      <c r="A45" s="85">
        <v>43.0</v>
      </c>
      <c r="B45" s="35"/>
      <c r="C45" s="65"/>
      <c r="D45" s="76"/>
      <c r="E45" s="93"/>
      <c r="F45" s="76"/>
      <c r="G45" s="35"/>
      <c r="H45" s="85"/>
      <c r="I45" s="85"/>
      <c r="J45" s="87" t="str">
        <f t="shared" si="1"/>
        <v/>
      </c>
      <c r="K45" s="35"/>
      <c r="L45" s="88"/>
      <c r="M45" s="88"/>
      <c r="N45" s="87" t="str">
        <f t="shared" si="2"/>
        <v/>
      </c>
      <c r="O45" s="35"/>
      <c r="P45" s="88"/>
      <c r="Q45" s="88"/>
      <c r="R45" s="87" t="str">
        <f t="shared" si="3"/>
        <v/>
      </c>
      <c r="S45" s="90" t="str">
        <f t="shared" si="4"/>
        <v/>
      </c>
      <c r="T45" s="91" t="str">
        <f t="shared" si="5"/>
        <v/>
      </c>
      <c r="U45" s="85">
        <f t="shared" si="6"/>
        <v>0</v>
      </c>
    </row>
    <row r="46">
      <c r="A46" s="85">
        <v>44.0</v>
      </c>
      <c r="B46" s="35"/>
      <c r="C46" s="65"/>
      <c r="D46" s="76"/>
      <c r="E46" s="93"/>
      <c r="F46" s="76"/>
      <c r="G46" s="35"/>
      <c r="H46" s="85"/>
      <c r="I46" s="85"/>
      <c r="J46" s="87" t="str">
        <f t="shared" si="1"/>
        <v/>
      </c>
      <c r="K46" s="35"/>
      <c r="L46" s="88"/>
      <c r="M46" s="88"/>
      <c r="N46" s="87" t="str">
        <f t="shared" si="2"/>
        <v/>
      </c>
      <c r="O46" s="35"/>
      <c r="P46" s="88"/>
      <c r="Q46" s="88"/>
      <c r="R46" s="87" t="str">
        <f t="shared" si="3"/>
        <v/>
      </c>
      <c r="S46" s="90" t="str">
        <f t="shared" si="4"/>
        <v/>
      </c>
      <c r="T46" s="91" t="str">
        <f t="shared" si="5"/>
        <v/>
      </c>
      <c r="U46" s="85">
        <f t="shared" si="6"/>
        <v>0</v>
      </c>
    </row>
    <row r="47">
      <c r="A47" s="85">
        <v>45.0</v>
      </c>
      <c r="B47" s="35"/>
      <c r="C47" s="65"/>
      <c r="D47" s="76"/>
      <c r="E47" s="93"/>
      <c r="F47" s="76"/>
      <c r="G47" s="35"/>
      <c r="H47" s="85"/>
      <c r="I47" s="85"/>
      <c r="J47" s="87" t="str">
        <f t="shared" si="1"/>
        <v/>
      </c>
      <c r="K47" s="35"/>
      <c r="L47" s="88"/>
      <c r="M47" s="88"/>
      <c r="N47" s="87" t="str">
        <f t="shared" si="2"/>
        <v/>
      </c>
      <c r="O47" s="35"/>
      <c r="P47" s="88"/>
      <c r="Q47" s="88"/>
      <c r="R47" s="87" t="str">
        <f t="shared" si="3"/>
        <v/>
      </c>
      <c r="S47" s="90" t="str">
        <f t="shared" si="4"/>
        <v/>
      </c>
      <c r="T47" s="91" t="str">
        <f t="shared" si="5"/>
        <v/>
      </c>
      <c r="U47" s="85">
        <f t="shared" si="6"/>
        <v>0</v>
      </c>
    </row>
    <row r="48">
      <c r="A48" s="85">
        <v>46.0</v>
      </c>
      <c r="B48" s="35"/>
      <c r="C48" s="65"/>
      <c r="D48" s="76"/>
      <c r="E48" s="93"/>
      <c r="F48" s="76"/>
      <c r="G48" s="35"/>
      <c r="H48" s="85"/>
      <c r="I48" s="85"/>
      <c r="J48" s="87" t="str">
        <f t="shared" si="1"/>
        <v/>
      </c>
      <c r="K48" s="35"/>
      <c r="L48" s="88"/>
      <c r="M48" s="88"/>
      <c r="N48" s="87" t="str">
        <f t="shared" si="2"/>
        <v/>
      </c>
      <c r="O48" s="35"/>
      <c r="P48" s="88"/>
      <c r="Q48" s="88"/>
      <c r="R48" s="87" t="str">
        <f t="shared" si="3"/>
        <v/>
      </c>
      <c r="S48" s="90" t="str">
        <f t="shared" si="4"/>
        <v/>
      </c>
      <c r="T48" s="91" t="str">
        <f t="shared" si="5"/>
        <v/>
      </c>
      <c r="U48" s="85">
        <f t="shared" si="6"/>
        <v>0</v>
      </c>
    </row>
    <row r="49">
      <c r="A49" s="85">
        <v>47.0</v>
      </c>
      <c r="B49" s="35"/>
      <c r="C49" s="65"/>
      <c r="D49" s="76"/>
      <c r="E49" s="93"/>
      <c r="F49" s="76"/>
      <c r="G49" s="35"/>
      <c r="H49" s="85"/>
      <c r="I49" s="85"/>
      <c r="J49" s="87" t="str">
        <f t="shared" si="1"/>
        <v/>
      </c>
      <c r="K49" s="35"/>
      <c r="L49" s="88"/>
      <c r="M49" s="88"/>
      <c r="N49" s="87" t="str">
        <f t="shared" si="2"/>
        <v/>
      </c>
      <c r="O49" s="35"/>
      <c r="P49" s="88"/>
      <c r="Q49" s="88"/>
      <c r="R49" s="87" t="str">
        <f t="shared" si="3"/>
        <v/>
      </c>
      <c r="S49" s="90" t="str">
        <f t="shared" si="4"/>
        <v/>
      </c>
      <c r="T49" s="91" t="str">
        <f t="shared" si="5"/>
        <v/>
      </c>
      <c r="U49" s="85">
        <f t="shared" si="6"/>
        <v>0</v>
      </c>
    </row>
    <row r="50">
      <c r="A50" s="85">
        <v>48.0</v>
      </c>
      <c r="B50" s="35"/>
      <c r="C50" s="65"/>
      <c r="D50" s="76"/>
      <c r="E50" s="93"/>
      <c r="F50" s="76"/>
      <c r="G50" s="35"/>
      <c r="H50" s="85"/>
      <c r="I50" s="85"/>
      <c r="J50" s="87" t="str">
        <f t="shared" si="1"/>
        <v/>
      </c>
      <c r="K50" s="35"/>
      <c r="L50" s="88"/>
      <c r="M50" s="88"/>
      <c r="N50" s="87" t="str">
        <f t="shared" si="2"/>
        <v/>
      </c>
      <c r="O50" s="35"/>
      <c r="P50" s="88"/>
      <c r="Q50" s="88"/>
      <c r="R50" s="87" t="str">
        <f t="shared" si="3"/>
        <v/>
      </c>
      <c r="S50" s="90" t="str">
        <f t="shared" si="4"/>
        <v/>
      </c>
      <c r="T50" s="91" t="str">
        <f t="shared" si="5"/>
        <v/>
      </c>
      <c r="U50" s="85">
        <f t="shared" si="6"/>
        <v>0</v>
      </c>
    </row>
    <row r="51">
      <c r="A51" s="85">
        <v>49.0</v>
      </c>
      <c r="B51" s="35"/>
      <c r="C51" s="65"/>
      <c r="D51" s="76"/>
      <c r="E51" s="93"/>
      <c r="F51" s="76"/>
      <c r="G51" s="35"/>
      <c r="H51" s="85"/>
      <c r="I51" s="85"/>
      <c r="J51" s="87" t="str">
        <f t="shared" si="1"/>
        <v/>
      </c>
      <c r="K51" s="35"/>
      <c r="L51" s="88"/>
      <c r="M51" s="88"/>
      <c r="N51" s="87" t="str">
        <f t="shared" si="2"/>
        <v/>
      </c>
      <c r="O51" s="35"/>
      <c r="P51" s="88"/>
      <c r="Q51" s="88"/>
      <c r="R51" s="87" t="str">
        <f t="shared" si="3"/>
        <v/>
      </c>
      <c r="S51" s="90" t="str">
        <f t="shared" si="4"/>
        <v/>
      </c>
      <c r="T51" s="91" t="str">
        <f t="shared" si="5"/>
        <v/>
      </c>
      <c r="U51" s="85">
        <f t="shared" si="6"/>
        <v>0</v>
      </c>
    </row>
    <row r="52">
      <c r="A52" s="85">
        <v>50.0</v>
      </c>
      <c r="B52" s="35"/>
      <c r="C52" s="65"/>
      <c r="D52" s="76"/>
      <c r="E52" s="93"/>
      <c r="F52" s="76"/>
      <c r="G52" s="35"/>
      <c r="H52" s="85"/>
      <c r="I52" s="85"/>
      <c r="J52" s="87" t="str">
        <f t="shared" si="1"/>
        <v/>
      </c>
      <c r="K52" s="35"/>
      <c r="L52" s="88"/>
      <c r="M52" s="88"/>
      <c r="N52" s="87" t="str">
        <f t="shared" si="2"/>
        <v/>
      </c>
      <c r="O52" s="35"/>
      <c r="P52" s="88"/>
      <c r="Q52" s="88"/>
      <c r="R52" s="87" t="str">
        <f t="shared" si="3"/>
        <v/>
      </c>
      <c r="S52" s="90" t="str">
        <f t="shared" si="4"/>
        <v/>
      </c>
      <c r="T52" s="91" t="str">
        <f t="shared" si="5"/>
        <v/>
      </c>
      <c r="U52" s="85">
        <f t="shared" si="6"/>
        <v>0</v>
      </c>
    </row>
    <row r="53">
      <c r="A53" s="85">
        <v>51.0</v>
      </c>
      <c r="B53" s="35"/>
      <c r="C53" s="65"/>
      <c r="D53" s="76"/>
      <c r="E53" s="93"/>
      <c r="F53" s="76"/>
      <c r="G53" s="35"/>
      <c r="H53" s="85"/>
      <c r="I53" s="85"/>
      <c r="J53" s="87" t="str">
        <f t="shared" si="1"/>
        <v/>
      </c>
      <c r="K53" s="35"/>
      <c r="L53" s="88"/>
      <c r="M53" s="88"/>
      <c r="N53" s="87" t="str">
        <f t="shared" si="2"/>
        <v/>
      </c>
      <c r="O53" s="35"/>
      <c r="P53" s="88"/>
      <c r="Q53" s="88"/>
      <c r="R53" s="87" t="str">
        <f t="shared" si="3"/>
        <v/>
      </c>
      <c r="S53" s="90" t="str">
        <f t="shared" si="4"/>
        <v/>
      </c>
      <c r="T53" s="91" t="str">
        <f t="shared" si="5"/>
        <v/>
      </c>
      <c r="U53" s="85">
        <f t="shared" si="6"/>
        <v>0</v>
      </c>
    </row>
    <row r="54">
      <c r="A54" s="85">
        <v>52.0</v>
      </c>
      <c r="B54" s="35"/>
      <c r="C54" s="65"/>
      <c r="D54" s="76"/>
      <c r="E54" s="93"/>
      <c r="F54" s="76"/>
      <c r="G54" s="35"/>
      <c r="H54" s="85"/>
      <c r="I54" s="85"/>
      <c r="J54" s="87" t="str">
        <f t="shared" si="1"/>
        <v/>
      </c>
      <c r="K54" s="35"/>
      <c r="L54" s="88"/>
      <c r="M54" s="88"/>
      <c r="N54" s="87" t="str">
        <f t="shared" si="2"/>
        <v/>
      </c>
      <c r="O54" s="35"/>
      <c r="P54" s="88"/>
      <c r="Q54" s="88"/>
      <c r="R54" s="87" t="str">
        <f t="shared" si="3"/>
        <v/>
      </c>
      <c r="S54" s="90" t="str">
        <f t="shared" si="4"/>
        <v/>
      </c>
      <c r="T54" s="91" t="str">
        <f t="shared" si="5"/>
        <v/>
      </c>
      <c r="U54" s="85">
        <f t="shared" si="6"/>
        <v>0</v>
      </c>
    </row>
    <row r="55">
      <c r="A55" s="85">
        <v>53.0</v>
      </c>
      <c r="B55" s="35"/>
      <c r="C55" s="65"/>
      <c r="D55" s="76"/>
      <c r="E55" s="93"/>
      <c r="F55" s="76"/>
      <c r="G55" s="35"/>
      <c r="H55" s="85"/>
      <c r="I55" s="85"/>
      <c r="J55" s="87" t="str">
        <f t="shared" si="1"/>
        <v/>
      </c>
      <c r="K55" s="35"/>
      <c r="L55" s="88"/>
      <c r="M55" s="88"/>
      <c r="N55" s="87" t="str">
        <f t="shared" si="2"/>
        <v/>
      </c>
      <c r="O55" s="35"/>
      <c r="P55" s="88"/>
      <c r="Q55" s="88"/>
      <c r="R55" s="87" t="str">
        <f t="shared" si="3"/>
        <v/>
      </c>
      <c r="S55" s="90" t="str">
        <f t="shared" si="4"/>
        <v/>
      </c>
      <c r="T55" s="91" t="str">
        <f t="shared" si="5"/>
        <v/>
      </c>
      <c r="U55" s="85">
        <f t="shared" si="6"/>
        <v>0</v>
      </c>
    </row>
    <row r="56">
      <c r="A56" s="85">
        <v>54.0</v>
      </c>
      <c r="B56" s="35"/>
      <c r="C56" s="65"/>
      <c r="D56" s="76"/>
      <c r="E56" s="93"/>
      <c r="F56" s="76"/>
      <c r="G56" s="35"/>
      <c r="H56" s="85"/>
      <c r="I56" s="85"/>
      <c r="J56" s="87" t="str">
        <f t="shared" si="1"/>
        <v/>
      </c>
      <c r="K56" s="35"/>
      <c r="L56" s="88"/>
      <c r="M56" s="88"/>
      <c r="N56" s="87" t="str">
        <f t="shared" si="2"/>
        <v/>
      </c>
      <c r="O56" s="35"/>
      <c r="P56" s="88"/>
      <c r="Q56" s="88"/>
      <c r="R56" s="87" t="str">
        <f t="shared" si="3"/>
        <v/>
      </c>
      <c r="S56" s="90" t="str">
        <f t="shared" si="4"/>
        <v/>
      </c>
      <c r="T56" s="91" t="str">
        <f t="shared" si="5"/>
        <v/>
      </c>
      <c r="U56" s="85">
        <f t="shared" si="6"/>
        <v>0</v>
      </c>
    </row>
    <row r="57">
      <c r="A57" s="85">
        <v>55.0</v>
      </c>
      <c r="B57" s="35"/>
      <c r="C57" s="65"/>
      <c r="D57" s="76"/>
      <c r="E57" s="93"/>
      <c r="F57" s="76"/>
      <c r="G57" s="35"/>
      <c r="H57" s="85"/>
      <c r="I57" s="85"/>
      <c r="J57" s="87" t="str">
        <f t="shared" si="1"/>
        <v/>
      </c>
      <c r="K57" s="35"/>
      <c r="L57" s="88"/>
      <c r="M57" s="88"/>
      <c r="N57" s="87" t="str">
        <f t="shared" si="2"/>
        <v/>
      </c>
      <c r="O57" s="35"/>
      <c r="P57" s="88"/>
      <c r="Q57" s="88"/>
      <c r="R57" s="87" t="str">
        <f t="shared" si="3"/>
        <v/>
      </c>
      <c r="S57" s="90" t="str">
        <f t="shared" si="4"/>
        <v/>
      </c>
      <c r="T57" s="91" t="str">
        <f t="shared" si="5"/>
        <v/>
      </c>
      <c r="U57" s="85">
        <f t="shared" si="6"/>
        <v>0</v>
      </c>
    </row>
    <row r="58">
      <c r="A58" s="85">
        <v>56.0</v>
      </c>
      <c r="B58" s="35"/>
      <c r="C58" s="65"/>
      <c r="D58" s="76"/>
      <c r="E58" s="93"/>
      <c r="F58" s="76"/>
      <c r="G58" s="35"/>
      <c r="H58" s="85"/>
      <c r="I58" s="85"/>
      <c r="J58" s="87" t="str">
        <f t="shared" si="1"/>
        <v/>
      </c>
      <c r="K58" s="35"/>
      <c r="L58" s="88"/>
      <c r="M58" s="88"/>
      <c r="N58" s="87" t="str">
        <f t="shared" si="2"/>
        <v/>
      </c>
      <c r="O58" s="35"/>
      <c r="P58" s="88"/>
      <c r="Q58" s="88"/>
      <c r="R58" s="87" t="str">
        <f t="shared" si="3"/>
        <v/>
      </c>
      <c r="S58" s="90" t="str">
        <f t="shared" si="4"/>
        <v/>
      </c>
      <c r="T58" s="91" t="str">
        <f t="shared" si="5"/>
        <v/>
      </c>
      <c r="U58" s="85">
        <f t="shared" si="6"/>
        <v>0</v>
      </c>
    </row>
    <row r="59">
      <c r="A59" s="85">
        <v>57.0</v>
      </c>
      <c r="B59" s="35"/>
      <c r="C59" s="65"/>
      <c r="D59" s="76"/>
      <c r="E59" s="93"/>
      <c r="F59" s="76"/>
      <c r="G59" s="35"/>
      <c r="H59" s="85"/>
      <c r="I59" s="85"/>
      <c r="J59" s="87" t="str">
        <f t="shared" si="1"/>
        <v/>
      </c>
      <c r="K59" s="35"/>
      <c r="L59" s="88"/>
      <c r="M59" s="88"/>
      <c r="N59" s="87" t="str">
        <f t="shared" si="2"/>
        <v/>
      </c>
      <c r="O59" s="35"/>
      <c r="P59" s="88"/>
      <c r="Q59" s="88"/>
      <c r="R59" s="87" t="str">
        <f t="shared" si="3"/>
        <v/>
      </c>
      <c r="S59" s="90" t="str">
        <f t="shared" si="4"/>
        <v/>
      </c>
      <c r="T59" s="91" t="str">
        <f t="shared" si="5"/>
        <v/>
      </c>
      <c r="U59" s="85">
        <f t="shared" si="6"/>
        <v>0</v>
      </c>
    </row>
    <row r="60">
      <c r="A60" s="85">
        <v>58.0</v>
      </c>
      <c r="B60" s="35"/>
      <c r="C60" s="65"/>
      <c r="D60" s="76"/>
      <c r="E60" s="93"/>
      <c r="F60" s="76"/>
      <c r="G60" s="35"/>
      <c r="H60" s="85"/>
      <c r="I60" s="85"/>
      <c r="J60" s="87" t="str">
        <f t="shared" si="1"/>
        <v/>
      </c>
      <c r="K60" s="35"/>
      <c r="L60" s="88"/>
      <c r="M60" s="88"/>
      <c r="N60" s="87" t="str">
        <f t="shared" si="2"/>
        <v/>
      </c>
      <c r="O60" s="35"/>
      <c r="P60" s="88"/>
      <c r="Q60" s="88"/>
      <c r="R60" s="87" t="str">
        <f t="shared" si="3"/>
        <v/>
      </c>
      <c r="S60" s="90" t="str">
        <f t="shared" si="4"/>
        <v/>
      </c>
      <c r="T60" s="91" t="str">
        <f t="shared" si="5"/>
        <v/>
      </c>
      <c r="U60" s="85">
        <f t="shared" si="6"/>
        <v>0</v>
      </c>
    </row>
    <row r="61">
      <c r="A61" s="85">
        <v>59.0</v>
      </c>
      <c r="B61" s="35"/>
      <c r="C61" s="65"/>
      <c r="D61" s="76"/>
      <c r="E61" s="93"/>
      <c r="F61" s="76"/>
      <c r="G61" s="35"/>
      <c r="H61" s="85"/>
      <c r="I61" s="85"/>
      <c r="J61" s="87" t="str">
        <f t="shared" si="1"/>
        <v/>
      </c>
      <c r="K61" s="35"/>
      <c r="L61" s="88"/>
      <c r="M61" s="88"/>
      <c r="N61" s="87" t="str">
        <f t="shared" si="2"/>
        <v/>
      </c>
      <c r="O61" s="35"/>
      <c r="P61" s="88"/>
      <c r="Q61" s="88"/>
      <c r="R61" s="87" t="str">
        <f t="shared" si="3"/>
        <v/>
      </c>
      <c r="S61" s="90" t="str">
        <f t="shared" si="4"/>
        <v/>
      </c>
      <c r="T61" s="91" t="str">
        <f t="shared" si="5"/>
        <v/>
      </c>
      <c r="U61" s="85">
        <f t="shared" si="6"/>
        <v>0</v>
      </c>
    </row>
    <row r="62">
      <c r="A62" s="85">
        <v>60.0</v>
      </c>
      <c r="B62" s="35"/>
      <c r="C62" s="65"/>
      <c r="D62" s="76"/>
      <c r="E62" s="93"/>
      <c r="F62" s="76"/>
      <c r="G62" s="35"/>
      <c r="H62" s="85"/>
      <c r="I62" s="85"/>
      <c r="J62" s="87" t="str">
        <f t="shared" si="1"/>
        <v/>
      </c>
      <c r="K62" s="35"/>
      <c r="L62" s="88"/>
      <c r="M62" s="88"/>
      <c r="N62" s="87" t="str">
        <f t="shared" si="2"/>
        <v/>
      </c>
      <c r="O62" s="35"/>
      <c r="P62" s="88"/>
      <c r="Q62" s="88"/>
      <c r="R62" s="87" t="str">
        <f t="shared" si="3"/>
        <v/>
      </c>
      <c r="S62" s="90" t="str">
        <f t="shared" si="4"/>
        <v/>
      </c>
      <c r="T62" s="91" t="str">
        <f t="shared" si="5"/>
        <v/>
      </c>
      <c r="U62" s="85">
        <f t="shared" si="6"/>
        <v>0</v>
      </c>
    </row>
    <row r="63">
      <c r="A63" s="85">
        <v>61.0</v>
      </c>
      <c r="B63" s="35"/>
      <c r="C63" s="65"/>
      <c r="D63" s="76"/>
      <c r="E63" s="93"/>
      <c r="F63" s="76"/>
      <c r="G63" s="35"/>
      <c r="H63" s="85"/>
      <c r="I63" s="85"/>
      <c r="J63" s="87" t="str">
        <f t="shared" si="1"/>
        <v/>
      </c>
      <c r="K63" s="35"/>
      <c r="L63" s="88"/>
      <c r="M63" s="88"/>
      <c r="N63" s="87" t="str">
        <f t="shared" si="2"/>
        <v/>
      </c>
      <c r="O63" s="35"/>
      <c r="P63" s="88"/>
      <c r="Q63" s="88"/>
      <c r="R63" s="87" t="str">
        <f t="shared" si="3"/>
        <v/>
      </c>
      <c r="S63" s="90" t="str">
        <f t="shared" si="4"/>
        <v/>
      </c>
      <c r="T63" s="91" t="str">
        <f t="shared" si="5"/>
        <v/>
      </c>
      <c r="U63" s="85">
        <f t="shared" si="6"/>
        <v>0</v>
      </c>
    </row>
    <row r="64">
      <c r="A64" s="85">
        <v>62.0</v>
      </c>
      <c r="B64" s="35"/>
      <c r="C64" s="65"/>
      <c r="D64" s="76"/>
      <c r="E64" s="93"/>
      <c r="F64" s="76"/>
      <c r="G64" s="35"/>
      <c r="H64" s="85"/>
      <c r="I64" s="85"/>
      <c r="J64" s="87" t="str">
        <f t="shared" si="1"/>
        <v/>
      </c>
      <c r="K64" s="35"/>
      <c r="L64" s="88"/>
      <c r="M64" s="88"/>
      <c r="N64" s="87" t="str">
        <f t="shared" si="2"/>
        <v/>
      </c>
      <c r="O64" s="35"/>
      <c r="P64" s="88"/>
      <c r="Q64" s="88"/>
      <c r="R64" s="87" t="str">
        <f t="shared" si="3"/>
        <v/>
      </c>
      <c r="S64" s="90" t="str">
        <f t="shared" si="4"/>
        <v/>
      </c>
      <c r="T64" s="91" t="str">
        <f t="shared" si="5"/>
        <v/>
      </c>
      <c r="U64" s="85">
        <f t="shared" si="6"/>
        <v>0</v>
      </c>
    </row>
    <row r="65">
      <c r="A65" s="85">
        <v>63.0</v>
      </c>
      <c r="B65" s="35"/>
      <c r="C65" s="65"/>
      <c r="D65" s="76"/>
      <c r="E65" s="93"/>
      <c r="F65" s="76"/>
      <c r="G65" s="35"/>
      <c r="H65" s="85"/>
      <c r="I65" s="85"/>
      <c r="J65" s="87" t="str">
        <f t="shared" si="1"/>
        <v/>
      </c>
      <c r="K65" s="35"/>
      <c r="L65" s="88"/>
      <c r="M65" s="88"/>
      <c r="N65" s="87" t="str">
        <f t="shared" si="2"/>
        <v/>
      </c>
      <c r="O65" s="35"/>
      <c r="P65" s="88"/>
      <c r="Q65" s="88"/>
      <c r="R65" s="87" t="str">
        <f t="shared" si="3"/>
        <v/>
      </c>
      <c r="S65" s="90" t="str">
        <f t="shared" si="4"/>
        <v/>
      </c>
      <c r="T65" s="91" t="str">
        <f t="shared" si="5"/>
        <v/>
      </c>
      <c r="U65" s="85">
        <f t="shared" si="6"/>
        <v>0</v>
      </c>
    </row>
    <row r="66">
      <c r="A66" s="85">
        <v>64.0</v>
      </c>
      <c r="B66" s="35"/>
      <c r="C66" s="65"/>
      <c r="D66" s="76"/>
      <c r="E66" s="93"/>
      <c r="F66" s="76"/>
      <c r="G66" s="35"/>
      <c r="H66" s="85"/>
      <c r="I66" s="85"/>
      <c r="J66" s="87" t="str">
        <f t="shared" si="1"/>
        <v/>
      </c>
      <c r="K66" s="35"/>
      <c r="L66" s="88"/>
      <c r="M66" s="88"/>
      <c r="N66" s="87" t="str">
        <f t="shared" si="2"/>
        <v/>
      </c>
      <c r="O66" s="35"/>
      <c r="P66" s="88"/>
      <c r="Q66" s="88"/>
      <c r="R66" s="87" t="str">
        <f t="shared" si="3"/>
        <v/>
      </c>
      <c r="S66" s="90" t="str">
        <f t="shared" si="4"/>
        <v/>
      </c>
      <c r="T66" s="91" t="str">
        <f t="shared" si="5"/>
        <v/>
      </c>
      <c r="U66" s="85">
        <f t="shared" si="6"/>
        <v>0</v>
      </c>
    </row>
    <row r="67">
      <c r="A67" s="85">
        <v>65.0</v>
      </c>
      <c r="B67" s="35"/>
      <c r="C67" s="65"/>
      <c r="D67" s="76"/>
      <c r="E67" s="93"/>
      <c r="F67" s="76"/>
      <c r="G67" s="35"/>
      <c r="H67" s="85"/>
      <c r="I67" s="85"/>
      <c r="J67" s="87" t="str">
        <f t="shared" si="1"/>
        <v/>
      </c>
      <c r="K67" s="35"/>
      <c r="L67" s="88"/>
      <c r="M67" s="88"/>
      <c r="N67" s="87" t="str">
        <f t="shared" si="2"/>
        <v/>
      </c>
      <c r="O67" s="35"/>
      <c r="P67" s="88"/>
      <c r="Q67" s="88"/>
      <c r="R67" s="87" t="str">
        <f t="shared" si="3"/>
        <v/>
      </c>
      <c r="S67" s="90" t="str">
        <f t="shared" si="4"/>
        <v/>
      </c>
      <c r="T67" s="91" t="str">
        <f t="shared" si="5"/>
        <v/>
      </c>
      <c r="U67" s="85">
        <f t="shared" si="6"/>
        <v>0</v>
      </c>
    </row>
    <row r="68">
      <c r="A68" s="85">
        <v>66.0</v>
      </c>
      <c r="B68" s="35"/>
      <c r="C68" s="65"/>
      <c r="D68" s="76"/>
      <c r="E68" s="93"/>
      <c r="F68" s="76"/>
      <c r="G68" s="35"/>
      <c r="H68" s="85"/>
      <c r="I68" s="85"/>
      <c r="J68" s="87" t="str">
        <f t="shared" si="1"/>
        <v/>
      </c>
      <c r="K68" s="35"/>
      <c r="L68" s="88"/>
      <c r="M68" s="88"/>
      <c r="N68" s="87" t="str">
        <f t="shared" si="2"/>
        <v/>
      </c>
      <c r="O68" s="35"/>
      <c r="P68" s="88"/>
      <c r="Q68" s="88"/>
      <c r="R68" s="87" t="str">
        <f t="shared" si="3"/>
        <v/>
      </c>
      <c r="S68" s="90" t="str">
        <f t="shared" si="4"/>
        <v/>
      </c>
      <c r="T68" s="91" t="str">
        <f t="shared" si="5"/>
        <v/>
      </c>
      <c r="U68" s="85">
        <f t="shared" si="6"/>
        <v>0</v>
      </c>
    </row>
    <row r="69">
      <c r="A69" s="85">
        <v>67.0</v>
      </c>
      <c r="B69" s="35"/>
      <c r="C69" s="65"/>
      <c r="D69" s="76"/>
      <c r="E69" s="93"/>
      <c r="F69" s="76"/>
      <c r="G69" s="35"/>
      <c r="H69" s="85"/>
      <c r="I69" s="85"/>
      <c r="J69" s="87" t="str">
        <f t="shared" si="1"/>
        <v/>
      </c>
      <c r="K69" s="35"/>
      <c r="L69" s="88"/>
      <c r="M69" s="88"/>
      <c r="N69" s="87" t="str">
        <f t="shared" si="2"/>
        <v/>
      </c>
      <c r="O69" s="35"/>
      <c r="P69" s="88"/>
      <c r="Q69" s="88"/>
      <c r="R69" s="87" t="str">
        <f t="shared" si="3"/>
        <v/>
      </c>
      <c r="S69" s="90" t="str">
        <f t="shared" si="4"/>
        <v/>
      </c>
      <c r="T69" s="91" t="str">
        <f t="shared" si="5"/>
        <v/>
      </c>
      <c r="U69" s="85">
        <f t="shared" si="6"/>
        <v>0</v>
      </c>
    </row>
    <row r="70">
      <c r="A70" s="85">
        <v>68.0</v>
      </c>
      <c r="B70" s="35"/>
      <c r="C70" s="65"/>
      <c r="D70" s="76"/>
      <c r="E70" s="93"/>
      <c r="F70" s="76"/>
      <c r="G70" s="35"/>
      <c r="H70" s="85"/>
      <c r="I70" s="85"/>
      <c r="J70" s="87" t="str">
        <f t="shared" si="1"/>
        <v/>
      </c>
      <c r="K70" s="35"/>
      <c r="L70" s="88"/>
      <c r="M70" s="88"/>
      <c r="N70" s="87" t="str">
        <f t="shared" si="2"/>
        <v/>
      </c>
      <c r="O70" s="35"/>
      <c r="P70" s="88"/>
      <c r="Q70" s="88"/>
      <c r="R70" s="87" t="str">
        <f t="shared" si="3"/>
        <v/>
      </c>
      <c r="S70" s="90" t="str">
        <f t="shared" si="4"/>
        <v/>
      </c>
      <c r="T70" s="91" t="str">
        <f t="shared" si="5"/>
        <v/>
      </c>
      <c r="U70" s="85">
        <f t="shared" si="6"/>
        <v>0</v>
      </c>
    </row>
    <row r="71">
      <c r="A71" s="85">
        <v>69.0</v>
      </c>
      <c r="B71" s="35"/>
      <c r="C71" s="65"/>
      <c r="D71" s="76"/>
      <c r="E71" s="93"/>
      <c r="F71" s="76"/>
      <c r="G71" s="35"/>
      <c r="H71" s="85"/>
      <c r="I71" s="85"/>
      <c r="J71" s="87" t="str">
        <f t="shared" si="1"/>
        <v/>
      </c>
      <c r="K71" s="35"/>
      <c r="L71" s="88"/>
      <c r="M71" s="88"/>
      <c r="N71" s="87" t="str">
        <f t="shared" si="2"/>
        <v/>
      </c>
      <c r="O71" s="35"/>
      <c r="P71" s="88"/>
      <c r="Q71" s="88"/>
      <c r="R71" s="87" t="str">
        <f t="shared" si="3"/>
        <v/>
      </c>
      <c r="S71" s="90" t="str">
        <f t="shared" si="4"/>
        <v/>
      </c>
      <c r="T71" s="91" t="str">
        <f t="shared" si="5"/>
        <v/>
      </c>
      <c r="U71" s="85">
        <f t="shared" si="6"/>
        <v>0</v>
      </c>
    </row>
    <row r="72">
      <c r="A72" s="85">
        <v>70.0</v>
      </c>
      <c r="B72" s="35"/>
      <c r="C72" s="65"/>
      <c r="D72" s="76"/>
      <c r="E72" s="93"/>
      <c r="F72" s="76"/>
      <c r="G72" s="35"/>
      <c r="H72" s="85"/>
      <c r="I72" s="85"/>
      <c r="J72" s="87" t="str">
        <f t="shared" si="1"/>
        <v/>
      </c>
      <c r="K72" s="35"/>
      <c r="L72" s="88"/>
      <c r="M72" s="88"/>
      <c r="N72" s="87" t="str">
        <f t="shared" si="2"/>
        <v/>
      </c>
      <c r="O72" s="35"/>
      <c r="P72" s="88"/>
      <c r="Q72" s="88"/>
      <c r="R72" s="87" t="str">
        <f t="shared" si="3"/>
        <v/>
      </c>
      <c r="S72" s="90" t="str">
        <f t="shared" si="4"/>
        <v/>
      </c>
      <c r="T72" s="91" t="str">
        <f t="shared" si="5"/>
        <v/>
      </c>
      <c r="U72" s="85">
        <f t="shared" si="6"/>
        <v>0</v>
      </c>
    </row>
    <row r="73">
      <c r="A73" s="85">
        <v>71.0</v>
      </c>
      <c r="B73" s="35"/>
      <c r="C73" s="65"/>
      <c r="D73" s="76"/>
      <c r="E73" s="93"/>
      <c r="F73" s="76"/>
      <c r="G73" s="35"/>
      <c r="H73" s="85"/>
      <c r="I73" s="85"/>
      <c r="J73" s="87" t="str">
        <f t="shared" si="1"/>
        <v/>
      </c>
      <c r="K73" s="35"/>
      <c r="L73" s="88"/>
      <c r="M73" s="88"/>
      <c r="N73" s="87" t="str">
        <f t="shared" si="2"/>
        <v/>
      </c>
      <c r="O73" s="35"/>
      <c r="P73" s="88"/>
      <c r="Q73" s="88"/>
      <c r="R73" s="87" t="str">
        <f t="shared" si="3"/>
        <v/>
      </c>
      <c r="S73" s="90" t="str">
        <f t="shared" si="4"/>
        <v/>
      </c>
      <c r="T73" s="91" t="str">
        <f t="shared" si="5"/>
        <v/>
      </c>
      <c r="U73" s="85">
        <f t="shared" si="6"/>
        <v>0</v>
      </c>
    </row>
    <row r="74">
      <c r="A74" s="85">
        <v>72.0</v>
      </c>
      <c r="B74" s="35"/>
      <c r="C74" s="65"/>
      <c r="D74" s="76"/>
      <c r="E74" s="93"/>
      <c r="F74" s="76"/>
      <c r="G74" s="35"/>
      <c r="H74" s="85"/>
      <c r="I74" s="85"/>
      <c r="J74" s="87" t="str">
        <f t="shared" si="1"/>
        <v/>
      </c>
      <c r="K74" s="35"/>
      <c r="L74" s="88"/>
      <c r="M74" s="88"/>
      <c r="N74" s="87" t="str">
        <f t="shared" si="2"/>
        <v/>
      </c>
      <c r="O74" s="35"/>
      <c r="P74" s="88"/>
      <c r="Q74" s="88"/>
      <c r="R74" s="87" t="str">
        <f t="shared" si="3"/>
        <v/>
      </c>
      <c r="S74" s="90" t="str">
        <f t="shared" si="4"/>
        <v/>
      </c>
      <c r="T74" s="91" t="str">
        <f t="shared" si="5"/>
        <v/>
      </c>
      <c r="U74" s="85">
        <f t="shared" si="6"/>
        <v>0</v>
      </c>
    </row>
    <row r="75">
      <c r="A75" s="85">
        <v>73.0</v>
      </c>
      <c r="B75" s="35"/>
      <c r="C75" s="65"/>
      <c r="D75" s="76"/>
      <c r="E75" s="93"/>
      <c r="F75" s="76"/>
      <c r="G75" s="35"/>
      <c r="H75" s="85"/>
      <c r="I75" s="85"/>
      <c r="J75" s="87" t="str">
        <f t="shared" si="1"/>
        <v/>
      </c>
      <c r="K75" s="35"/>
      <c r="L75" s="88"/>
      <c r="M75" s="88"/>
      <c r="N75" s="87" t="str">
        <f t="shared" si="2"/>
        <v/>
      </c>
      <c r="O75" s="35"/>
      <c r="P75" s="88"/>
      <c r="Q75" s="88"/>
      <c r="R75" s="87" t="str">
        <f t="shared" si="3"/>
        <v/>
      </c>
      <c r="S75" s="90" t="str">
        <f t="shared" si="4"/>
        <v/>
      </c>
      <c r="T75" s="91" t="str">
        <f t="shared" si="5"/>
        <v/>
      </c>
      <c r="U75" s="85">
        <f t="shared" si="6"/>
        <v>0</v>
      </c>
    </row>
    <row r="76">
      <c r="A76" s="85">
        <v>74.0</v>
      </c>
      <c r="B76" s="35"/>
      <c r="C76" s="65"/>
      <c r="D76" s="76"/>
      <c r="E76" s="93"/>
      <c r="F76" s="76"/>
      <c r="G76" s="35"/>
      <c r="H76" s="85"/>
      <c r="I76" s="85"/>
      <c r="J76" s="87" t="str">
        <f t="shared" si="1"/>
        <v/>
      </c>
      <c r="K76" s="35"/>
      <c r="L76" s="88"/>
      <c r="M76" s="88"/>
      <c r="N76" s="87" t="str">
        <f t="shared" si="2"/>
        <v/>
      </c>
      <c r="O76" s="35"/>
      <c r="P76" s="88"/>
      <c r="Q76" s="88"/>
      <c r="R76" s="87" t="str">
        <f t="shared" si="3"/>
        <v/>
      </c>
      <c r="S76" s="90" t="str">
        <f t="shared" si="4"/>
        <v/>
      </c>
      <c r="T76" s="91" t="str">
        <f t="shared" si="5"/>
        <v/>
      </c>
      <c r="U76" s="85">
        <f t="shared" si="6"/>
        <v>0</v>
      </c>
    </row>
    <row r="77">
      <c r="A77" s="85">
        <v>75.0</v>
      </c>
      <c r="B77" s="35"/>
      <c r="C77" s="65"/>
      <c r="D77" s="76"/>
      <c r="E77" s="93"/>
      <c r="F77" s="76"/>
      <c r="G77" s="35"/>
      <c r="H77" s="85"/>
      <c r="I77" s="85"/>
      <c r="J77" s="87" t="str">
        <f t="shared" si="1"/>
        <v/>
      </c>
      <c r="K77" s="35"/>
      <c r="L77" s="88"/>
      <c r="M77" s="88"/>
      <c r="N77" s="87" t="str">
        <f t="shared" si="2"/>
        <v/>
      </c>
      <c r="O77" s="35"/>
      <c r="P77" s="88"/>
      <c r="Q77" s="88"/>
      <c r="R77" s="87" t="str">
        <f t="shared" si="3"/>
        <v/>
      </c>
      <c r="S77" s="90" t="str">
        <f t="shared" si="4"/>
        <v/>
      </c>
      <c r="T77" s="91" t="str">
        <f t="shared" si="5"/>
        <v/>
      </c>
      <c r="U77" s="85">
        <f t="shared" si="6"/>
        <v>0</v>
      </c>
    </row>
  </sheetData>
  <autoFilter ref="$B$2:$T$77"/>
  <customSheetViews>
    <customSheetView guid="{B0C17AAF-6872-48F8-A58E-565BF6C8DB27}" filter="1" showAutoFilter="1">
      <autoFilter ref="$C$2:$T$52"/>
    </customSheetView>
  </customSheetViews>
  <mergeCells count="3">
    <mergeCell ref="K1:N1"/>
    <mergeCell ref="G1:J1"/>
    <mergeCell ref="O1:R1"/>
  </mergeCells>
  <conditionalFormatting sqref="G3:I77 K3:M77 O3:Q77">
    <cfRule type="endsWith" dxfId="2" priority="1" operator="endsWith" text="g">
      <formula>RIGHT((G3),LEN("g"))=("g")</formula>
    </cfRule>
  </conditionalFormatting>
  <conditionalFormatting sqref="G3:I77 K3:M77 O3:Q77">
    <cfRule type="endsWith" dxfId="1" priority="2" operator="endsWith" text="x">
      <formula>RIGHT((G3),LEN("x"))=("x")</formula>
    </cfRule>
  </conditionalFormatting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tabColor rgb="FF000000"/>
    <outlinePr summaryBelow="0" summaryRight="0"/>
  </sheetPr>
  <sheetViews>
    <sheetView workbookViewId="0">
      <pane xSplit="6.0" ySplit="2.0" topLeftCell="G3" activePane="bottomRight" state="frozen"/>
      <selection activeCell="G1" sqref="G1" pane="topRight"/>
      <selection activeCell="A3" sqref="A3" pane="bottomLeft"/>
      <selection activeCell="G3" sqref="G3" pane="bottomRight"/>
    </sheetView>
  </sheetViews>
  <sheetFormatPr customHeight="1" defaultColWidth="14.43" defaultRowHeight="15.75"/>
  <cols>
    <col customWidth="1" min="1" max="1" width="3.57"/>
    <col customWidth="1" min="2" max="2" width="11.43"/>
    <col customWidth="1" min="3" max="3" width="6.86"/>
    <col customWidth="1" min="4" max="4" width="14.71"/>
    <col customWidth="1" min="5" max="5" width="7.57"/>
    <col customWidth="1" min="6" max="6" width="18.29"/>
    <col customWidth="1" min="7" max="18" width="5.71"/>
    <col customWidth="1" min="19" max="19" width="9.86"/>
    <col customWidth="1" min="20" max="20" width="11.0"/>
    <col customWidth="1" hidden="1" min="21" max="21" width="11.0"/>
  </cols>
  <sheetData>
    <row r="1">
      <c r="A1" s="22"/>
      <c r="B1" s="95" t="s">
        <v>19</v>
      </c>
      <c r="C1" s="95" t="s">
        <v>135</v>
      </c>
      <c r="D1" s="96" t="s">
        <v>22</v>
      </c>
      <c r="E1" s="96" t="s">
        <v>23</v>
      </c>
      <c r="F1" s="96" t="s">
        <v>25</v>
      </c>
      <c r="G1" s="96" t="s">
        <v>115</v>
      </c>
      <c r="K1" s="96" t="s">
        <v>116</v>
      </c>
      <c r="O1" s="96" t="s">
        <v>117</v>
      </c>
      <c r="S1" s="96" t="s">
        <v>118</v>
      </c>
      <c r="T1" s="96" t="s">
        <v>119</v>
      </c>
      <c r="U1" s="96"/>
    </row>
    <row r="2">
      <c r="A2" s="22"/>
      <c r="B2" s="97" t="s">
        <v>19</v>
      </c>
      <c r="C2" s="97" t="s">
        <v>135</v>
      </c>
      <c r="D2" s="97" t="s">
        <v>22</v>
      </c>
      <c r="E2" s="98" t="s">
        <v>23</v>
      </c>
      <c r="F2" s="97" t="s">
        <v>25</v>
      </c>
      <c r="G2" s="97" t="s">
        <v>136</v>
      </c>
      <c r="H2" s="97" t="s">
        <v>137</v>
      </c>
      <c r="I2" s="97" t="s">
        <v>138</v>
      </c>
      <c r="J2" s="97" t="s">
        <v>139</v>
      </c>
      <c r="K2" s="97" t="s">
        <v>140</v>
      </c>
      <c r="L2" s="97" t="s">
        <v>141</v>
      </c>
      <c r="M2" s="97" t="s">
        <v>142</v>
      </c>
      <c r="N2" s="97" t="s">
        <v>143</v>
      </c>
      <c r="O2" s="97" t="s">
        <v>144</v>
      </c>
      <c r="P2" s="97" t="s">
        <v>145</v>
      </c>
      <c r="Q2" s="97" t="s">
        <v>146</v>
      </c>
      <c r="R2" s="97" t="s">
        <v>147</v>
      </c>
      <c r="S2" s="99"/>
      <c r="T2" s="98" t="s">
        <v>119</v>
      </c>
      <c r="U2" s="98"/>
    </row>
    <row r="3">
      <c r="A3" s="85">
        <v>1.0</v>
      </c>
      <c r="B3" s="35" t="s">
        <v>74</v>
      </c>
      <c r="C3" s="35" t="s">
        <v>109</v>
      </c>
      <c r="D3" s="86" t="s">
        <v>422</v>
      </c>
      <c r="E3" s="35">
        <v>163.9</v>
      </c>
      <c r="F3" s="86" t="s">
        <v>423</v>
      </c>
      <c r="G3" s="35" t="s">
        <v>254</v>
      </c>
      <c r="H3" s="85" t="s">
        <v>156</v>
      </c>
      <c r="I3" s="85" t="s">
        <v>255</v>
      </c>
      <c r="J3" s="87">
        <f t="shared" ref="J3:J77" si="1">IFERROR(__xludf.DUMMYFUNCTION("if(isblank(B3),,Max(if(right(G3,1)=""g"",split(G3,""g""),),if(right(H3,1)=""g"",split(H3,""g""),),if(right(I3,1)=""g"",split(I3,""g""),)))"),245.0)</f>
        <v>245</v>
      </c>
      <c r="K3" s="35" t="s">
        <v>173</v>
      </c>
      <c r="L3" s="88" t="s">
        <v>153</v>
      </c>
      <c r="M3" s="88" t="s">
        <v>243</v>
      </c>
      <c r="N3" s="87">
        <f t="shared" ref="N3:N77" si="2">IFERROR(__xludf.DUMMYFUNCTION("if(isblank($B3),,Max(if(right(K3,1)=""g"",split(K3,""g""),),if(right(L3,1)=""g"",split(L3,""g""),),if(right(M3,1)=""g"",split(M3,""g""),)))"),105.0)</f>
        <v>105</v>
      </c>
      <c r="O3" s="35" t="s">
        <v>156</v>
      </c>
      <c r="P3" s="88" t="s">
        <v>176</v>
      </c>
      <c r="Q3" s="88" t="s">
        <v>424</v>
      </c>
      <c r="R3" s="87">
        <f t="shared" ref="R3:R77" si="3">IFERROR(__xludf.DUMMYFUNCTION("if(isblank($B3),,Max(if(right(O3,1)=""g"",split(O3,""g""),),if(right(P3,1)=""g"",split(P3,""g""),),if(right(Q3,1)=""g"",split(Q3,""g""),)))"),290.0)</f>
        <v>290</v>
      </c>
      <c r="S3" s="90">
        <f t="shared" ref="S3:S77" si="4">if(isblank(F3),,if(or(and(right(G3,1)="x",right(H3,1)="x",right(I3,1)="x"),and(right(K3,1)="x",right(L3,1)="x",right(M3,1)="x"),and(right(O3,1)="x",right(P3,1)="x",right(Q3,1)="x")),0,J3+N3+R3))</f>
        <v>640</v>
      </c>
      <c r="T3" s="91">
        <f t="shared" ref="T3:T77" si="5">if(isblank(E3),,S3/E3)</f>
        <v>3.904820012</v>
      </c>
      <c r="U3" s="85">
        <f t="shared" ref="U3:U77" si="6">countif(G3:Q3,"*g")</f>
        <v>8</v>
      </c>
    </row>
    <row r="4">
      <c r="A4" s="85">
        <v>2.0</v>
      </c>
      <c r="B4" s="35" t="s">
        <v>74</v>
      </c>
      <c r="C4" s="35" t="s">
        <v>109</v>
      </c>
      <c r="D4" s="86" t="s">
        <v>221</v>
      </c>
      <c r="E4" s="35">
        <v>163.4</v>
      </c>
      <c r="F4" s="86" t="s">
        <v>425</v>
      </c>
      <c r="G4" s="35" t="s">
        <v>175</v>
      </c>
      <c r="H4" s="85" t="s">
        <v>166</v>
      </c>
      <c r="I4" s="85" t="s">
        <v>320</v>
      </c>
      <c r="J4" s="87">
        <f t="shared" si="1"/>
        <v>210</v>
      </c>
      <c r="K4" s="35" t="s">
        <v>193</v>
      </c>
      <c r="L4" s="88" t="s">
        <v>179</v>
      </c>
      <c r="M4" s="88" t="s">
        <v>198</v>
      </c>
      <c r="N4" s="87">
        <f t="shared" si="2"/>
        <v>125</v>
      </c>
      <c r="O4" s="35" t="s">
        <v>176</v>
      </c>
      <c r="P4" s="88" t="s">
        <v>329</v>
      </c>
      <c r="Q4" s="88" t="s">
        <v>399</v>
      </c>
      <c r="R4" s="87">
        <f t="shared" si="3"/>
        <v>285</v>
      </c>
      <c r="S4" s="90">
        <f t="shared" si="4"/>
        <v>620</v>
      </c>
      <c r="T4" s="91">
        <f t="shared" si="5"/>
        <v>3.794369645</v>
      </c>
      <c r="U4" s="85">
        <f t="shared" si="6"/>
        <v>7</v>
      </c>
    </row>
    <row r="5">
      <c r="A5" s="85">
        <v>3.0</v>
      </c>
      <c r="B5" s="35" t="s">
        <v>74</v>
      </c>
      <c r="C5" s="35" t="s">
        <v>109</v>
      </c>
      <c r="D5" s="86" t="s">
        <v>378</v>
      </c>
      <c r="E5" s="85">
        <v>155.6</v>
      </c>
      <c r="F5" s="86" t="s">
        <v>426</v>
      </c>
      <c r="G5" s="35" t="s">
        <v>190</v>
      </c>
      <c r="H5" s="85" t="s">
        <v>156</v>
      </c>
      <c r="I5" s="85" t="s">
        <v>273</v>
      </c>
      <c r="J5" s="87">
        <f t="shared" si="1"/>
        <v>225</v>
      </c>
      <c r="K5" s="35" t="s">
        <v>193</v>
      </c>
      <c r="L5" s="88" t="s">
        <v>179</v>
      </c>
      <c r="M5" s="88" t="s">
        <v>180</v>
      </c>
      <c r="N5" s="87">
        <f t="shared" si="2"/>
        <v>125</v>
      </c>
      <c r="O5" s="35" t="s">
        <v>156</v>
      </c>
      <c r="P5" s="88" t="s">
        <v>176</v>
      </c>
      <c r="Q5" s="88" t="s">
        <v>297</v>
      </c>
      <c r="R5" s="87">
        <f t="shared" si="3"/>
        <v>250</v>
      </c>
      <c r="S5" s="90">
        <f t="shared" si="4"/>
        <v>600</v>
      </c>
      <c r="T5" s="91">
        <f t="shared" si="5"/>
        <v>3.856041131</v>
      </c>
      <c r="U5" s="85">
        <f t="shared" si="6"/>
        <v>6</v>
      </c>
    </row>
    <row r="6" ht="16.5" customHeight="1">
      <c r="A6" s="85">
        <v>4.0</v>
      </c>
      <c r="B6" s="35" t="s">
        <v>74</v>
      </c>
      <c r="C6" s="35" t="s">
        <v>109</v>
      </c>
      <c r="D6" s="86" t="s">
        <v>240</v>
      </c>
      <c r="E6" s="35">
        <v>161.8</v>
      </c>
      <c r="F6" s="86" t="s">
        <v>427</v>
      </c>
      <c r="G6" s="35" t="s">
        <v>308</v>
      </c>
      <c r="H6" s="85" t="s">
        <v>255</v>
      </c>
      <c r="I6" s="85" t="s">
        <v>256</v>
      </c>
      <c r="J6" s="87">
        <f t="shared" si="1"/>
        <v>245</v>
      </c>
      <c r="K6" s="35" t="s">
        <v>164</v>
      </c>
      <c r="L6" s="88" t="s">
        <v>165</v>
      </c>
      <c r="M6" s="88" t="s">
        <v>165</v>
      </c>
      <c r="N6" s="87">
        <f t="shared" si="2"/>
        <v>100</v>
      </c>
      <c r="O6" s="35" t="s">
        <v>183</v>
      </c>
      <c r="P6" s="88" t="s">
        <v>273</v>
      </c>
      <c r="Q6" s="88" t="s">
        <v>167</v>
      </c>
      <c r="R6" s="87">
        <f t="shared" si="3"/>
        <v>235</v>
      </c>
      <c r="S6" s="90">
        <f t="shared" si="4"/>
        <v>580</v>
      </c>
      <c r="T6" s="91">
        <f t="shared" si="5"/>
        <v>3.584672435</v>
      </c>
      <c r="U6" s="85">
        <f t="shared" si="6"/>
        <v>5</v>
      </c>
    </row>
    <row r="7">
      <c r="A7" s="85">
        <v>5.0</v>
      </c>
      <c r="B7" s="35" t="s">
        <v>74</v>
      </c>
      <c r="C7" s="35" t="s">
        <v>109</v>
      </c>
      <c r="D7" s="86" t="s">
        <v>168</v>
      </c>
      <c r="E7" s="35">
        <v>162.8</v>
      </c>
      <c r="F7" s="86" t="s">
        <v>428</v>
      </c>
      <c r="G7" s="35" t="s">
        <v>263</v>
      </c>
      <c r="H7" s="85" t="s">
        <v>156</v>
      </c>
      <c r="I7" s="85" t="s">
        <v>308</v>
      </c>
      <c r="J7" s="87">
        <f t="shared" si="1"/>
        <v>230</v>
      </c>
      <c r="K7" s="35" t="s">
        <v>173</v>
      </c>
      <c r="L7" s="88" t="s">
        <v>163</v>
      </c>
      <c r="M7" s="88" t="s">
        <v>216</v>
      </c>
      <c r="N7" s="87">
        <f t="shared" si="2"/>
        <v>95</v>
      </c>
      <c r="O7" s="35" t="s">
        <v>190</v>
      </c>
      <c r="P7" s="88" t="s">
        <v>167</v>
      </c>
      <c r="Q7" s="88" t="s">
        <v>324</v>
      </c>
      <c r="R7" s="87">
        <f t="shared" si="3"/>
        <v>255</v>
      </c>
      <c r="S7" s="90">
        <f t="shared" si="4"/>
        <v>580</v>
      </c>
      <c r="T7" s="91">
        <f t="shared" si="5"/>
        <v>3.562653563</v>
      </c>
      <c r="U7" s="85">
        <f t="shared" si="6"/>
        <v>8</v>
      </c>
    </row>
    <row r="8">
      <c r="A8" s="85">
        <v>6.0</v>
      </c>
      <c r="B8" s="35" t="s">
        <v>74</v>
      </c>
      <c r="C8" s="35" t="s">
        <v>109</v>
      </c>
      <c r="D8" s="86" t="s">
        <v>184</v>
      </c>
      <c r="E8" s="35">
        <v>158.0</v>
      </c>
      <c r="F8" s="86" t="s">
        <v>430</v>
      </c>
      <c r="G8" s="35" t="s">
        <v>235</v>
      </c>
      <c r="H8" s="85" t="s">
        <v>181</v>
      </c>
      <c r="I8" s="85" t="s">
        <v>182</v>
      </c>
      <c r="J8" s="87">
        <f t="shared" si="1"/>
        <v>200</v>
      </c>
      <c r="K8" s="35" t="s">
        <v>262</v>
      </c>
      <c r="L8" s="88" t="s">
        <v>153</v>
      </c>
      <c r="M8" s="88" t="s">
        <v>154</v>
      </c>
      <c r="N8" s="87">
        <f t="shared" si="2"/>
        <v>110</v>
      </c>
      <c r="O8" s="35" t="s">
        <v>158</v>
      </c>
      <c r="P8" s="88" t="s">
        <v>324</v>
      </c>
      <c r="Q8" s="88" t="s">
        <v>293</v>
      </c>
      <c r="R8" s="87">
        <f t="shared" si="3"/>
        <v>265</v>
      </c>
      <c r="S8" s="90">
        <f t="shared" si="4"/>
        <v>575</v>
      </c>
      <c r="T8" s="91">
        <f t="shared" si="5"/>
        <v>3.639240506</v>
      </c>
      <c r="U8" s="85">
        <f t="shared" si="6"/>
        <v>8</v>
      </c>
    </row>
    <row r="9">
      <c r="A9" s="85">
        <v>7.0</v>
      </c>
      <c r="B9" s="35" t="s">
        <v>74</v>
      </c>
      <c r="C9" s="35" t="s">
        <v>109</v>
      </c>
      <c r="D9" s="86" t="s">
        <v>184</v>
      </c>
      <c r="E9" s="35">
        <v>156.0</v>
      </c>
      <c r="F9" s="86" t="s">
        <v>431</v>
      </c>
      <c r="G9" s="35" t="s">
        <v>175</v>
      </c>
      <c r="H9" s="85" t="s">
        <v>190</v>
      </c>
      <c r="I9" s="85" t="s">
        <v>271</v>
      </c>
      <c r="J9" s="87">
        <f t="shared" si="1"/>
        <v>215</v>
      </c>
      <c r="K9" s="35" t="s">
        <v>173</v>
      </c>
      <c r="L9" s="88" t="s">
        <v>163</v>
      </c>
      <c r="M9" s="88" t="s">
        <v>340</v>
      </c>
      <c r="N9" s="87">
        <f t="shared" si="2"/>
        <v>90</v>
      </c>
      <c r="O9" s="35" t="s">
        <v>156</v>
      </c>
      <c r="P9" s="88" t="s">
        <v>176</v>
      </c>
      <c r="Q9" s="88" t="s">
        <v>328</v>
      </c>
      <c r="R9" s="87">
        <f t="shared" si="3"/>
        <v>260</v>
      </c>
      <c r="S9" s="90">
        <f t="shared" si="4"/>
        <v>565</v>
      </c>
      <c r="T9" s="91">
        <f t="shared" si="5"/>
        <v>3.621794872</v>
      </c>
      <c r="U9" s="85">
        <f t="shared" si="6"/>
        <v>7</v>
      </c>
    </row>
    <row r="10">
      <c r="A10" s="85">
        <v>8.0</v>
      </c>
      <c r="B10" s="35" t="s">
        <v>74</v>
      </c>
      <c r="C10" s="35" t="s">
        <v>109</v>
      </c>
      <c r="D10" s="86" t="s">
        <v>251</v>
      </c>
      <c r="E10" s="35">
        <v>161.0</v>
      </c>
      <c r="F10" s="86" t="s">
        <v>433</v>
      </c>
      <c r="G10" s="35" t="s">
        <v>166</v>
      </c>
      <c r="H10" s="85" t="s">
        <v>320</v>
      </c>
      <c r="I10" s="85" t="s">
        <v>190</v>
      </c>
      <c r="J10" s="87">
        <f t="shared" si="1"/>
        <v>215</v>
      </c>
      <c r="K10" s="35" t="s">
        <v>216</v>
      </c>
      <c r="L10" s="88" t="s">
        <v>153</v>
      </c>
      <c r="M10" s="88" t="s">
        <v>227</v>
      </c>
      <c r="N10" s="87">
        <f t="shared" si="2"/>
        <v>105</v>
      </c>
      <c r="O10" s="35" t="s">
        <v>175</v>
      </c>
      <c r="P10" s="88" t="s">
        <v>190</v>
      </c>
      <c r="Q10" s="88" t="s">
        <v>167</v>
      </c>
      <c r="R10" s="87">
        <f t="shared" si="3"/>
        <v>235</v>
      </c>
      <c r="S10" s="90">
        <f t="shared" si="4"/>
        <v>555</v>
      </c>
      <c r="T10" s="91">
        <f t="shared" si="5"/>
        <v>3.447204969</v>
      </c>
      <c r="U10" s="85">
        <f t="shared" si="6"/>
        <v>7</v>
      </c>
    </row>
    <row r="11">
      <c r="A11" s="85">
        <v>9.0</v>
      </c>
      <c r="B11" s="35" t="s">
        <v>74</v>
      </c>
      <c r="C11" s="35" t="s">
        <v>109</v>
      </c>
      <c r="D11" s="86" t="s">
        <v>402</v>
      </c>
      <c r="E11" s="35">
        <v>162.8</v>
      </c>
      <c r="F11" s="86" t="s">
        <v>434</v>
      </c>
      <c r="G11" s="35" t="s">
        <v>151</v>
      </c>
      <c r="H11" s="85" t="s">
        <v>182</v>
      </c>
      <c r="I11" s="85" t="s">
        <v>166</v>
      </c>
      <c r="J11" s="87">
        <f t="shared" si="1"/>
        <v>210</v>
      </c>
      <c r="K11" s="35" t="s">
        <v>164</v>
      </c>
      <c r="L11" s="88" t="s">
        <v>154</v>
      </c>
      <c r="M11" s="88" t="s">
        <v>227</v>
      </c>
      <c r="N11" s="87">
        <f t="shared" si="2"/>
        <v>110</v>
      </c>
      <c r="O11" s="35" t="s">
        <v>182</v>
      </c>
      <c r="P11" s="88" t="s">
        <v>190</v>
      </c>
      <c r="Q11" s="88" t="s">
        <v>156</v>
      </c>
      <c r="R11" s="87">
        <f t="shared" si="3"/>
        <v>225</v>
      </c>
      <c r="S11" s="90">
        <f t="shared" si="4"/>
        <v>545</v>
      </c>
      <c r="T11" s="91">
        <f t="shared" si="5"/>
        <v>3.347665848</v>
      </c>
      <c r="U11" s="85">
        <f t="shared" si="6"/>
        <v>8</v>
      </c>
    </row>
    <row r="12">
      <c r="A12" s="85">
        <v>10.0</v>
      </c>
      <c r="B12" s="35" t="s">
        <v>74</v>
      </c>
      <c r="C12" s="35" t="s">
        <v>109</v>
      </c>
      <c r="D12" s="86" t="s">
        <v>199</v>
      </c>
      <c r="E12" s="35">
        <v>163.2</v>
      </c>
      <c r="F12" s="86" t="s">
        <v>435</v>
      </c>
      <c r="G12" s="35" t="s">
        <v>175</v>
      </c>
      <c r="H12" s="85" t="s">
        <v>301</v>
      </c>
      <c r="I12" s="85" t="s">
        <v>166</v>
      </c>
      <c r="J12" s="87">
        <f t="shared" si="1"/>
        <v>210</v>
      </c>
      <c r="K12" s="35" t="s">
        <v>216</v>
      </c>
      <c r="L12" s="88" t="s">
        <v>262</v>
      </c>
      <c r="M12" s="88" t="s">
        <v>153</v>
      </c>
      <c r="N12" s="87">
        <f t="shared" si="2"/>
        <v>105</v>
      </c>
      <c r="O12" s="35" t="s">
        <v>166</v>
      </c>
      <c r="P12" s="88" t="s">
        <v>308</v>
      </c>
      <c r="Q12" s="88" t="s">
        <v>157</v>
      </c>
      <c r="R12" s="87">
        <f t="shared" si="3"/>
        <v>230</v>
      </c>
      <c r="S12" s="90">
        <f t="shared" si="4"/>
        <v>545</v>
      </c>
      <c r="T12" s="91">
        <f t="shared" si="5"/>
        <v>3.339460784</v>
      </c>
      <c r="U12" s="85">
        <f t="shared" si="6"/>
        <v>6</v>
      </c>
    </row>
    <row r="13">
      <c r="A13" s="85">
        <v>11.0</v>
      </c>
      <c r="B13" s="35" t="s">
        <v>74</v>
      </c>
      <c r="C13" s="35" t="s">
        <v>109</v>
      </c>
      <c r="D13" s="86" t="s">
        <v>363</v>
      </c>
      <c r="E13" s="85">
        <v>159.6</v>
      </c>
      <c r="F13" s="86" t="s">
        <v>436</v>
      </c>
      <c r="G13" s="35" t="s">
        <v>162</v>
      </c>
      <c r="H13" s="85" t="s">
        <v>254</v>
      </c>
      <c r="I13" s="85" t="s">
        <v>190</v>
      </c>
      <c r="J13" s="87">
        <f t="shared" si="1"/>
        <v>215</v>
      </c>
      <c r="K13" s="35" t="s">
        <v>163</v>
      </c>
      <c r="L13" s="88" t="s">
        <v>164</v>
      </c>
      <c r="M13" s="88" t="s">
        <v>165</v>
      </c>
      <c r="N13" s="87">
        <f t="shared" si="2"/>
        <v>100</v>
      </c>
      <c r="O13" s="35" t="s">
        <v>175</v>
      </c>
      <c r="P13" s="88" t="s">
        <v>190</v>
      </c>
      <c r="Q13" s="88" t="s">
        <v>157</v>
      </c>
      <c r="R13" s="87">
        <f t="shared" si="3"/>
        <v>215</v>
      </c>
      <c r="S13" s="90">
        <f t="shared" si="4"/>
        <v>530</v>
      </c>
      <c r="T13" s="91">
        <f t="shared" si="5"/>
        <v>3.320802005</v>
      </c>
      <c r="U13" s="85">
        <f t="shared" si="6"/>
        <v>6</v>
      </c>
    </row>
    <row r="14">
      <c r="A14" s="85">
        <v>12.0</v>
      </c>
      <c r="B14" s="35" t="s">
        <v>74</v>
      </c>
      <c r="C14" s="35" t="s">
        <v>109</v>
      </c>
      <c r="D14" s="86" t="s">
        <v>251</v>
      </c>
      <c r="E14" s="35">
        <v>159.8</v>
      </c>
      <c r="F14" s="86" t="s">
        <v>437</v>
      </c>
      <c r="G14" s="35" t="s">
        <v>161</v>
      </c>
      <c r="H14" s="85" t="s">
        <v>150</v>
      </c>
      <c r="I14" s="85" t="s">
        <v>152</v>
      </c>
      <c r="J14" s="87">
        <f t="shared" si="1"/>
        <v>175</v>
      </c>
      <c r="K14" s="35" t="s">
        <v>210</v>
      </c>
      <c r="L14" s="88" t="s">
        <v>174</v>
      </c>
      <c r="M14" s="88" t="s">
        <v>174</v>
      </c>
      <c r="N14" s="87">
        <f t="shared" si="2"/>
        <v>80</v>
      </c>
      <c r="O14" s="35" t="s">
        <v>183</v>
      </c>
      <c r="P14" s="88" t="s">
        <v>158</v>
      </c>
      <c r="Q14" s="88" t="s">
        <v>324</v>
      </c>
      <c r="R14" s="87">
        <f t="shared" si="3"/>
        <v>255</v>
      </c>
      <c r="S14" s="90">
        <f t="shared" si="4"/>
        <v>510</v>
      </c>
      <c r="T14" s="91">
        <f t="shared" si="5"/>
        <v>3.191489362</v>
      </c>
      <c r="U14" s="85">
        <f t="shared" si="6"/>
        <v>6</v>
      </c>
    </row>
    <row r="15">
      <c r="A15" s="85">
        <v>13.0</v>
      </c>
      <c r="B15" s="35" t="s">
        <v>74</v>
      </c>
      <c r="C15" s="35" t="s">
        <v>109</v>
      </c>
      <c r="D15" s="86" t="s">
        <v>275</v>
      </c>
      <c r="E15" s="35">
        <v>156.4</v>
      </c>
      <c r="F15" s="86" t="s">
        <v>438</v>
      </c>
      <c r="G15" s="35" t="s">
        <v>170</v>
      </c>
      <c r="H15" s="85" t="s">
        <v>171</v>
      </c>
      <c r="I15" s="85" t="s">
        <v>161</v>
      </c>
      <c r="J15" s="87">
        <f t="shared" si="1"/>
        <v>160</v>
      </c>
      <c r="K15" s="35" t="s">
        <v>163</v>
      </c>
      <c r="L15" s="88" t="s">
        <v>164</v>
      </c>
      <c r="M15" s="88" t="s">
        <v>154</v>
      </c>
      <c r="N15" s="87">
        <f t="shared" si="2"/>
        <v>110</v>
      </c>
      <c r="O15" s="35" t="s">
        <v>182</v>
      </c>
      <c r="P15" s="88" t="s">
        <v>190</v>
      </c>
      <c r="Q15" s="88" t="s">
        <v>308</v>
      </c>
      <c r="R15" s="87">
        <f t="shared" si="3"/>
        <v>230</v>
      </c>
      <c r="S15" s="90">
        <f t="shared" si="4"/>
        <v>500</v>
      </c>
      <c r="T15" s="91">
        <f t="shared" si="5"/>
        <v>3.196930946</v>
      </c>
      <c r="U15" s="85">
        <f t="shared" si="6"/>
        <v>9</v>
      </c>
    </row>
    <row r="16">
      <c r="A16" s="85">
        <v>14.0</v>
      </c>
      <c r="B16" s="35" t="s">
        <v>74</v>
      </c>
      <c r="C16" s="35" t="s">
        <v>109</v>
      </c>
      <c r="D16" s="86" t="s">
        <v>214</v>
      </c>
      <c r="E16" s="35">
        <v>158.2</v>
      </c>
      <c r="F16" s="86" t="s">
        <v>439</v>
      </c>
      <c r="G16" s="35" t="s">
        <v>171</v>
      </c>
      <c r="H16" s="85" t="s">
        <v>150</v>
      </c>
      <c r="I16" s="85" t="s">
        <v>181</v>
      </c>
      <c r="J16" s="87">
        <f t="shared" si="1"/>
        <v>190</v>
      </c>
      <c r="K16" s="35" t="s">
        <v>173</v>
      </c>
      <c r="L16" s="88" t="s">
        <v>216</v>
      </c>
      <c r="M16" s="88" t="s">
        <v>207</v>
      </c>
      <c r="N16" s="87">
        <f t="shared" si="2"/>
        <v>95</v>
      </c>
      <c r="O16" s="35" t="s">
        <v>175</v>
      </c>
      <c r="P16" s="88" t="s">
        <v>271</v>
      </c>
      <c r="Q16" s="88" t="s">
        <v>271</v>
      </c>
      <c r="R16" s="87">
        <f t="shared" si="3"/>
        <v>195</v>
      </c>
      <c r="S16" s="90">
        <f t="shared" si="4"/>
        <v>480</v>
      </c>
      <c r="T16" s="91">
        <f t="shared" si="5"/>
        <v>3.034134008</v>
      </c>
      <c r="U16" s="85">
        <f t="shared" si="6"/>
        <v>6</v>
      </c>
    </row>
    <row r="17">
      <c r="A17" s="85">
        <v>15.0</v>
      </c>
      <c r="B17" s="35" t="s">
        <v>74</v>
      </c>
      <c r="C17" s="35" t="s">
        <v>109</v>
      </c>
      <c r="D17" s="86" t="s">
        <v>184</v>
      </c>
      <c r="E17" s="35">
        <v>158.4</v>
      </c>
      <c r="F17" s="86" t="s">
        <v>441</v>
      </c>
      <c r="G17" s="35" t="s">
        <v>203</v>
      </c>
      <c r="H17" s="85" t="s">
        <v>150</v>
      </c>
      <c r="I17" s="85" t="s">
        <v>232</v>
      </c>
      <c r="J17" s="87">
        <f t="shared" si="1"/>
        <v>175</v>
      </c>
      <c r="K17" s="35" t="s">
        <v>163</v>
      </c>
      <c r="L17" s="88" t="s">
        <v>164</v>
      </c>
      <c r="M17" s="88" t="s">
        <v>262</v>
      </c>
      <c r="N17" s="87">
        <f t="shared" si="2"/>
        <v>100</v>
      </c>
      <c r="O17" s="35" t="s">
        <v>235</v>
      </c>
      <c r="P17" s="88" t="s">
        <v>151</v>
      </c>
      <c r="Q17" s="88" t="s">
        <v>175</v>
      </c>
      <c r="R17" s="87">
        <f t="shared" si="3"/>
        <v>195</v>
      </c>
      <c r="S17" s="90">
        <f t="shared" si="4"/>
        <v>470</v>
      </c>
      <c r="T17" s="91">
        <f t="shared" si="5"/>
        <v>2.967171717</v>
      </c>
      <c r="U17" s="85">
        <f t="shared" si="6"/>
        <v>7</v>
      </c>
    </row>
    <row r="18">
      <c r="A18" s="85">
        <v>16.0</v>
      </c>
      <c r="B18" s="35" t="s">
        <v>74</v>
      </c>
      <c r="C18" s="35" t="s">
        <v>109</v>
      </c>
      <c r="D18" s="86" t="s">
        <v>212</v>
      </c>
      <c r="E18" s="35">
        <v>159.8</v>
      </c>
      <c r="F18" s="86" t="s">
        <v>443</v>
      </c>
      <c r="G18" s="35" t="s">
        <v>186</v>
      </c>
      <c r="H18" s="85" t="s">
        <v>171</v>
      </c>
      <c r="I18" s="85" t="s">
        <v>224</v>
      </c>
      <c r="J18" s="87">
        <f t="shared" si="1"/>
        <v>165</v>
      </c>
      <c r="K18" s="35" t="s">
        <v>163</v>
      </c>
      <c r="L18" s="88" t="s">
        <v>164</v>
      </c>
      <c r="M18" s="88" t="s">
        <v>165</v>
      </c>
      <c r="N18" s="87">
        <f t="shared" si="2"/>
        <v>100</v>
      </c>
      <c r="O18" s="35" t="s">
        <v>224</v>
      </c>
      <c r="P18" s="88" t="s">
        <v>151</v>
      </c>
      <c r="Q18" s="88" t="s">
        <v>182</v>
      </c>
      <c r="R18" s="87">
        <f t="shared" si="3"/>
        <v>200</v>
      </c>
      <c r="S18" s="90">
        <f t="shared" si="4"/>
        <v>465</v>
      </c>
      <c r="T18" s="91">
        <f t="shared" si="5"/>
        <v>2.909887359</v>
      </c>
      <c r="U18" s="85">
        <f t="shared" si="6"/>
        <v>8</v>
      </c>
    </row>
    <row r="19">
      <c r="A19" s="85">
        <v>17.0</v>
      </c>
      <c r="B19" s="35" t="s">
        <v>74</v>
      </c>
      <c r="C19" s="35" t="s">
        <v>109</v>
      </c>
      <c r="D19" s="86" t="s">
        <v>260</v>
      </c>
      <c r="E19" s="35">
        <v>163.4</v>
      </c>
      <c r="F19" s="86" t="s">
        <v>445</v>
      </c>
      <c r="G19" s="35" t="s">
        <v>154</v>
      </c>
      <c r="H19" s="85" t="s">
        <v>179</v>
      </c>
      <c r="I19" s="85" t="s">
        <v>245</v>
      </c>
      <c r="J19" s="87">
        <f t="shared" si="1"/>
        <v>145</v>
      </c>
      <c r="K19" s="35" t="s">
        <v>172</v>
      </c>
      <c r="L19" s="88" t="s">
        <v>216</v>
      </c>
      <c r="M19" s="88" t="s">
        <v>207</v>
      </c>
      <c r="N19" s="87">
        <f t="shared" si="2"/>
        <v>95</v>
      </c>
      <c r="O19" s="35" t="s">
        <v>182</v>
      </c>
      <c r="P19" s="88" t="s">
        <v>156</v>
      </c>
      <c r="Q19" s="88" t="s">
        <v>273</v>
      </c>
      <c r="R19" s="87">
        <f t="shared" si="3"/>
        <v>225</v>
      </c>
      <c r="S19" s="90">
        <f t="shared" si="4"/>
        <v>465</v>
      </c>
      <c r="T19" s="91">
        <f t="shared" si="5"/>
        <v>2.845777234</v>
      </c>
      <c r="U19" s="85">
        <f t="shared" si="6"/>
        <v>7</v>
      </c>
    </row>
    <row r="20">
      <c r="A20" s="85">
        <v>18.0</v>
      </c>
      <c r="B20" s="35" t="s">
        <v>74</v>
      </c>
      <c r="C20" s="35" t="s">
        <v>109</v>
      </c>
      <c r="D20" s="86" t="s">
        <v>184</v>
      </c>
      <c r="E20" s="35">
        <v>161.2</v>
      </c>
      <c r="F20" s="86" t="s">
        <v>446</v>
      </c>
      <c r="G20" s="35" t="s">
        <v>170</v>
      </c>
      <c r="H20" s="85" t="s">
        <v>171</v>
      </c>
      <c r="I20" s="85" t="s">
        <v>280</v>
      </c>
      <c r="J20" s="87">
        <f t="shared" si="1"/>
        <v>150</v>
      </c>
      <c r="K20" s="35" t="s">
        <v>210</v>
      </c>
      <c r="L20" s="88" t="s">
        <v>173</v>
      </c>
      <c r="M20" s="88" t="s">
        <v>174</v>
      </c>
      <c r="N20" s="87">
        <f t="shared" si="2"/>
        <v>85</v>
      </c>
      <c r="O20" s="35" t="s">
        <v>151</v>
      </c>
      <c r="P20" s="88" t="s">
        <v>175</v>
      </c>
      <c r="Q20" s="88" t="s">
        <v>208</v>
      </c>
      <c r="R20" s="87">
        <f t="shared" si="3"/>
        <v>195</v>
      </c>
      <c r="S20" s="90">
        <f t="shared" si="4"/>
        <v>430</v>
      </c>
      <c r="T20" s="91">
        <f t="shared" si="5"/>
        <v>2.667493797</v>
      </c>
      <c r="U20" s="85">
        <f t="shared" si="6"/>
        <v>6</v>
      </c>
    </row>
    <row r="21">
      <c r="A21" s="85">
        <v>19.0</v>
      </c>
      <c r="B21" s="35" t="s">
        <v>74</v>
      </c>
      <c r="C21" s="35" t="s">
        <v>109</v>
      </c>
      <c r="D21" s="86" t="s">
        <v>184</v>
      </c>
      <c r="E21" s="85">
        <v>162.8</v>
      </c>
      <c r="F21" s="86" t="s">
        <v>448</v>
      </c>
      <c r="G21" s="35" t="s">
        <v>187</v>
      </c>
      <c r="H21" s="85" t="s">
        <v>201</v>
      </c>
      <c r="I21" s="85" t="s">
        <v>201</v>
      </c>
      <c r="J21" s="87">
        <f t="shared" si="1"/>
        <v>0</v>
      </c>
      <c r="K21" s="35" t="s">
        <v>173</v>
      </c>
      <c r="L21" s="88" t="s">
        <v>174</v>
      </c>
      <c r="M21" s="88" t="s">
        <v>174</v>
      </c>
      <c r="N21" s="87">
        <f t="shared" si="2"/>
        <v>85</v>
      </c>
      <c r="O21" s="35" t="s">
        <v>158</v>
      </c>
      <c r="P21" s="88" t="s">
        <v>324</v>
      </c>
      <c r="Q21" s="88" t="s">
        <v>449</v>
      </c>
      <c r="R21" s="87">
        <f t="shared" si="3"/>
        <v>255</v>
      </c>
      <c r="S21" s="90">
        <f t="shared" si="4"/>
        <v>0</v>
      </c>
      <c r="T21" s="91">
        <f t="shared" si="5"/>
        <v>0</v>
      </c>
      <c r="U21" s="85">
        <f t="shared" si="6"/>
        <v>3</v>
      </c>
    </row>
    <row r="22">
      <c r="A22" s="85">
        <v>20.0</v>
      </c>
      <c r="B22" s="35" t="s">
        <v>74</v>
      </c>
      <c r="C22" s="35" t="s">
        <v>109</v>
      </c>
      <c r="D22" s="86" t="s">
        <v>451</v>
      </c>
      <c r="E22" s="35">
        <v>159.6</v>
      </c>
      <c r="F22" s="86" t="s">
        <v>452</v>
      </c>
      <c r="G22" s="35" t="s">
        <v>152</v>
      </c>
      <c r="H22" s="85" t="s">
        <v>183</v>
      </c>
      <c r="I22" s="85" t="s">
        <v>191</v>
      </c>
      <c r="J22" s="87">
        <f t="shared" si="1"/>
        <v>220</v>
      </c>
      <c r="K22" s="35" t="s">
        <v>262</v>
      </c>
      <c r="L22" s="88" t="s">
        <v>165</v>
      </c>
      <c r="M22" s="88" t="s">
        <v>165</v>
      </c>
      <c r="N22" s="87">
        <f t="shared" si="2"/>
        <v>0</v>
      </c>
      <c r="O22" s="35" t="s">
        <v>255</v>
      </c>
      <c r="P22" s="88" t="s">
        <v>405</v>
      </c>
      <c r="Q22" s="88" t="s">
        <v>405</v>
      </c>
      <c r="R22" s="87">
        <f t="shared" si="3"/>
        <v>245</v>
      </c>
      <c r="S22" s="90">
        <f t="shared" si="4"/>
        <v>0</v>
      </c>
      <c r="T22" s="91">
        <f t="shared" si="5"/>
        <v>0</v>
      </c>
      <c r="U22" s="85">
        <f t="shared" si="6"/>
        <v>2</v>
      </c>
    </row>
    <row r="23">
      <c r="A23" s="85">
        <v>21.0</v>
      </c>
      <c r="B23" s="35" t="s">
        <v>74</v>
      </c>
      <c r="C23" s="35" t="s">
        <v>109</v>
      </c>
      <c r="D23" s="86" t="s">
        <v>214</v>
      </c>
      <c r="E23" s="35">
        <v>163.4</v>
      </c>
      <c r="F23" s="86" t="s">
        <v>453</v>
      </c>
      <c r="G23" s="35" t="s">
        <v>171</v>
      </c>
      <c r="H23" s="85" t="s">
        <v>161</v>
      </c>
      <c r="I23" s="85" t="s">
        <v>232</v>
      </c>
      <c r="J23" s="87">
        <f t="shared" si="1"/>
        <v>160</v>
      </c>
      <c r="K23" s="35" t="s">
        <v>172</v>
      </c>
      <c r="L23" s="88" t="s">
        <v>163</v>
      </c>
      <c r="M23" s="88" t="s">
        <v>340</v>
      </c>
      <c r="N23" s="87">
        <f t="shared" si="2"/>
        <v>90</v>
      </c>
      <c r="O23" s="35" t="s">
        <v>191</v>
      </c>
      <c r="P23" s="88" t="s">
        <v>191</v>
      </c>
      <c r="Q23" s="88" t="s">
        <v>191</v>
      </c>
      <c r="R23" s="87">
        <f t="shared" si="3"/>
        <v>0</v>
      </c>
      <c r="S23" s="90">
        <f t="shared" si="4"/>
        <v>0</v>
      </c>
      <c r="T23" s="91">
        <f t="shared" si="5"/>
        <v>0</v>
      </c>
      <c r="U23" s="85">
        <f t="shared" si="6"/>
        <v>4</v>
      </c>
    </row>
    <row r="24">
      <c r="A24" s="85">
        <v>22.0</v>
      </c>
      <c r="B24" s="35"/>
      <c r="C24" s="35"/>
      <c r="D24" s="86"/>
      <c r="E24" s="35"/>
      <c r="F24" s="86"/>
      <c r="G24" s="35"/>
      <c r="H24" s="85"/>
      <c r="I24" s="85"/>
      <c r="J24" s="87" t="str">
        <f t="shared" si="1"/>
        <v/>
      </c>
      <c r="K24" s="35"/>
      <c r="L24" s="88"/>
      <c r="M24" s="88"/>
      <c r="N24" s="87" t="str">
        <f t="shared" si="2"/>
        <v/>
      </c>
      <c r="O24" s="35"/>
      <c r="P24" s="88"/>
      <c r="Q24" s="88"/>
      <c r="R24" s="87" t="str">
        <f t="shared" si="3"/>
        <v/>
      </c>
      <c r="S24" s="90" t="str">
        <f t="shared" si="4"/>
        <v/>
      </c>
      <c r="T24" s="91" t="str">
        <f t="shared" si="5"/>
        <v/>
      </c>
      <c r="U24" s="85">
        <f t="shared" si="6"/>
        <v>0</v>
      </c>
    </row>
    <row r="25">
      <c r="A25" s="85">
        <v>23.0</v>
      </c>
      <c r="B25" s="35"/>
      <c r="C25" s="35"/>
      <c r="D25" s="86"/>
      <c r="E25" s="35"/>
      <c r="F25" s="86"/>
      <c r="G25" s="35"/>
      <c r="H25" s="85"/>
      <c r="I25" s="85"/>
      <c r="J25" s="87" t="str">
        <f t="shared" si="1"/>
        <v/>
      </c>
      <c r="K25" s="35"/>
      <c r="L25" s="88"/>
      <c r="M25" s="88"/>
      <c r="N25" s="87" t="str">
        <f t="shared" si="2"/>
        <v/>
      </c>
      <c r="O25" s="35"/>
      <c r="P25" s="88"/>
      <c r="Q25" s="88"/>
      <c r="R25" s="87" t="str">
        <f t="shared" si="3"/>
        <v/>
      </c>
      <c r="S25" s="90" t="str">
        <f t="shared" si="4"/>
        <v/>
      </c>
      <c r="T25" s="91" t="str">
        <f t="shared" si="5"/>
        <v/>
      </c>
      <c r="U25" s="85">
        <f t="shared" si="6"/>
        <v>0</v>
      </c>
    </row>
    <row r="26">
      <c r="A26" s="85">
        <v>24.0</v>
      </c>
      <c r="B26" s="35"/>
      <c r="C26" s="65"/>
      <c r="D26" s="76"/>
      <c r="E26" s="93"/>
      <c r="F26" s="76"/>
      <c r="G26" s="35"/>
      <c r="H26" s="85"/>
      <c r="I26" s="85"/>
      <c r="J26" s="87" t="str">
        <f t="shared" si="1"/>
        <v/>
      </c>
      <c r="K26" s="35"/>
      <c r="L26" s="88"/>
      <c r="M26" s="88"/>
      <c r="N26" s="87" t="str">
        <f t="shared" si="2"/>
        <v/>
      </c>
      <c r="O26" s="35"/>
      <c r="P26" s="88"/>
      <c r="Q26" s="88"/>
      <c r="R26" s="87" t="str">
        <f t="shared" si="3"/>
        <v/>
      </c>
      <c r="S26" s="90" t="str">
        <f t="shared" si="4"/>
        <v/>
      </c>
      <c r="T26" s="91" t="str">
        <f t="shared" si="5"/>
        <v/>
      </c>
      <c r="U26" s="85">
        <f t="shared" si="6"/>
        <v>0</v>
      </c>
    </row>
    <row r="27">
      <c r="A27" s="85">
        <v>25.0</v>
      </c>
      <c r="B27" s="35"/>
      <c r="C27" s="65"/>
      <c r="D27" s="76"/>
      <c r="E27" s="93"/>
      <c r="F27" s="76"/>
      <c r="G27" s="35"/>
      <c r="H27" s="85"/>
      <c r="I27" s="85"/>
      <c r="J27" s="87" t="str">
        <f t="shared" si="1"/>
        <v/>
      </c>
      <c r="K27" s="35"/>
      <c r="L27" s="88"/>
      <c r="M27" s="88"/>
      <c r="N27" s="87" t="str">
        <f t="shared" si="2"/>
        <v/>
      </c>
      <c r="O27" s="35"/>
      <c r="P27" s="88"/>
      <c r="Q27" s="88"/>
      <c r="R27" s="87" t="str">
        <f t="shared" si="3"/>
        <v/>
      </c>
      <c r="S27" s="90" t="str">
        <f t="shared" si="4"/>
        <v/>
      </c>
      <c r="T27" s="91" t="str">
        <f t="shared" si="5"/>
        <v/>
      </c>
      <c r="U27" s="85">
        <f t="shared" si="6"/>
        <v>0</v>
      </c>
    </row>
    <row r="28">
      <c r="A28" s="85">
        <v>26.0</v>
      </c>
      <c r="B28" s="35"/>
      <c r="C28" s="65"/>
      <c r="D28" s="76"/>
      <c r="E28" s="93"/>
      <c r="F28" s="76"/>
      <c r="G28" s="35"/>
      <c r="H28" s="85"/>
      <c r="I28" s="85"/>
      <c r="J28" s="87" t="str">
        <f t="shared" si="1"/>
        <v/>
      </c>
      <c r="K28" s="35"/>
      <c r="L28" s="88"/>
      <c r="M28" s="88"/>
      <c r="N28" s="87" t="str">
        <f t="shared" si="2"/>
        <v/>
      </c>
      <c r="O28" s="35"/>
      <c r="P28" s="88"/>
      <c r="Q28" s="88"/>
      <c r="R28" s="87" t="str">
        <f t="shared" si="3"/>
        <v/>
      </c>
      <c r="S28" s="90" t="str">
        <f t="shared" si="4"/>
        <v/>
      </c>
      <c r="T28" s="91" t="str">
        <f t="shared" si="5"/>
        <v/>
      </c>
      <c r="U28" s="85">
        <f t="shared" si="6"/>
        <v>0</v>
      </c>
    </row>
    <row r="29">
      <c r="A29" s="85">
        <v>27.0</v>
      </c>
      <c r="B29" s="35"/>
      <c r="C29" s="65"/>
      <c r="D29" s="76"/>
      <c r="E29" s="93"/>
      <c r="F29" s="76"/>
      <c r="G29" s="35"/>
      <c r="H29" s="85"/>
      <c r="I29" s="85"/>
      <c r="J29" s="87" t="str">
        <f t="shared" si="1"/>
        <v/>
      </c>
      <c r="K29" s="35"/>
      <c r="L29" s="88"/>
      <c r="M29" s="88"/>
      <c r="N29" s="87" t="str">
        <f t="shared" si="2"/>
        <v/>
      </c>
      <c r="O29" s="35"/>
      <c r="P29" s="88"/>
      <c r="Q29" s="88"/>
      <c r="R29" s="87" t="str">
        <f t="shared" si="3"/>
        <v/>
      </c>
      <c r="S29" s="90" t="str">
        <f t="shared" si="4"/>
        <v/>
      </c>
      <c r="T29" s="91" t="str">
        <f t="shared" si="5"/>
        <v/>
      </c>
      <c r="U29" s="85">
        <f t="shared" si="6"/>
        <v>0</v>
      </c>
    </row>
    <row r="30">
      <c r="A30" s="85">
        <v>28.0</v>
      </c>
      <c r="B30" s="35"/>
      <c r="C30" s="65"/>
      <c r="D30" s="76"/>
      <c r="E30" s="93"/>
      <c r="F30" s="76"/>
      <c r="G30" s="35"/>
      <c r="H30" s="85"/>
      <c r="I30" s="85"/>
      <c r="J30" s="87" t="str">
        <f t="shared" si="1"/>
        <v/>
      </c>
      <c r="K30" s="35"/>
      <c r="L30" s="88"/>
      <c r="M30" s="88"/>
      <c r="N30" s="87" t="str">
        <f t="shared" si="2"/>
        <v/>
      </c>
      <c r="O30" s="35"/>
      <c r="P30" s="88"/>
      <c r="Q30" s="88"/>
      <c r="R30" s="87" t="str">
        <f t="shared" si="3"/>
        <v/>
      </c>
      <c r="S30" s="90" t="str">
        <f t="shared" si="4"/>
        <v/>
      </c>
      <c r="T30" s="91" t="str">
        <f t="shared" si="5"/>
        <v/>
      </c>
      <c r="U30" s="85">
        <f t="shared" si="6"/>
        <v>0</v>
      </c>
    </row>
    <row r="31">
      <c r="A31" s="85">
        <v>29.0</v>
      </c>
      <c r="B31" s="35"/>
      <c r="C31" s="65"/>
      <c r="D31" s="76"/>
      <c r="E31" s="93"/>
      <c r="F31" s="76"/>
      <c r="G31" s="35"/>
      <c r="H31" s="85"/>
      <c r="I31" s="85"/>
      <c r="J31" s="87" t="str">
        <f t="shared" si="1"/>
        <v/>
      </c>
      <c r="K31" s="35"/>
      <c r="L31" s="88"/>
      <c r="M31" s="88"/>
      <c r="N31" s="87" t="str">
        <f t="shared" si="2"/>
        <v/>
      </c>
      <c r="O31" s="35"/>
      <c r="P31" s="88"/>
      <c r="Q31" s="88"/>
      <c r="R31" s="87" t="str">
        <f t="shared" si="3"/>
        <v/>
      </c>
      <c r="S31" s="90" t="str">
        <f t="shared" si="4"/>
        <v/>
      </c>
      <c r="T31" s="91" t="str">
        <f t="shared" si="5"/>
        <v/>
      </c>
      <c r="U31" s="85">
        <f t="shared" si="6"/>
        <v>0</v>
      </c>
    </row>
    <row r="32">
      <c r="A32" s="85">
        <v>30.0</v>
      </c>
      <c r="B32" s="35"/>
      <c r="C32" s="65"/>
      <c r="D32" s="76"/>
      <c r="E32" s="93"/>
      <c r="F32" s="76"/>
      <c r="G32" s="35"/>
      <c r="H32" s="85"/>
      <c r="I32" s="85"/>
      <c r="J32" s="87" t="str">
        <f t="shared" si="1"/>
        <v/>
      </c>
      <c r="K32" s="35"/>
      <c r="L32" s="88"/>
      <c r="M32" s="88"/>
      <c r="N32" s="87" t="str">
        <f t="shared" si="2"/>
        <v/>
      </c>
      <c r="O32" s="35"/>
      <c r="P32" s="88"/>
      <c r="Q32" s="88"/>
      <c r="R32" s="87" t="str">
        <f t="shared" si="3"/>
        <v/>
      </c>
      <c r="S32" s="90" t="str">
        <f t="shared" si="4"/>
        <v/>
      </c>
      <c r="T32" s="91" t="str">
        <f t="shared" si="5"/>
        <v/>
      </c>
      <c r="U32" s="85">
        <f t="shared" si="6"/>
        <v>0</v>
      </c>
    </row>
    <row r="33">
      <c r="A33" s="85">
        <v>31.0</v>
      </c>
      <c r="B33" s="35"/>
      <c r="C33" s="65"/>
      <c r="D33" s="76"/>
      <c r="E33" s="93"/>
      <c r="F33" s="76"/>
      <c r="G33" s="35"/>
      <c r="H33" s="85"/>
      <c r="I33" s="85"/>
      <c r="J33" s="87" t="str">
        <f t="shared" si="1"/>
        <v/>
      </c>
      <c r="K33" s="35"/>
      <c r="L33" s="88"/>
      <c r="M33" s="88"/>
      <c r="N33" s="87" t="str">
        <f t="shared" si="2"/>
        <v/>
      </c>
      <c r="O33" s="35"/>
      <c r="P33" s="88"/>
      <c r="Q33" s="88"/>
      <c r="R33" s="87" t="str">
        <f t="shared" si="3"/>
        <v/>
      </c>
      <c r="S33" s="90" t="str">
        <f t="shared" si="4"/>
        <v/>
      </c>
      <c r="T33" s="91" t="str">
        <f t="shared" si="5"/>
        <v/>
      </c>
      <c r="U33" s="85">
        <f t="shared" si="6"/>
        <v>0</v>
      </c>
    </row>
    <row r="34">
      <c r="A34" s="85">
        <v>32.0</v>
      </c>
      <c r="B34" s="35"/>
      <c r="C34" s="65"/>
      <c r="D34" s="76"/>
      <c r="E34" s="93"/>
      <c r="F34" s="76"/>
      <c r="G34" s="35"/>
      <c r="H34" s="85"/>
      <c r="I34" s="85"/>
      <c r="J34" s="87" t="str">
        <f t="shared" si="1"/>
        <v/>
      </c>
      <c r="K34" s="35"/>
      <c r="L34" s="88"/>
      <c r="M34" s="88"/>
      <c r="N34" s="87" t="str">
        <f t="shared" si="2"/>
        <v/>
      </c>
      <c r="O34" s="35"/>
      <c r="P34" s="88"/>
      <c r="Q34" s="88"/>
      <c r="R34" s="87" t="str">
        <f t="shared" si="3"/>
        <v/>
      </c>
      <c r="S34" s="90" t="str">
        <f t="shared" si="4"/>
        <v/>
      </c>
      <c r="T34" s="91" t="str">
        <f t="shared" si="5"/>
        <v/>
      </c>
      <c r="U34" s="85">
        <f t="shared" si="6"/>
        <v>0</v>
      </c>
    </row>
    <row r="35">
      <c r="A35" s="85">
        <v>33.0</v>
      </c>
      <c r="B35" s="35"/>
      <c r="C35" s="65"/>
      <c r="D35" s="76"/>
      <c r="E35" s="93"/>
      <c r="F35" s="76"/>
      <c r="G35" s="35"/>
      <c r="H35" s="85"/>
      <c r="I35" s="85"/>
      <c r="J35" s="87" t="str">
        <f t="shared" si="1"/>
        <v/>
      </c>
      <c r="K35" s="35"/>
      <c r="L35" s="88"/>
      <c r="M35" s="88"/>
      <c r="N35" s="87" t="str">
        <f t="shared" si="2"/>
        <v/>
      </c>
      <c r="O35" s="35"/>
      <c r="P35" s="88"/>
      <c r="Q35" s="88"/>
      <c r="R35" s="87" t="str">
        <f t="shared" si="3"/>
        <v/>
      </c>
      <c r="S35" s="90" t="str">
        <f t="shared" si="4"/>
        <v/>
      </c>
      <c r="T35" s="91" t="str">
        <f t="shared" si="5"/>
        <v/>
      </c>
      <c r="U35" s="85">
        <f t="shared" si="6"/>
        <v>0</v>
      </c>
    </row>
    <row r="36">
      <c r="A36" s="85">
        <v>34.0</v>
      </c>
      <c r="B36" s="35"/>
      <c r="C36" s="65"/>
      <c r="D36" s="76"/>
      <c r="E36" s="93"/>
      <c r="F36" s="76"/>
      <c r="G36" s="35"/>
      <c r="H36" s="85"/>
      <c r="I36" s="85"/>
      <c r="J36" s="87" t="str">
        <f t="shared" si="1"/>
        <v/>
      </c>
      <c r="K36" s="35"/>
      <c r="L36" s="88"/>
      <c r="M36" s="88"/>
      <c r="N36" s="87" t="str">
        <f t="shared" si="2"/>
        <v/>
      </c>
      <c r="O36" s="35"/>
      <c r="P36" s="88"/>
      <c r="Q36" s="88"/>
      <c r="R36" s="87" t="str">
        <f t="shared" si="3"/>
        <v/>
      </c>
      <c r="S36" s="90" t="str">
        <f t="shared" si="4"/>
        <v/>
      </c>
      <c r="T36" s="91" t="str">
        <f t="shared" si="5"/>
        <v/>
      </c>
      <c r="U36" s="85">
        <f t="shared" si="6"/>
        <v>0</v>
      </c>
    </row>
    <row r="37">
      <c r="A37" s="85">
        <v>35.0</v>
      </c>
      <c r="B37" s="35"/>
      <c r="C37" s="65"/>
      <c r="D37" s="76"/>
      <c r="E37" s="93"/>
      <c r="F37" s="76"/>
      <c r="G37" s="35"/>
      <c r="H37" s="85"/>
      <c r="I37" s="85"/>
      <c r="J37" s="87" t="str">
        <f t="shared" si="1"/>
        <v/>
      </c>
      <c r="K37" s="35"/>
      <c r="L37" s="88"/>
      <c r="M37" s="88"/>
      <c r="N37" s="87" t="str">
        <f t="shared" si="2"/>
        <v/>
      </c>
      <c r="O37" s="35"/>
      <c r="P37" s="88"/>
      <c r="Q37" s="88"/>
      <c r="R37" s="87" t="str">
        <f t="shared" si="3"/>
        <v/>
      </c>
      <c r="S37" s="90" t="str">
        <f t="shared" si="4"/>
        <v/>
      </c>
      <c r="T37" s="91" t="str">
        <f t="shared" si="5"/>
        <v/>
      </c>
      <c r="U37" s="85">
        <f t="shared" si="6"/>
        <v>0</v>
      </c>
    </row>
    <row r="38">
      <c r="A38" s="85">
        <v>36.0</v>
      </c>
      <c r="B38" s="35"/>
      <c r="C38" s="65"/>
      <c r="D38" s="76"/>
      <c r="E38" s="93"/>
      <c r="F38" s="76"/>
      <c r="G38" s="35"/>
      <c r="H38" s="85"/>
      <c r="I38" s="85"/>
      <c r="J38" s="87" t="str">
        <f t="shared" si="1"/>
        <v/>
      </c>
      <c r="K38" s="35"/>
      <c r="L38" s="88"/>
      <c r="M38" s="88"/>
      <c r="N38" s="87" t="str">
        <f t="shared" si="2"/>
        <v/>
      </c>
      <c r="O38" s="35"/>
      <c r="P38" s="88"/>
      <c r="Q38" s="88"/>
      <c r="R38" s="87" t="str">
        <f t="shared" si="3"/>
        <v/>
      </c>
      <c r="S38" s="90" t="str">
        <f t="shared" si="4"/>
        <v/>
      </c>
      <c r="T38" s="91" t="str">
        <f t="shared" si="5"/>
        <v/>
      </c>
      <c r="U38" s="85">
        <f t="shared" si="6"/>
        <v>0</v>
      </c>
    </row>
    <row r="39">
      <c r="A39" s="85">
        <v>37.0</v>
      </c>
      <c r="B39" s="35"/>
      <c r="C39" s="65"/>
      <c r="D39" s="76"/>
      <c r="E39" s="93"/>
      <c r="F39" s="76"/>
      <c r="G39" s="35"/>
      <c r="H39" s="85"/>
      <c r="I39" s="85"/>
      <c r="J39" s="87" t="str">
        <f t="shared" si="1"/>
        <v/>
      </c>
      <c r="K39" s="35"/>
      <c r="L39" s="88"/>
      <c r="M39" s="88"/>
      <c r="N39" s="87" t="str">
        <f t="shared" si="2"/>
        <v/>
      </c>
      <c r="O39" s="35"/>
      <c r="P39" s="88"/>
      <c r="Q39" s="88"/>
      <c r="R39" s="87" t="str">
        <f t="shared" si="3"/>
        <v/>
      </c>
      <c r="S39" s="90" t="str">
        <f t="shared" si="4"/>
        <v/>
      </c>
      <c r="T39" s="91" t="str">
        <f t="shared" si="5"/>
        <v/>
      </c>
      <c r="U39" s="85">
        <f t="shared" si="6"/>
        <v>0</v>
      </c>
    </row>
    <row r="40">
      <c r="A40" s="85">
        <v>38.0</v>
      </c>
      <c r="B40" s="35"/>
      <c r="C40" s="65"/>
      <c r="D40" s="76"/>
      <c r="E40" s="93"/>
      <c r="F40" s="76"/>
      <c r="G40" s="35"/>
      <c r="H40" s="85"/>
      <c r="I40" s="85"/>
      <c r="J40" s="87" t="str">
        <f t="shared" si="1"/>
        <v/>
      </c>
      <c r="K40" s="35"/>
      <c r="L40" s="88"/>
      <c r="M40" s="88"/>
      <c r="N40" s="87" t="str">
        <f t="shared" si="2"/>
        <v/>
      </c>
      <c r="O40" s="35"/>
      <c r="P40" s="88"/>
      <c r="Q40" s="88"/>
      <c r="R40" s="87" t="str">
        <f t="shared" si="3"/>
        <v/>
      </c>
      <c r="S40" s="90" t="str">
        <f t="shared" si="4"/>
        <v/>
      </c>
      <c r="T40" s="91" t="str">
        <f t="shared" si="5"/>
        <v/>
      </c>
      <c r="U40" s="85">
        <f t="shared" si="6"/>
        <v>0</v>
      </c>
    </row>
    <row r="41">
      <c r="A41" s="85">
        <v>39.0</v>
      </c>
      <c r="B41" s="35"/>
      <c r="C41" s="65"/>
      <c r="D41" s="76"/>
      <c r="E41" s="93"/>
      <c r="F41" s="76"/>
      <c r="G41" s="35"/>
      <c r="H41" s="85"/>
      <c r="I41" s="85"/>
      <c r="J41" s="87" t="str">
        <f t="shared" si="1"/>
        <v/>
      </c>
      <c r="K41" s="35"/>
      <c r="L41" s="88"/>
      <c r="M41" s="88"/>
      <c r="N41" s="87" t="str">
        <f t="shared" si="2"/>
        <v/>
      </c>
      <c r="O41" s="35"/>
      <c r="P41" s="88"/>
      <c r="Q41" s="88"/>
      <c r="R41" s="87" t="str">
        <f t="shared" si="3"/>
        <v/>
      </c>
      <c r="S41" s="90" t="str">
        <f t="shared" si="4"/>
        <v/>
      </c>
      <c r="T41" s="91" t="str">
        <f t="shared" si="5"/>
        <v/>
      </c>
      <c r="U41" s="85">
        <f t="shared" si="6"/>
        <v>0</v>
      </c>
    </row>
    <row r="42">
      <c r="A42" s="85">
        <v>40.0</v>
      </c>
      <c r="B42" s="35"/>
      <c r="C42" s="65"/>
      <c r="D42" s="76"/>
      <c r="E42" s="93"/>
      <c r="F42" s="76"/>
      <c r="G42" s="35"/>
      <c r="H42" s="85"/>
      <c r="I42" s="85"/>
      <c r="J42" s="87" t="str">
        <f t="shared" si="1"/>
        <v/>
      </c>
      <c r="K42" s="35"/>
      <c r="L42" s="88"/>
      <c r="M42" s="88"/>
      <c r="N42" s="87" t="str">
        <f t="shared" si="2"/>
        <v/>
      </c>
      <c r="O42" s="35"/>
      <c r="P42" s="88"/>
      <c r="Q42" s="88"/>
      <c r="R42" s="87" t="str">
        <f t="shared" si="3"/>
        <v/>
      </c>
      <c r="S42" s="90" t="str">
        <f t="shared" si="4"/>
        <v/>
      </c>
      <c r="T42" s="91" t="str">
        <f t="shared" si="5"/>
        <v/>
      </c>
      <c r="U42" s="85">
        <f t="shared" si="6"/>
        <v>0</v>
      </c>
    </row>
    <row r="43">
      <c r="A43" s="85">
        <v>41.0</v>
      </c>
      <c r="B43" s="35"/>
      <c r="C43" s="65"/>
      <c r="D43" s="76"/>
      <c r="E43" s="93"/>
      <c r="F43" s="76"/>
      <c r="G43" s="35"/>
      <c r="H43" s="85"/>
      <c r="I43" s="85"/>
      <c r="J43" s="87" t="str">
        <f t="shared" si="1"/>
        <v/>
      </c>
      <c r="K43" s="35"/>
      <c r="L43" s="88"/>
      <c r="M43" s="88"/>
      <c r="N43" s="87" t="str">
        <f t="shared" si="2"/>
        <v/>
      </c>
      <c r="O43" s="35"/>
      <c r="P43" s="88"/>
      <c r="Q43" s="88"/>
      <c r="R43" s="87" t="str">
        <f t="shared" si="3"/>
        <v/>
      </c>
      <c r="S43" s="90" t="str">
        <f t="shared" si="4"/>
        <v/>
      </c>
      <c r="T43" s="91" t="str">
        <f t="shared" si="5"/>
        <v/>
      </c>
      <c r="U43" s="85">
        <f t="shared" si="6"/>
        <v>0</v>
      </c>
    </row>
    <row r="44">
      <c r="A44" s="85">
        <v>42.0</v>
      </c>
      <c r="B44" s="35"/>
      <c r="C44" s="65"/>
      <c r="D44" s="76"/>
      <c r="E44" s="93"/>
      <c r="F44" s="76"/>
      <c r="G44" s="35"/>
      <c r="H44" s="85"/>
      <c r="I44" s="85"/>
      <c r="J44" s="87" t="str">
        <f t="shared" si="1"/>
        <v/>
      </c>
      <c r="K44" s="35"/>
      <c r="L44" s="88"/>
      <c r="M44" s="88"/>
      <c r="N44" s="87" t="str">
        <f t="shared" si="2"/>
        <v/>
      </c>
      <c r="O44" s="35"/>
      <c r="P44" s="88"/>
      <c r="Q44" s="88"/>
      <c r="R44" s="87" t="str">
        <f t="shared" si="3"/>
        <v/>
      </c>
      <c r="S44" s="90" t="str">
        <f t="shared" si="4"/>
        <v/>
      </c>
      <c r="T44" s="91" t="str">
        <f t="shared" si="5"/>
        <v/>
      </c>
      <c r="U44" s="85">
        <f t="shared" si="6"/>
        <v>0</v>
      </c>
    </row>
    <row r="45">
      <c r="A45" s="85">
        <v>43.0</v>
      </c>
      <c r="B45" s="35"/>
      <c r="C45" s="65"/>
      <c r="D45" s="76"/>
      <c r="E45" s="93"/>
      <c r="F45" s="76"/>
      <c r="G45" s="35"/>
      <c r="H45" s="85"/>
      <c r="I45" s="85"/>
      <c r="J45" s="87" t="str">
        <f t="shared" si="1"/>
        <v/>
      </c>
      <c r="K45" s="35"/>
      <c r="L45" s="88"/>
      <c r="M45" s="88"/>
      <c r="N45" s="87" t="str">
        <f t="shared" si="2"/>
        <v/>
      </c>
      <c r="O45" s="35"/>
      <c r="P45" s="88"/>
      <c r="Q45" s="88"/>
      <c r="R45" s="87" t="str">
        <f t="shared" si="3"/>
        <v/>
      </c>
      <c r="S45" s="90" t="str">
        <f t="shared" si="4"/>
        <v/>
      </c>
      <c r="T45" s="91" t="str">
        <f t="shared" si="5"/>
        <v/>
      </c>
      <c r="U45" s="85">
        <f t="shared" si="6"/>
        <v>0</v>
      </c>
    </row>
    <row r="46">
      <c r="A46" s="85">
        <v>44.0</v>
      </c>
      <c r="B46" s="35"/>
      <c r="C46" s="65"/>
      <c r="D46" s="76"/>
      <c r="E46" s="93"/>
      <c r="F46" s="76"/>
      <c r="G46" s="35"/>
      <c r="H46" s="85"/>
      <c r="I46" s="85"/>
      <c r="J46" s="87" t="str">
        <f t="shared" si="1"/>
        <v/>
      </c>
      <c r="K46" s="35"/>
      <c r="L46" s="88"/>
      <c r="M46" s="88"/>
      <c r="N46" s="87" t="str">
        <f t="shared" si="2"/>
        <v/>
      </c>
      <c r="O46" s="35"/>
      <c r="P46" s="88"/>
      <c r="Q46" s="88"/>
      <c r="R46" s="87" t="str">
        <f t="shared" si="3"/>
        <v/>
      </c>
      <c r="S46" s="90" t="str">
        <f t="shared" si="4"/>
        <v/>
      </c>
      <c r="T46" s="91" t="str">
        <f t="shared" si="5"/>
        <v/>
      </c>
      <c r="U46" s="85">
        <f t="shared" si="6"/>
        <v>0</v>
      </c>
    </row>
    <row r="47">
      <c r="A47" s="85">
        <v>45.0</v>
      </c>
      <c r="B47" s="35"/>
      <c r="C47" s="65"/>
      <c r="D47" s="76"/>
      <c r="E47" s="93"/>
      <c r="F47" s="76"/>
      <c r="G47" s="35"/>
      <c r="H47" s="85"/>
      <c r="I47" s="85"/>
      <c r="J47" s="87" t="str">
        <f t="shared" si="1"/>
        <v/>
      </c>
      <c r="K47" s="35"/>
      <c r="L47" s="88"/>
      <c r="M47" s="88"/>
      <c r="N47" s="87" t="str">
        <f t="shared" si="2"/>
        <v/>
      </c>
      <c r="O47" s="35"/>
      <c r="P47" s="88"/>
      <c r="Q47" s="88"/>
      <c r="R47" s="87" t="str">
        <f t="shared" si="3"/>
        <v/>
      </c>
      <c r="S47" s="90" t="str">
        <f t="shared" si="4"/>
        <v/>
      </c>
      <c r="T47" s="91" t="str">
        <f t="shared" si="5"/>
        <v/>
      </c>
      <c r="U47" s="85">
        <f t="shared" si="6"/>
        <v>0</v>
      </c>
    </row>
    <row r="48">
      <c r="A48" s="85">
        <v>46.0</v>
      </c>
      <c r="B48" s="35"/>
      <c r="C48" s="65"/>
      <c r="D48" s="76"/>
      <c r="E48" s="93"/>
      <c r="F48" s="76"/>
      <c r="G48" s="35"/>
      <c r="H48" s="85"/>
      <c r="I48" s="85"/>
      <c r="J48" s="87" t="str">
        <f t="shared" si="1"/>
        <v/>
      </c>
      <c r="K48" s="35"/>
      <c r="L48" s="88"/>
      <c r="M48" s="88"/>
      <c r="N48" s="87" t="str">
        <f t="shared" si="2"/>
        <v/>
      </c>
      <c r="O48" s="35"/>
      <c r="P48" s="88"/>
      <c r="Q48" s="88"/>
      <c r="R48" s="87" t="str">
        <f t="shared" si="3"/>
        <v/>
      </c>
      <c r="S48" s="90" t="str">
        <f t="shared" si="4"/>
        <v/>
      </c>
      <c r="T48" s="91" t="str">
        <f t="shared" si="5"/>
        <v/>
      </c>
      <c r="U48" s="85">
        <f t="shared" si="6"/>
        <v>0</v>
      </c>
    </row>
    <row r="49">
      <c r="A49" s="85">
        <v>47.0</v>
      </c>
      <c r="B49" s="35"/>
      <c r="C49" s="65"/>
      <c r="D49" s="76"/>
      <c r="E49" s="93"/>
      <c r="F49" s="76"/>
      <c r="G49" s="35"/>
      <c r="H49" s="85"/>
      <c r="I49" s="85"/>
      <c r="J49" s="87" t="str">
        <f t="shared" si="1"/>
        <v/>
      </c>
      <c r="K49" s="35"/>
      <c r="L49" s="88"/>
      <c r="M49" s="88"/>
      <c r="N49" s="87" t="str">
        <f t="shared" si="2"/>
        <v/>
      </c>
      <c r="O49" s="35"/>
      <c r="P49" s="88"/>
      <c r="Q49" s="88"/>
      <c r="R49" s="87" t="str">
        <f t="shared" si="3"/>
        <v/>
      </c>
      <c r="S49" s="90" t="str">
        <f t="shared" si="4"/>
        <v/>
      </c>
      <c r="T49" s="91" t="str">
        <f t="shared" si="5"/>
        <v/>
      </c>
      <c r="U49" s="85">
        <f t="shared" si="6"/>
        <v>0</v>
      </c>
    </row>
    <row r="50">
      <c r="A50" s="85">
        <v>48.0</v>
      </c>
      <c r="B50" s="35"/>
      <c r="C50" s="65"/>
      <c r="D50" s="76"/>
      <c r="E50" s="93"/>
      <c r="F50" s="76"/>
      <c r="G50" s="35"/>
      <c r="H50" s="85"/>
      <c r="I50" s="85"/>
      <c r="J50" s="87" t="str">
        <f t="shared" si="1"/>
        <v/>
      </c>
      <c r="K50" s="35"/>
      <c r="L50" s="88"/>
      <c r="M50" s="88"/>
      <c r="N50" s="87" t="str">
        <f t="shared" si="2"/>
        <v/>
      </c>
      <c r="O50" s="35"/>
      <c r="P50" s="88"/>
      <c r="Q50" s="88"/>
      <c r="R50" s="87" t="str">
        <f t="shared" si="3"/>
        <v/>
      </c>
      <c r="S50" s="90" t="str">
        <f t="shared" si="4"/>
        <v/>
      </c>
      <c r="T50" s="91" t="str">
        <f t="shared" si="5"/>
        <v/>
      </c>
      <c r="U50" s="85">
        <f t="shared" si="6"/>
        <v>0</v>
      </c>
    </row>
    <row r="51">
      <c r="A51" s="85">
        <v>49.0</v>
      </c>
      <c r="B51" s="35"/>
      <c r="C51" s="65"/>
      <c r="D51" s="76"/>
      <c r="E51" s="93"/>
      <c r="F51" s="76"/>
      <c r="G51" s="35"/>
      <c r="H51" s="85"/>
      <c r="I51" s="85"/>
      <c r="J51" s="87" t="str">
        <f t="shared" si="1"/>
        <v/>
      </c>
      <c r="K51" s="35"/>
      <c r="L51" s="88"/>
      <c r="M51" s="88"/>
      <c r="N51" s="87" t="str">
        <f t="shared" si="2"/>
        <v/>
      </c>
      <c r="O51" s="35"/>
      <c r="P51" s="88"/>
      <c r="Q51" s="88"/>
      <c r="R51" s="87" t="str">
        <f t="shared" si="3"/>
        <v/>
      </c>
      <c r="S51" s="90" t="str">
        <f t="shared" si="4"/>
        <v/>
      </c>
      <c r="T51" s="91" t="str">
        <f t="shared" si="5"/>
        <v/>
      </c>
      <c r="U51" s="85">
        <f t="shared" si="6"/>
        <v>0</v>
      </c>
    </row>
    <row r="52">
      <c r="A52" s="85">
        <v>50.0</v>
      </c>
      <c r="B52" s="35"/>
      <c r="C52" s="65"/>
      <c r="D52" s="76"/>
      <c r="E52" s="93"/>
      <c r="F52" s="76"/>
      <c r="G52" s="35"/>
      <c r="H52" s="85"/>
      <c r="I52" s="85"/>
      <c r="J52" s="87" t="str">
        <f t="shared" si="1"/>
        <v/>
      </c>
      <c r="K52" s="35"/>
      <c r="L52" s="88"/>
      <c r="M52" s="88"/>
      <c r="N52" s="87" t="str">
        <f t="shared" si="2"/>
        <v/>
      </c>
      <c r="O52" s="35"/>
      <c r="P52" s="88"/>
      <c r="Q52" s="88"/>
      <c r="R52" s="87" t="str">
        <f t="shared" si="3"/>
        <v/>
      </c>
      <c r="S52" s="90" t="str">
        <f t="shared" si="4"/>
        <v/>
      </c>
      <c r="T52" s="91" t="str">
        <f t="shared" si="5"/>
        <v/>
      </c>
      <c r="U52" s="85">
        <f t="shared" si="6"/>
        <v>0</v>
      </c>
    </row>
    <row r="53">
      <c r="A53" s="85">
        <v>51.0</v>
      </c>
      <c r="B53" s="35"/>
      <c r="C53" s="65"/>
      <c r="D53" s="76"/>
      <c r="E53" s="93"/>
      <c r="F53" s="76"/>
      <c r="G53" s="35"/>
      <c r="H53" s="85"/>
      <c r="I53" s="85"/>
      <c r="J53" s="87" t="str">
        <f t="shared" si="1"/>
        <v/>
      </c>
      <c r="K53" s="35"/>
      <c r="L53" s="88"/>
      <c r="M53" s="88"/>
      <c r="N53" s="87" t="str">
        <f t="shared" si="2"/>
        <v/>
      </c>
      <c r="O53" s="35"/>
      <c r="P53" s="88"/>
      <c r="Q53" s="88"/>
      <c r="R53" s="87" t="str">
        <f t="shared" si="3"/>
        <v/>
      </c>
      <c r="S53" s="90" t="str">
        <f t="shared" si="4"/>
        <v/>
      </c>
      <c r="T53" s="91" t="str">
        <f t="shared" si="5"/>
        <v/>
      </c>
      <c r="U53" s="85">
        <f t="shared" si="6"/>
        <v>0</v>
      </c>
    </row>
    <row r="54">
      <c r="A54" s="85">
        <v>52.0</v>
      </c>
      <c r="B54" s="35"/>
      <c r="C54" s="65"/>
      <c r="D54" s="76"/>
      <c r="E54" s="93"/>
      <c r="F54" s="76"/>
      <c r="G54" s="35"/>
      <c r="H54" s="85"/>
      <c r="I54" s="85"/>
      <c r="J54" s="87" t="str">
        <f t="shared" si="1"/>
        <v/>
      </c>
      <c r="K54" s="35"/>
      <c r="L54" s="88"/>
      <c r="M54" s="88"/>
      <c r="N54" s="87" t="str">
        <f t="shared" si="2"/>
        <v/>
      </c>
      <c r="O54" s="35"/>
      <c r="P54" s="88"/>
      <c r="Q54" s="88"/>
      <c r="R54" s="87" t="str">
        <f t="shared" si="3"/>
        <v/>
      </c>
      <c r="S54" s="90" t="str">
        <f t="shared" si="4"/>
        <v/>
      </c>
      <c r="T54" s="91" t="str">
        <f t="shared" si="5"/>
        <v/>
      </c>
      <c r="U54" s="85">
        <f t="shared" si="6"/>
        <v>0</v>
      </c>
    </row>
    <row r="55">
      <c r="A55" s="85">
        <v>53.0</v>
      </c>
      <c r="B55" s="35"/>
      <c r="C55" s="65"/>
      <c r="D55" s="76"/>
      <c r="E55" s="93"/>
      <c r="F55" s="76"/>
      <c r="G55" s="35"/>
      <c r="H55" s="85"/>
      <c r="I55" s="85"/>
      <c r="J55" s="87" t="str">
        <f t="shared" si="1"/>
        <v/>
      </c>
      <c r="K55" s="35"/>
      <c r="L55" s="88"/>
      <c r="M55" s="88"/>
      <c r="N55" s="87" t="str">
        <f t="shared" si="2"/>
        <v/>
      </c>
      <c r="O55" s="35"/>
      <c r="P55" s="88"/>
      <c r="Q55" s="88"/>
      <c r="R55" s="87" t="str">
        <f t="shared" si="3"/>
        <v/>
      </c>
      <c r="S55" s="90" t="str">
        <f t="shared" si="4"/>
        <v/>
      </c>
      <c r="T55" s="91" t="str">
        <f t="shared" si="5"/>
        <v/>
      </c>
      <c r="U55" s="85">
        <f t="shared" si="6"/>
        <v>0</v>
      </c>
    </row>
    <row r="56">
      <c r="A56" s="85">
        <v>54.0</v>
      </c>
      <c r="B56" s="35"/>
      <c r="C56" s="65"/>
      <c r="D56" s="76"/>
      <c r="E56" s="93"/>
      <c r="F56" s="76"/>
      <c r="G56" s="35"/>
      <c r="H56" s="85"/>
      <c r="I56" s="85"/>
      <c r="J56" s="87" t="str">
        <f t="shared" si="1"/>
        <v/>
      </c>
      <c r="K56" s="35"/>
      <c r="L56" s="88"/>
      <c r="M56" s="88"/>
      <c r="N56" s="87" t="str">
        <f t="shared" si="2"/>
        <v/>
      </c>
      <c r="O56" s="35"/>
      <c r="P56" s="88"/>
      <c r="Q56" s="88"/>
      <c r="R56" s="87" t="str">
        <f t="shared" si="3"/>
        <v/>
      </c>
      <c r="S56" s="90" t="str">
        <f t="shared" si="4"/>
        <v/>
      </c>
      <c r="T56" s="91" t="str">
        <f t="shared" si="5"/>
        <v/>
      </c>
      <c r="U56" s="85">
        <f t="shared" si="6"/>
        <v>0</v>
      </c>
    </row>
    <row r="57">
      <c r="A57" s="85">
        <v>55.0</v>
      </c>
      <c r="B57" s="35"/>
      <c r="C57" s="65"/>
      <c r="D57" s="76"/>
      <c r="E57" s="93"/>
      <c r="F57" s="76"/>
      <c r="G57" s="35"/>
      <c r="H57" s="85"/>
      <c r="I57" s="85"/>
      <c r="J57" s="87" t="str">
        <f t="shared" si="1"/>
        <v/>
      </c>
      <c r="K57" s="35"/>
      <c r="L57" s="88"/>
      <c r="M57" s="88"/>
      <c r="N57" s="87" t="str">
        <f t="shared" si="2"/>
        <v/>
      </c>
      <c r="O57" s="35"/>
      <c r="P57" s="88"/>
      <c r="Q57" s="88"/>
      <c r="R57" s="87" t="str">
        <f t="shared" si="3"/>
        <v/>
      </c>
      <c r="S57" s="90" t="str">
        <f t="shared" si="4"/>
        <v/>
      </c>
      <c r="T57" s="91" t="str">
        <f t="shared" si="5"/>
        <v/>
      </c>
      <c r="U57" s="85">
        <f t="shared" si="6"/>
        <v>0</v>
      </c>
    </row>
    <row r="58">
      <c r="A58" s="85">
        <v>56.0</v>
      </c>
      <c r="B58" s="35"/>
      <c r="C58" s="65"/>
      <c r="D58" s="76"/>
      <c r="E58" s="93"/>
      <c r="F58" s="76"/>
      <c r="G58" s="35"/>
      <c r="H58" s="85"/>
      <c r="I58" s="85"/>
      <c r="J58" s="87" t="str">
        <f t="shared" si="1"/>
        <v/>
      </c>
      <c r="K58" s="35"/>
      <c r="L58" s="88"/>
      <c r="M58" s="88"/>
      <c r="N58" s="87" t="str">
        <f t="shared" si="2"/>
        <v/>
      </c>
      <c r="O58" s="35"/>
      <c r="P58" s="88"/>
      <c r="Q58" s="88"/>
      <c r="R58" s="87" t="str">
        <f t="shared" si="3"/>
        <v/>
      </c>
      <c r="S58" s="90" t="str">
        <f t="shared" si="4"/>
        <v/>
      </c>
      <c r="T58" s="91" t="str">
        <f t="shared" si="5"/>
        <v/>
      </c>
      <c r="U58" s="85">
        <f t="shared" si="6"/>
        <v>0</v>
      </c>
    </row>
    <row r="59">
      <c r="A59" s="85">
        <v>57.0</v>
      </c>
      <c r="B59" s="35"/>
      <c r="C59" s="65"/>
      <c r="D59" s="76"/>
      <c r="E59" s="93"/>
      <c r="F59" s="76"/>
      <c r="G59" s="35"/>
      <c r="H59" s="85"/>
      <c r="I59" s="85"/>
      <c r="J59" s="87" t="str">
        <f t="shared" si="1"/>
        <v/>
      </c>
      <c r="K59" s="35"/>
      <c r="L59" s="88"/>
      <c r="M59" s="88"/>
      <c r="N59" s="87" t="str">
        <f t="shared" si="2"/>
        <v/>
      </c>
      <c r="O59" s="35"/>
      <c r="P59" s="88"/>
      <c r="Q59" s="88"/>
      <c r="R59" s="87" t="str">
        <f t="shared" si="3"/>
        <v/>
      </c>
      <c r="S59" s="90" t="str">
        <f t="shared" si="4"/>
        <v/>
      </c>
      <c r="T59" s="91" t="str">
        <f t="shared" si="5"/>
        <v/>
      </c>
      <c r="U59" s="85">
        <f t="shared" si="6"/>
        <v>0</v>
      </c>
    </row>
    <row r="60">
      <c r="A60" s="85">
        <v>58.0</v>
      </c>
      <c r="B60" s="35"/>
      <c r="C60" s="65"/>
      <c r="D60" s="76"/>
      <c r="E60" s="93"/>
      <c r="F60" s="76"/>
      <c r="G60" s="35"/>
      <c r="H60" s="85"/>
      <c r="I60" s="85"/>
      <c r="J60" s="87" t="str">
        <f t="shared" si="1"/>
        <v/>
      </c>
      <c r="K60" s="35"/>
      <c r="L60" s="88"/>
      <c r="M60" s="88"/>
      <c r="N60" s="87" t="str">
        <f t="shared" si="2"/>
        <v/>
      </c>
      <c r="O60" s="35"/>
      <c r="P60" s="88"/>
      <c r="Q60" s="88"/>
      <c r="R60" s="87" t="str">
        <f t="shared" si="3"/>
        <v/>
      </c>
      <c r="S60" s="90" t="str">
        <f t="shared" si="4"/>
        <v/>
      </c>
      <c r="T60" s="91" t="str">
        <f t="shared" si="5"/>
        <v/>
      </c>
      <c r="U60" s="85">
        <f t="shared" si="6"/>
        <v>0</v>
      </c>
    </row>
    <row r="61">
      <c r="A61" s="85">
        <v>59.0</v>
      </c>
      <c r="B61" s="35"/>
      <c r="C61" s="65"/>
      <c r="D61" s="76"/>
      <c r="E61" s="93"/>
      <c r="F61" s="76"/>
      <c r="G61" s="35"/>
      <c r="H61" s="85"/>
      <c r="I61" s="85"/>
      <c r="J61" s="87" t="str">
        <f t="shared" si="1"/>
        <v/>
      </c>
      <c r="K61" s="35"/>
      <c r="L61" s="88"/>
      <c r="M61" s="88"/>
      <c r="N61" s="87" t="str">
        <f t="shared" si="2"/>
        <v/>
      </c>
      <c r="O61" s="35"/>
      <c r="P61" s="88"/>
      <c r="Q61" s="88"/>
      <c r="R61" s="87" t="str">
        <f t="shared" si="3"/>
        <v/>
      </c>
      <c r="S61" s="90" t="str">
        <f t="shared" si="4"/>
        <v/>
      </c>
      <c r="T61" s="91" t="str">
        <f t="shared" si="5"/>
        <v/>
      </c>
      <c r="U61" s="85">
        <f t="shared" si="6"/>
        <v>0</v>
      </c>
    </row>
    <row r="62">
      <c r="A62" s="85">
        <v>60.0</v>
      </c>
      <c r="B62" s="35"/>
      <c r="C62" s="65"/>
      <c r="D62" s="76"/>
      <c r="E62" s="93"/>
      <c r="F62" s="76"/>
      <c r="G62" s="35"/>
      <c r="H62" s="85"/>
      <c r="I62" s="85"/>
      <c r="J62" s="87" t="str">
        <f t="shared" si="1"/>
        <v/>
      </c>
      <c r="K62" s="35"/>
      <c r="L62" s="88"/>
      <c r="M62" s="88"/>
      <c r="N62" s="87" t="str">
        <f t="shared" si="2"/>
        <v/>
      </c>
      <c r="O62" s="35"/>
      <c r="P62" s="88"/>
      <c r="Q62" s="88"/>
      <c r="R62" s="87" t="str">
        <f t="shared" si="3"/>
        <v/>
      </c>
      <c r="S62" s="90" t="str">
        <f t="shared" si="4"/>
        <v/>
      </c>
      <c r="T62" s="91" t="str">
        <f t="shared" si="5"/>
        <v/>
      </c>
      <c r="U62" s="85">
        <f t="shared" si="6"/>
        <v>0</v>
      </c>
    </row>
    <row r="63">
      <c r="A63" s="85">
        <v>61.0</v>
      </c>
      <c r="B63" s="35"/>
      <c r="C63" s="65"/>
      <c r="D63" s="76"/>
      <c r="E63" s="93"/>
      <c r="F63" s="76"/>
      <c r="G63" s="35"/>
      <c r="H63" s="85"/>
      <c r="I63" s="85"/>
      <c r="J63" s="87" t="str">
        <f t="shared" si="1"/>
        <v/>
      </c>
      <c r="K63" s="35"/>
      <c r="L63" s="88"/>
      <c r="M63" s="88"/>
      <c r="N63" s="87" t="str">
        <f t="shared" si="2"/>
        <v/>
      </c>
      <c r="O63" s="35"/>
      <c r="P63" s="88"/>
      <c r="Q63" s="88"/>
      <c r="R63" s="87" t="str">
        <f t="shared" si="3"/>
        <v/>
      </c>
      <c r="S63" s="90" t="str">
        <f t="shared" si="4"/>
        <v/>
      </c>
      <c r="T63" s="91" t="str">
        <f t="shared" si="5"/>
        <v/>
      </c>
      <c r="U63" s="85">
        <f t="shared" si="6"/>
        <v>0</v>
      </c>
    </row>
    <row r="64">
      <c r="A64" s="85">
        <v>62.0</v>
      </c>
      <c r="B64" s="35"/>
      <c r="C64" s="65"/>
      <c r="D64" s="76"/>
      <c r="E64" s="93"/>
      <c r="F64" s="76"/>
      <c r="G64" s="35"/>
      <c r="H64" s="85"/>
      <c r="I64" s="85"/>
      <c r="J64" s="87" t="str">
        <f t="shared" si="1"/>
        <v/>
      </c>
      <c r="K64" s="35"/>
      <c r="L64" s="88"/>
      <c r="M64" s="88"/>
      <c r="N64" s="87" t="str">
        <f t="shared" si="2"/>
        <v/>
      </c>
      <c r="O64" s="35"/>
      <c r="P64" s="88"/>
      <c r="Q64" s="88"/>
      <c r="R64" s="87" t="str">
        <f t="shared" si="3"/>
        <v/>
      </c>
      <c r="S64" s="90" t="str">
        <f t="shared" si="4"/>
        <v/>
      </c>
      <c r="T64" s="91" t="str">
        <f t="shared" si="5"/>
        <v/>
      </c>
      <c r="U64" s="85">
        <f t="shared" si="6"/>
        <v>0</v>
      </c>
    </row>
    <row r="65">
      <c r="A65" s="85">
        <v>63.0</v>
      </c>
      <c r="B65" s="35"/>
      <c r="C65" s="65"/>
      <c r="D65" s="76"/>
      <c r="E65" s="93"/>
      <c r="F65" s="76"/>
      <c r="G65" s="35"/>
      <c r="H65" s="85"/>
      <c r="I65" s="85"/>
      <c r="J65" s="87" t="str">
        <f t="shared" si="1"/>
        <v/>
      </c>
      <c r="K65" s="35"/>
      <c r="L65" s="88"/>
      <c r="M65" s="88"/>
      <c r="N65" s="87" t="str">
        <f t="shared" si="2"/>
        <v/>
      </c>
      <c r="O65" s="35"/>
      <c r="P65" s="88"/>
      <c r="Q65" s="88"/>
      <c r="R65" s="87" t="str">
        <f t="shared" si="3"/>
        <v/>
      </c>
      <c r="S65" s="90" t="str">
        <f t="shared" si="4"/>
        <v/>
      </c>
      <c r="T65" s="91" t="str">
        <f t="shared" si="5"/>
        <v/>
      </c>
      <c r="U65" s="85">
        <f t="shared" si="6"/>
        <v>0</v>
      </c>
    </row>
    <row r="66">
      <c r="A66" s="85">
        <v>64.0</v>
      </c>
      <c r="B66" s="35"/>
      <c r="C66" s="65"/>
      <c r="D66" s="76"/>
      <c r="E66" s="93"/>
      <c r="F66" s="76"/>
      <c r="G66" s="35"/>
      <c r="H66" s="85"/>
      <c r="I66" s="85"/>
      <c r="J66" s="87" t="str">
        <f t="shared" si="1"/>
        <v/>
      </c>
      <c r="K66" s="35"/>
      <c r="L66" s="88"/>
      <c r="M66" s="88"/>
      <c r="N66" s="87" t="str">
        <f t="shared" si="2"/>
        <v/>
      </c>
      <c r="O66" s="35"/>
      <c r="P66" s="88"/>
      <c r="Q66" s="88"/>
      <c r="R66" s="87" t="str">
        <f t="shared" si="3"/>
        <v/>
      </c>
      <c r="S66" s="90" t="str">
        <f t="shared" si="4"/>
        <v/>
      </c>
      <c r="T66" s="91" t="str">
        <f t="shared" si="5"/>
        <v/>
      </c>
      <c r="U66" s="85">
        <f t="shared" si="6"/>
        <v>0</v>
      </c>
    </row>
    <row r="67">
      <c r="A67" s="85">
        <v>65.0</v>
      </c>
      <c r="B67" s="35"/>
      <c r="C67" s="65"/>
      <c r="D67" s="76"/>
      <c r="E67" s="93"/>
      <c r="F67" s="76"/>
      <c r="G67" s="35"/>
      <c r="H67" s="85"/>
      <c r="I67" s="85"/>
      <c r="J67" s="87" t="str">
        <f t="shared" si="1"/>
        <v/>
      </c>
      <c r="K67" s="35"/>
      <c r="L67" s="88"/>
      <c r="M67" s="88"/>
      <c r="N67" s="87" t="str">
        <f t="shared" si="2"/>
        <v/>
      </c>
      <c r="O67" s="35"/>
      <c r="P67" s="88"/>
      <c r="Q67" s="88"/>
      <c r="R67" s="87" t="str">
        <f t="shared" si="3"/>
        <v/>
      </c>
      <c r="S67" s="90" t="str">
        <f t="shared" si="4"/>
        <v/>
      </c>
      <c r="T67" s="91" t="str">
        <f t="shared" si="5"/>
        <v/>
      </c>
      <c r="U67" s="85">
        <f t="shared" si="6"/>
        <v>0</v>
      </c>
    </row>
    <row r="68">
      <c r="A68" s="85">
        <v>66.0</v>
      </c>
      <c r="B68" s="35"/>
      <c r="C68" s="65"/>
      <c r="D68" s="76"/>
      <c r="E68" s="93"/>
      <c r="F68" s="76"/>
      <c r="G68" s="35"/>
      <c r="H68" s="85"/>
      <c r="I68" s="85"/>
      <c r="J68" s="87" t="str">
        <f t="shared" si="1"/>
        <v/>
      </c>
      <c r="K68" s="35"/>
      <c r="L68" s="88"/>
      <c r="M68" s="88"/>
      <c r="N68" s="87" t="str">
        <f t="shared" si="2"/>
        <v/>
      </c>
      <c r="O68" s="35"/>
      <c r="P68" s="88"/>
      <c r="Q68" s="88"/>
      <c r="R68" s="87" t="str">
        <f t="shared" si="3"/>
        <v/>
      </c>
      <c r="S68" s="90" t="str">
        <f t="shared" si="4"/>
        <v/>
      </c>
      <c r="T68" s="91" t="str">
        <f t="shared" si="5"/>
        <v/>
      </c>
      <c r="U68" s="85">
        <f t="shared" si="6"/>
        <v>0</v>
      </c>
    </row>
    <row r="69">
      <c r="A69" s="85">
        <v>67.0</v>
      </c>
      <c r="B69" s="35"/>
      <c r="C69" s="65"/>
      <c r="D69" s="76"/>
      <c r="E69" s="93"/>
      <c r="F69" s="76"/>
      <c r="G69" s="35"/>
      <c r="H69" s="85"/>
      <c r="I69" s="85"/>
      <c r="J69" s="87" t="str">
        <f t="shared" si="1"/>
        <v/>
      </c>
      <c r="K69" s="35"/>
      <c r="L69" s="88"/>
      <c r="M69" s="88"/>
      <c r="N69" s="87" t="str">
        <f t="shared" si="2"/>
        <v/>
      </c>
      <c r="O69" s="35"/>
      <c r="P69" s="88"/>
      <c r="Q69" s="88"/>
      <c r="R69" s="87" t="str">
        <f t="shared" si="3"/>
        <v/>
      </c>
      <c r="S69" s="90" t="str">
        <f t="shared" si="4"/>
        <v/>
      </c>
      <c r="T69" s="91" t="str">
        <f t="shared" si="5"/>
        <v/>
      </c>
      <c r="U69" s="85">
        <f t="shared" si="6"/>
        <v>0</v>
      </c>
    </row>
    <row r="70">
      <c r="A70" s="85">
        <v>68.0</v>
      </c>
      <c r="B70" s="35"/>
      <c r="C70" s="65"/>
      <c r="D70" s="76"/>
      <c r="E70" s="93"/>
      <c r="F70" s="76"/>
      <c r="G70" s="35"/>
      <c r="H70" s="85"/>
      <c r="I70" s="85"/>
      <c r="J70" s="87" t="str">
        <f t="shared" si="1"/>
        <v/>
      </c>
      <c r="K70" s="35"/>
      <c r="L70" s="88"/>
      <c r="M70" s="88"/>
      <c r="N70" s="87" t="str">
        <f t="shared" si="2"/>
        <v/>
      </c>
      <c r="O70" s="35"/>
      <c r="P70" s="88"/>
      <c r="Q70" s="88"/>
      <c r="R70" s="87" t="str">
        <f t="shared" si="3"/>
        <v/>
      </c>
      <c r="S70" s="90" t="str">
        <f t="shared" si="4"/>
        <v/>
      </c>
      <c r="T70" s="91" t="str">
        <f t="shared" si="5"/>
        <v/>
      </c>
      <c r="U70" s="85">
        <f t="shared" si="6"/>
        <v>0</v>
      </c>
    </row>
    <row r="71">
      <c r="A71" s="85">
        <v>69.0</v>
      </c>
      <c r="B71" s="35"/>
      <c r="C71" s="65"/>
      <c r="D71" s="76"/>
      <c r="E71" s="93"/>
      <c r="F71" s="76"/>
      <c r="G71" s="35"/>
      <c r="H71" s="85"/>
      <c r="I71" s="85"/>
      <c r="J71" s="87" t="str">
        <f t="shared" si="1"/>
        <v/>
      </c>
      <c r="K71" s="35"/>
      <c r="L71" s="88"/>
      <c r="M71" s="88"/>
      <c r="N71" s="87" t="str">
        <f t="shared" si="2"/>
        <v/>
      </c>
      <c r="O71" s="35"/>
      <c r="P71" s="88"/>
      <c r="Q71" s="88"/>
      <c r="R71" s="87" t="str">
        <f t="shared" si="3"/>
        <v/>
      </c>
      <c r="S71" s="90" t="str">
        <f t="shared" si="4"/>
        <v/>
      </c>
      <c r="T71" s="91" t="str">
        <f t="shared" si="5"/>
        <v/>
      </c>
      <c r="U71" s="85">
        <f t="shared" si="6"/>
        <v>0</v>
      </c>
    </row>
    <row r="72">
      <c r="A72" s="85">
        <v>70.0</v>
      </c>
      <c r="B72" s="35"/>
      <c r="C72" s="65"/>
      <c r="D72" s="76"/>
      <c r="E72" s="93"/>
      <c r="F72" s="76"/>
      <c r="G72" s="35"/>
      <c r="H72" s="85"/>
      <c r="I72" s="85"/>
      <c r="J72" s="87" t="str">
        <f t="shared" si="1"/>
        <v/>
      </c>
      <c r="K72" s="35"/>
      <c r="L72" s="88"/>
      <c r="M72" s="88"/>
      <c r="N72" s="87" t="str">
        <f t="shared" si="2"/>
        <v/>
      </c>
      <c r="O72" s="35"/>
      <c r="P72" s="88"/>
      <c r="Q72" s="88"/>
      <c r="R72" s="87" t="str">
        <f t="shared" si="3"/>
        <v/>
      </c>
      <c r="S72" s="90" t="str">
        <f t="shared" si="4"/>
        <v/>
      </c>
      <c r="T72" s="91" t="str">
        <f t="shared" si="5"/>
        <v/>
      </c>
      <c r="U72" s="85">
        <f t="shared" si="6"/>
        <v>0</v>
      </c>
    </row>
    <row r="73">
      <c r="A73" s="85">
        <v>71.0</v>
      </c>
      <c r="B73" s="35"/>
      <c r="C73" s="65"/>
      <c r="D73" s="76"/>
      <c r="E73" s="93"/>
      <c r="F73" s="76"/>
      <c r="G73" s="35"/>
      <c r="H73" s="85"/>
      <c r="I73" s="85"/>
      <c r="J73" s="87" t="str">
        <f t="shared" si="1"/>
        <v/>
      </c>
      <c r="K73" s="35"/>
      <c r="L73" s="88"/>
      <c r="M73" s="88"/>
      <c r="N73" s="87" t="str">
        <f t="shared" si="2"/>
        <v/>
      </c>
      <c r="O73" s="35"/>
      <c r="P73" s="88"/>
      <c r="Q73" s="88"/>
      <c r="R73" s="87" t="str">
        <f t="shared" si="3"/>
        <v/>
      </c>
      <c r="S73" s="90" t="str">
        <f t="shared" si="4"/>
        <v/>
      </c>
      <c r="T73" s="91" t="str">
        <f t="shared" si="5"/>
        <v/>
      </c>
      <c r="U73" s="85">
        <f t="shared" si="6"/>
        <v>0</v>
      </c>
    </row>
    <row r="74">
      <c r="A74" s="85">
        <v>72.0</v>
      </c>
      <c r="B74" s="35"/>
      <c r="C74" s="65"/>
      <c r="D74" s="76"/>
      <c r="E74" s="93"/>
      <c r="F74" s="76"/>
      <c r="G74" s="35"/>
      <c r="H74" s="85"/>
      <c r="I74" s="85"/>
      <c r="J74" s="87" t="str">
        <f t="shared" si="1"/>
        <v/>
      </c>
      <c r="K74" s="35"/>
      <c r="L74" s="88"/>
      <c r="M74" s="88"/>
      <c r="N74" s="87" t="str">
        <f t="shared" si="2"/>
        <v/>
      </c>
      <c r="O74" s="35"/>
      <c r="P74" s="88"/>
      <c r="Q74" s="88"/>
      <c r="R74" s="87" t="str">
        <f t="shared" si="3"/>
        <v/>
      </c>
      <c r="S74" s="90" t="str">
        <f t="shared" si="4"/>
        <v/>
      </c>
      <c r="T74" s="91" t="str">
        <f t="shared" si="5"/>
        <v/>
      </c>
      <c r="U74" s="85">
        <f t="shared" si="6"/>
        <v>0</v>
      </c>
    </row>
    <row r="75">
      <c r="A75" s="85">
        <v>73.0</v>
      </c>
      <c r="B75" s="35"/>
      <c r="C75" s="65"/>
      <c r="D75" s="76"/>
      <c r="E75" s="93"/>
      <c r="F75" s="76"/>
      <c r="G75" s="35"/>
      <c r="H75" s="85"/>
      <c r="I75" s="85"/>
      <c r="J75" s="87" t="str">
        <f t="shared" si="1"/>
        <v/>
      </c>
      <c r="K75" s="35"/>
      <c r="L75" s="88"/>
      <c r="M75" s="88"/>
      <c r="N75" s="87" t="str">
        <f t="shared" si="2"/>
        <v/>
      </c>
      <c r="O75" s="35"/>
      <c r="P75" s="88"/>
      <c r="Q75" s="88"/>
      <c r="R75" s="87" t="str">
        <f t="shared" si="3"/>
        <v/>
      </c>
      <c r="S75" s="90" t="str">
        <f t="shared" si="4"/>
        <v/>
      </c>
      <c r="T75" s="91" t="str">
        <f t="shared" si="5"/>
        <v/>
      </c>
      <c r="U75" s="85">
        <f t="shared" si="6"/>
        <v>0</v>
      </c>
    </row>
    <row r="76">
      <c r="A76" s="85">
        <v>74.0</v>
      </c>
      <c r="B76" s="35"/>
      <c r="C76" s="65"/>
      <c r="D76" s="76"/>
      <c r="E76" s="93"/>
      <c r="F76" s="76"/>
      <c r="G76" s="35"/>
      <c r="H76" s="85"/>
      <c r="I76" s="85"/>
      <c r="J76" s="87" t="str">
        <f t="shared" si="1"/>
        <v/>
      </c>
      <c r="K76" s="35"/>
      <c r="L76" s="88"/>
      <c r="M76" s="88"/>
      <c r="N76" s="87" t="str">
        <f t="shared" si="2"/>
        <v/>
      </c>
      <c r="O76" s="35"/>
      <c r="P76" s="88"/>
      <c r="Q76" s="88"/>
      <c r="R76" s="87" t="str">
        <f t="shared" si="3"/>
        <v/>
      </c>
      <c r="S76" s="90" t="str">
        <f t="shared" si="4"/>
        <v/>
      </c>
      <c r="T76" s="91" t="str">
        <f t="shared" si="5"/>
        <v/>
      </c>
      <c r="U76" s="85">
        <f t="shared" si="6"/>
        <v>0</v>
      </c>
    </row>
    <row r="77">
      <c r="A77" s="85">
        <v>75.0</v>
      </c>
      <c r="B77" s="35"/>
      <c r="C77" s="65"/>
      <c r="D77" s="76"/>
      <c r="E77" s="93"/>
      <c r="F77" s="76"/>
      <c r="G77" s="35"/>
      <c r="H77" s="85"/>
      <c r="I77" s="85"/>
      <c r="J77" s="87" t="str">
        <f t="shared" si="1"/>
        <v/>
      </c>
      <c r="K77" s="35"/>
      <c r="L77" s="88"/>
      <c r="M77" s="88"/>
      <c r="N77" s="87" t="str">
        <f t="shared" si="2"/>
        <v/>
      </c>
      <c r="O77" s="35"/>
      <c r="P77" s="88"/>
      <c r="Q77" s="88"/>
      <c r="R77" s="87" t="str">
        <f t="shared" si="3"/>
        <v/>
      </c>
      <c r="S77" s="90" t="str">
        <f t="shared" si="4"/>
        <v/>
      </c>
      <c r="T77" s="91" t="str">
        <f t="shared" si="5"/>
        <v/>
      </c>
      <c r="U77" s="85">
        <f t="shared" si="6"/>
        <v>0</v>
      </c>
    </row>
  </sheetData>
  <autoFilter ref="$B$2:$T$77"/>
  <customSheetViews>
    <customSheetView guid="{B0C17AAF-6872-48F8-A58E-565BF6C8DB27}" filter="1" showAutoFilter="1">
      <autoFilter ref="$C$2:$T$52"/>
    </customSheetView>
  </customSheetViews>
  <mergeCells count="3">
    <mergeCell ref="G1:J1"/>
    <mergeCell ref="K1:N1"/>
    <mergeCell ref="O1:R1"/>
  </mergeCells>
  <conditionalFormatting sqref="G3:I77 K3:M77 O3:Q77">
    <cfRule type="endsWith" dxfId="2" priority="1" operator="endsWith" text="g">
      <formula>RIGHT((G3),LEN("g"))=("g")</formula>
    </cfRule>
  </conditionalFormatting>
  <conditionalFormatting sqref="G3:I77 K3:M77 O3:Q77">
    <cfRule type="endsWith" dxfId="1" priority="2" operator="endsWith" text="x">
      <formula>RIGHT((G3),LEN("x"))=("x")</formula>
    </cfRule>
  </conditionalFormatting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tabColor rgb="FF000000"/>
    <outlinePr summaryBelow="0" summaryRight="0"/>
  </sheetPr>
  <sheetViews>
    <sheetView workbookViewId="0">
      <pane xSplit="6.0" ySplit="2.0" topLeftCell="G3" activePane="bottomRight" state="frozen"/>
      <selection activeCell="G1" sqref="G1" pane="topRight"/>
      <selection activeCell="A3" sqref="A3" pane="bottomLeft"/>
      <selection activeCell="G3" sqref="G3" pane="bottomRight"/>
    </sheetView>
  </sheetViews>
  <sheetFormatPr customHeight="1" defaultColWidth="14.43" defaultRowHeight="15.75"/>
  <cols>
    <col customWidth="1" min="1" max="1" width="3.57"/>
    <col customWidth="1" min="2" max="2" width="10.57"/>
    <col customWidth="1" min="3" max="3" width="6.86"/>
    <col customWidth="1" min="4" max="4" width="14.71"/>
    <col customWidth="1" min="5" max="5" width="7.57"/>
    <col customWidth="1" min="6" max="6" width="18.29"/>
    <col customWidth="1" min="7" max="18" width="5.71"/>
    <col customWidth="1" min="19" max="19" width="9.86"/>
    <col customWidth="1" min="20" max="20" width="11.0"/>
    <col customWidth="1" hidden="1" min="21" max="21" width="11.0"/>
  </cols>
  <sheetData>
    <row r="1">
      <c r="A1" s="14"/>
      <c r="B1" s="16" t="s">
        <v>19</v>
      </c>
      <c r="C1" s="16" t="s">
        <v>135</v>
      </c>
      <c r="D1" s="57" t="s">
        <v>22</v>
      </c>
      <c r="E1" s="57" t="s">
        <v>23</v>
      </c>
      <c r="F1" s="57" t="s">
        <v>25</v>
      </c>
      <c r="G1" s="57" t="s">
        <v>115</v>
      </c>
      <c r="K1" s="57" t="s">
        <v>116</v>
      </c>
      <c r="O1" s="57" t="s">
        <v>117</v>
      </c>
      <c r="S1" s="57" t="s">
        <v>118</v>
      </c>
      <c r="T1" s="57" t="s">
        <v>119</v>
      </c>
      <c r="U1" s="57"/>
    </row>
    <row r="2">
      <c r="A2" s="81"/>
      <c r="B2" s="83" t="s">
        <v>19</v>
      </c>
      <c r="C2" s="83" t="s">
        <v>135</v>
      </c>
      <c r="D2" s="83" t="s">
        <v>22</v>
      </c>
      <c r="E2" s="84" t="s">
        <v>23</v>
      </c>
      <c r="F2" s="83" t="s">
        <v>25</v>
      </c>
      <c r="G2" s="83" t="s">
        <v>136</v>
      </c>
      <c r="H2" s="83" t="s">
        <v>137</v>
      </c>
      <c r="I2" s="83" t="s">
        <v>138</v>
      </c>
      <c r="J2" s="83" t="s">
        <v>139</v>
      </c>
      <c r="K2" s="83" t="s">
        <v>140</v>
      </c>
      <c r="L2" s="83" t="s">
        <v>141</v>
      </c>
      <c r="M2" s="83" t="s">
        <v>142</v>
      </c>
      <c r="N2" s="83" t="s">
        <v>143</v>
      </c>
      <c r="O2" s="83" t="s">
        <v>144</v>
      </c>
      <c r="P2" s="83" t="s">
        <v>145</v>
      </c>
      <c r="Q2" s="83" t="s">
        <v>146</v>
      </c>
      <c r="R2" s="83" t="s">
        <v>147</v>
      </c>
      <c r="S2" s="83"/>
      <c r="T2" s="84" t="s">
        <v>119</v>
      </c>
      <c r="U2" s="84"/>
    </row>
    <row r="3">
      <c r="A3" s="85">
        <v>1.0</v>
      </c>
      <c r="B3" s="35" t="s">
        <v>78</v>
      </c>
      <c r="C3" s="35" t="s">
        <v>109</v>
      </c>
      <c r="D3" s="86" t="s">
        <v>285</v>
      </c>
      <c r="E3" s="35">
        <v>175.0</v>
      </c>
      <c r="F3" s="86" t="s">
        <v>429</v>
      </c>
      <c r="G3" s="35" t="s">
        <v>217</v>
      </c>
      <c r="H3" s="85" t="s">
        <v>188</v>
      </c>
      <c r="I3" s="85" t="s">
        <v>210</v>
      </c>
      <c r="J3" s="87">
        <f t="shared" ref="J3:J77" si="1">IFERROR(__xludf.DUMMYFUNCTION("if(isblank(B3),,Max(if(right(G3,1)=""g"",split(G3,""g""),),if(right(H3,1)=""g"",split(H3,""g""),),if(right(I3,1)=""g"",split(I3,""g""),)))"),80.0)</f>
        <v>80</v>
      </c>
      <c r="K3" s="35" t="s">
        <v>432</v>
      </c>
      <c r="L3" s="88" t="s">
        <v>217</v>
      </c>
      <c r="M3" s="88" t="s">
        <v>228</v>
      </c>
      <c r="N3" s="87">
        <f t="shared" ref="N3:N77" si="2">IFERROR(__xludf.DUMMYFUNCTION("if(isblank($B3),,Max(if(right(K3,1)=""g"",split(K3,""g""),),if(right(L3,1)=""g"",split(L3,""g""),),if(right(M3,1)=""g"",split(M3,""g""),)))"),55.0)</f>
        <v>55</v>
      </c>
      <c r="O3" s="35" t="s">
        <v>202</v>
      </c>
      <c r="P3" s="88" t="s">
        <v>224</v>
      </c>
      <c r="Q3" s="88" t="s">
        <v>162</v>
      </c>
      <c r="R3" s="87">
        <f t="shared" ref="R3:R77" si="3">IFERROR(__xludf.DUMMYFUNCTION("if(isblank($B3),,Max(if(right(O3,1)=""g"",split(O3,""g""),),if(right(P3,1)=""g"",split(P3,""g""),),if(right(Q3,1)=""g"",split(Q3,""g""),)))"),165.0)</f>
        <v>165</v>
      </c>
      <c r="S3" s="90">
        <f t="shared" ref="S3:S77" si="4">if(isblank(F3),,if(or(and(right(G3,1)="x",right(H3,1)="x",right(I3,1)="x"),and(right(K3,1)="x",right(L3,1)="x",right(M3,1)="x"),and(right(O3,1)="x",right(P3,1)="x",right(Q3,1)="x")),0,J3+N3+R3))</f>
        <v>300</v>
      </c>
      <c r="T3" s="91">
        <f t="shared" ref="T3:T77" si="5">if(isblank(E3),,S3/E3)</f>
        <v>1.714285714</v>
      </c>
      <c r="U3" s="85">
        <f t="shared" ref="U3:U77" si="6">countif(G3:Q3,"*g")</f>
        <v>6</v>
      </c>
    </row>
    <row r="4">
      <c r="A4" s="85">
        <v>2.0</v>
      </c>
      <c r="B4" s="35" t="s">
        <v>78</v>
      </c>
      <c r="C4" s="35" t="s">
        <v>109</v>
      </c>
      <c r="D4" s="86" t="s">
        <v>237</v>
      </c>
      <c r="E4" s="35">
        <v>178.0</v>
      </c>
      <c r="F4" s="86" t="s">
        <v>440</v>
      </c>
      <c r="G4" s="35" t="s">
        <v>171</v>
      </c>
      <c r="H4" s="85" t="s">
        <v>224</v>
      </c>
      <c r="I4" s="85" t="s">
        <v>235</v>
      </c>
      <c r="J4" s="87">
        <f t="shared" si="1"/>
        <v>180</v>
      </c>
      <c r="K4" s="35" t="s">
        <v>220</v>
      </c>
      <c r="L4" s="88" t="s">
        <v>195</v>
      </c>
      <c r="M4" s="88" t="s">
        <v>189</v>
      </c>
      <c r="N4" s="87">
        <f t="shared" si="2"/>
        <v>70</v>
      </c>
      <c r="O4" s="35" t="s">
        <v>161</v>
      </c>
      <c r="P4" s="88" t="s">
        <v>203</v>
      </c>
      <c r="Q4" s="88" t="s">
        <v>232</v>
      </c>
      <c r="R4" s="87">
        <f t="shared" si="3"/>
        <v>170</v>
      </c>
      <c r="S4" s="90">
        <f t="shared" si="4"/>
        <v>420</v>
      </c>
      <c r="T4" s="91">
        <f t="shared" si="5"/>
        <v>2.359550562</v>
      </c>
      <c r="U4" s="85">
        <f t="shared" si="6"/>
        <v>7</v>
      </c>
    </row>
    <row r="5">
      <c r="A5" s="85">
        <v>3.0</v>
      </c>
      <c r="B5" s="35" t="s">
        <v>78</v>
      </c>
      <c r="C5" s="35" t="s">
        <v>109</v>
      </c>
      <c r="D5" s="86" t="s">
        <v>204</v>
      </c>
      <c r="E5" s="35">
        <v>176.0</v>
      </c>
      <c r="F5" s="86" t="s">
        <v>442</v>
      </c>
      <c r="G5" s="35" t="s">
        <v>186</v>
      </c>
      <c r="H5" s="85" t="s">
        <v>316</v>
      </c>
      <c r="I5" s="85" t="s">
        <v>316</v>
      </c>
      <c r="J5" s="87">
        <f t="shared" si="1"/>
        <v>135</v>
      </c>
      <c r="K5" s="35" t="s">
        <v>173</v>
      </c>
      <c r="L5" s="88" t="s">
        <v>340</v>
      </c>
      <c r="M5" s="88" t="s">
        <v>340</v>
      </c>
      <c r="N5" s="87">
        <f t="shared" si="2"/>
        <v>85</v>
      </c>
      <c r="O5" s="35" t="s">
        <v>151</v>
      </c>
      <c r="P5" s="88" t="s">
        <v>156</v>
      </c>
      <c r="Q5" s="88" t="s">
        <v>389</v>
      </c>
      <c r="R5" s="87">
        <f t="shared" si="3"/>
        <v>225</v>
      </c>
      <c r="S5" s="90">
        <f t="shared" si="4"/>
        <v>445</v>
      </c>
      <c r="T5" s="91">
        <f t="shared" si="5"/>
        <v>2.528409091</v>
      </c>
      <c r="U5" s="85">
        <f t="shared" si="6"/>
        <v>4</v>
      </c>
    </row>
    <row r="6" ht="16.5" customHeight="1">
      <c r="A6" s="85">
        <v>4.0</v>
      </c>
      <c r="B6" s="35" t="s">
        <v>78</v>
      </c>
      <c r="C6" s="35" t="s">
        <v>109</v>
      </c>
      <c r="D6" s="86" t="s">
        <v>422</v>
      </c>
      <c r="E6" s="35">
        <v>173.4</v>
      </c>
      <c r="F6" s="86" t="s">
        <v>444</v>
      </c>
      <c r="G6" s="35" t="s">
        <v>224</v>
      </c>
      <c r="H6" s="85" t="s">
        <v>225</v>
      </c>
      <c r="I6" s="85" t="s">
        <v>225</v>
      </c>
      <c r="J6" s="87">
        <f t="shared" si="1"/>
        <v>165</v>
      </c>
      <c r="K6" s="35" t="s">
        <v>173</v>
      </c>
      <c r="L6" s="88" t="s">
        <v>164</v>
      </c>
      <c r="M6" s="88" t="s">
        <v>227</v>
      </c>
      <c r="N6" s="87">
        <f t="shared" si="2"/>
        <v>100</v>
      </c>
      <c r="O6" s="35" t="s">
        <v>181</v>
      </c>
      <c r="P6" s="88" t="s">
        <v>190</v>
      </c>
      <c r="Q6" s="88" t="s">
        <v>158</v>
      </c>
      <c r="R6" s="87">
        <f t="shared" si="3"/>
        <v>240</v>
      </c>
      <c r="S6" s="90">
        <f t="shared" si="4"/>
        <v>505</v>
      </c>
      <c r="T6" s="91">
        <f t="shared" si="5"/>
        <v>2.912341407</v>
      </c>
      <c r="U6" s="85">
        <f t="shared" si="6"/>
        <v>6</v>
      </c>
    </row>
    <row r="7">
      <c r="A7" s="85">
        <v>5.0</v>
      </c>
      <c r="B7" s="35" t="s">
        <v>78</v>
      </c>
      <c r="C7" s="35" t="s">
        <v>109</v>
      </c>
      <c r="D7" s="86" t="s">
        <v>251</v>
      </c>
      <c r="E7" s="85">
        <v>170.4</v>
      </c>
      <c r="F7" s="86" t="s">
        <v>447</v>
      </c>
      <c r="G7" s="35" t="s">
        <v>187</v>
      </c>
      <c r="H7" s="85" t="s">
        <v>150</v>
      </c>
      <c r="I7" s="85" t="s">
        <v>151</v>
      </c>
      <c r="J7" s="87">
        <f t="shared" si="1"/>
        <v>185</v>
      </c>
      <c r="K7" s="35" t="s">
        <v>195</v>
      </c>
      <c r="L7" s="88" t="s">
        <v>210</v>
      </c>
      <c r="M7" s="88" t="s">
        <v>163</v>
      </c>
      <c r="N7" s="87">
        <f t="shared" si="2"/>
        <v>90</v>
      </c>
      <c r="O7" s="35" t="s">
        <v>182</v>
      </c>
      <c r="P7" s="88" t="s">
        <v>183</v>
      </c>
      <c r="Q7" s="88" t="s">
        <v>158</v>
      </c>
      <c r="R7" s="87">
        <f t="shared" si="3"/>
        <v>240</v>
      </c>
      <c r="S7" s="90">
        <f t="shared" si="4"/>
        <v>515</v>
      </c>
      <c r="T7" s="91">
        <f t="shared" si="5"/>
        <v>3.022300469</v>
      </c>
      <c r="U7" s="85">
        <f t="shared" si="6"/>
        <v>8</v>
      </c>
    </row>
    <row r="8">
      <c r="A8" s="85">
        <v>6.0</v>
      </c>
      <c r="B8" s="35" t="s">
        <v>78</v>
      </c>
      <c r="C8" s="35" t="s">
        <v>109</v>
      </c>
      <c r="D8" s="86" t="s">
        <v>275</v>
      </c>
      <c r="E8" s="35">
        <v>174.6</v>
      </c>
      <c r="F8" s="86" t="s">
        <v>450</v>
      </c>
      <c r="G8" s="35" t="s">
        <v>224</v>
      </c>
      <c r="H8" s="85" t="s">
        <v>150</v>
      </c>
      <c r="I8" s="85" t="s">
        <v>175</v>
      </c>
      <c r="J8" s="87">
        <f t="shared" si="1"/>
        <v>195</v>
      </c>
      <c r="K8" s="35" t="s">
        <v>163</v>
      </c>
      <c r="L8" s="88" t="s">
        <v>164</v>
      </c>
      <c r="M8" s="88" t="s">
        <v>165</v>
      </c>
      <c r="N8" s="87">
        <f t="shared" si="2"/>
        <v>100</v>
      </c>
      <c r="O8" s="35" t="s">
        <v>182</v>
      </c>
      <c r="P8" s="88" t="s">
        <v>308</v>
      </c>
      <c r="Q8" s="88" t="s">
        <v>176</v>
      </c>
      <c r="R8" s="87">
        <f t="shared" si="3"/>
        <v>250</v>
      </c>
      <c r="S8" s="90">
        <f t="shared" si="4"/>
        <v>545</v>
      </c>
      <c r="T8" s="91">
        <f t="shared" si="5"/>
        <v>3.121420389</v>
      </c>
      <c r="U8" s="85">
        <f t="shared" si="6"/>
        <v>8</v>
      </c>
    </row>
    <row r="9">
      <c r="A9" s="85">
        <v>7.0</v>
      </c>
      <c r="B9" s="35" t="s">
        <v>78</v>
      </c>
      <c r="C9" s="35" t="s">
        <v>109</v>
      </c>
      <c r="D9" s="86" t="s">
        <v>251</v>
      </c>
      <c r="E9" s="35">
        <v>179.0</v>
      </c>
      <c r="F9" s="86" t="s">
        <v>454</v>
      </c>
      <c r="G9" s="35" t="s">
        <v>151</v>
      </c>
      <c r="H9" s="85" t="s">
        <v>208</v>
      </c>
      <c r="I9" s="85" t="s">
        <v>208</v>
      </c>
      <c r="J9" s="87">
        <f t="shared" si="1"/>
        <v>185</v>
      </c>
      <c r="K9" s="35" t="s">
        <v>207</v>
      </c>
      <c r="L9" s="88" t="s">
        <v>164</v>
      </c>
      <c r="M9" s="88" t="s">
        <v>227</v>
      </c>
      <c r="N9" s="87">
        <f t="shared" si="2"/>
        <v>100</v>
      </c>
      <c r="O9" s="35" t="s">
        <v>254</v>
      </c>
      <c r="P9" s="88" t="s">
        <v>156</v>
      </c>
      <c r="Q9" s="88" t="s">
        <v>389</v>
      </c>
      <c r="R9" s="87">
        <f t="shared" si="3"/>
        <v>225</v>
      </c>
      <c r="S9" s="90">
        <f t="shared" si="4"/>
        <v>510</v>
      </c>
      <c r="T9" s="91">
        <f t="shared" si="5"/>
        <v>2.849162011</v>
      </c>
      <c r="U9" s="85">
        <f t="shared" si="6"/>
        <v>4</v>
      </c>
    </row>
    <row r="10">
      <c r="A10" s="85">
        <v>8.0</v>
      </c>
      <c r="B10" s="35" t="s">
        <v>78</v>
      </c>
      <c r="C10" s="35" t="s">
        <v>109</v>
      </c>
      <c r="D10" s="86" t="s">
        <v>184</v>
      </c>
      <c r="E10" s="35">
        <v>167.1</v>
      </c>
      <c r="F10" s="86" t="s">
        <v>455</v>
      </c>
      <c r="G10" s="35" t="s">
        <v>203</v>
      </c>
      <c r="H10" s="85" t="s">
        <v>235</v>
      </c>
      <c r="I10" s="85" t="s">
        <v>190</v>
      </c>
      <c r="J10" s="87">
        <f t="shared" si="1"/>
        <v>215</v>
      </c>
      <c r="K10" s="35" t="s">
        <v>193</v>
      </c>
      <c r="L10" s="88" t="s">
        <v>197</v>
      </c>
      <c r="M10" s="88" t="s">
        <v>186</v>
      </c>
      <c r="N10" s="87">
        <f t="shared" si="2"/>
        <v>135</v>
      </c>
      <c r="O10" s="35" t="s">
        <v>166</v>
      </c>
      <c r="P10" s="88" t="s">
        <v>255</v>
      </c>
      <c r="Q10" s="88" t="s">
        <v>329</v>
      </c>
      <c r="R10" s="87">
        <f t="shared" si="3"/>
        <v>270</v>
      </c>
      <c r="S10" s="90">
        <f t="shared" si="4"/>
        <v>620</v>
      </c>
      <c r="T10" s="91">
        <f t="shared" si="5"/>
        <v>3.710353082</v>
      </c>
      <c r="U10" s="85">
        <f t="shared" si="6"/>
        <v>9</v>
      </c>
    </row>
    <row r="11">
      <c r="A11" s="85">
        <v>9.0</v>
      </c>
      <c r="B11" s="35" t="s">
        <v>78</v>
      </c>
      <c r="C11" s="35" t="s">
        <v>109</v>
      </c>
      <c r="D11" s="86" t="s">
        <v>212</v>
      </c>
      <c r="E11" s="35">
        <v>170.8</v>
      </c>
      <c r="F11" s="86" t="s">
        <v>456</v>
      </c>
      <c r="G11" s="35" t="s">
        <v>201</v>
      </c>
      <c r="H11" s="85" t="s">
        <v>201</v>
      </c>
      <c r="I11" s="85" t="s">
        <v>201</v>
      </c>
      <c r="J11" s="87">
        <f t="shared" si="1"/>
        <v>0</v>
      </c>
      <c r="K11" s="35" t="s">
        <v>173</v>
      </c>
      <c r="L11" s="88" t="s">
        <v>340</v>
      </c>
      <c r="M11" s="88" t="s">
        <v>340</v>
      </c>
      <c r="N11" s="87">
        <f t="shared" si="2"/>
        <v>85</v>
      </c>
      <c r="O11" s="35" t="s">
        <v>167</v>
      </c>
      <c r="P11" s="88" t="s">
        <v>449</v>
      </c>
      <c r="Q11" s="88" t="s">
        <v>449</v>
      </c>
      <c r="R11" s="87">
        <f t="shared" si="3"/>
        <v>235</v>
      </c>
      <c r="S11" s="90">
        <f t="shared" si="4"/>
        <v>0</v>
      </c>
      <c r="T11" s="91">
        <f t="shared" si="5"/>
        <v>0</v>
      </c>
      <c r="U11" s="85">
        <f t="shared" si="6"/>
        <v>2</v>
      </c>
    </row>
    <row r="12">
      <c r="A12" s="85">
        <v>10.0</v>
      </c>
      <c r="B12" s="35" t="s">
        <v>78</v>
      </c>
      <c r="C12" s="35" t="s">
        <v>109</v>
      </c>
      <c r="D12" s="86" t="s">
        <v>321</v>
      </c>
      <c r="E12" s="35">
        <v>180.0</v>
      </c>
      <c r="F12" s="86" t="s">
        <v>457</v>
      </c>
      <c r="G12" s="35" t="s">
        <v>183</v>
      </c>
      <c r="H12" s="85" t="s">
        <v>308</v>
      </c>
      <c r="I12" s="85" t="s">
        <v>389</v>
      </c>
      <c r="J12" s="87">
        <f t="shared" si="1"/>
        <v>230</v>
      </c>
      <c r="K12" s="35" t="s">
        <v>193</v>
      </c>
      <c r="L12" s="88" t="s">
        <v>155</v>
      </c>
      <c r="M12" s="88" t="s">
        <v>197</v>
      </c>
      <c r="N12" s="87">
        <f t="shared" si="2"/>
        <v>120</v>
      </c>
      <c r="O12" s="35" t="s">
        <v>167</v>
      </c>
      <c r="P12" s="88" t="s">
        <v>295</v>
      </c>
      <c r="Q12" s="88" t="s">
        <v>295</v>
      </c>
      <c r="R12" s="87">
        <f t="shared" si="3"/>
        <v>235</v>
      </c>
      <c r="S12" s="90">
        <f t="shared" si="4"/>
        <v>585</v>
      </c>
      <c r="T12" s="91">
        <f t="shared" si="5"/>
        <v>3.25</v>
      </c>
      <c r="U12" s="85">
        <f t="shared" si="6"/>
        <v>5</v>
      </c>
    </row>
    <row r="13">
      <c r="A13" s="85">
        <v>11.0</v>
      </c>
      <c r="B13" s="35" t="s">
        <v>78</v>
      </c>
      <c r="C13" s="35" t="s">
        <v>109</v>
      </c>
      <c r="D13" s="86" t="s">
        <v>287</v>
      </c>
      <c r="E13" s="35">
        <v>177.4</v>
      </c>
      <c r="F13" s="86" t="s">
        <v>458</v>
      </c>
      <c r="G13" s="35" t="s">
        <v>156</v>
      </c>
      <c r="H13" s="85" t="s">
        <v>176</v>
      </c>
      <c r="I13" s="85" t="s">
        <v>405</v>
      </c>
      <c r="J13" s="87">
        <f t="shared" si="1"/>
        <v>250</v>
      </c>
      <c r="K13" s="35" t="s">
        <v>153</v>
      </c>
      <c r="L13" s="88" t="s">
        <v>155</v>
      </c>
      <c r="M13" s="88" t="s">
        <v>155</v>
      </c>
      <c r="N13" s="87">
        <f t="shared" si="2"/>
        <v>105</v>
      </c>
      <c r="O13" s="35" t="s">
        <v>167</v>
      </c>
      <c r="P13" s="88" t="s">
        <v>324</v>
      </c>
      <c r="Q13" s="88" t="s">
        <v>459</v>
      </c>
      <c r="R13" s="87">
        <f t="shared" si="3"/>
        <v>255</v>
      </c>
      <c r="S13" s="90">
        <f t="shared" si="4"/>
        <v>610</v>
      </c>
      <c r="T13" s="91">
        <f t="shared" si="5"/>
        <v>3.438556933</v>
      </c>
      <c r="U13" s="85">
        <f t="shared" si="6"/>
        <v>5</v>
      </c>
    </row>
    <row r="14">
      <c r="A14" s="85">
        <v>12.0</v>
      </c>
      <c r="B14" s="35" t="s">
        <v>78</v>
      </c>
      <c r="C14" s="35" t="s">
        <v>109</v>
      </c>
      <c r="D14" s="86" t="s">
        <v>460</v>
      </c>
      <c r="E14" s="35">
        <v>169.1</v>
      </c>
      <c r="F14" s="86" t="s">
        <v>461</v>
      </c>
      <c r="G14" s="35" t="s">
        <v>166</v>
      </c>
      <c r="H14" s="85" t="s">
        <v>190</v>
      </c>
      <c r="I14" s="85" t="s">
        <v>191</v>
      </c>
      <c r="J14" s="87">
        <f t="shared" si="1"/>
        <v>215</v>
      </c>
      <c r="K14" s="35" t="s">
        <v>262</v>
      </c>
      <c r="L14" s="88" t="s">
        <v>153</v>
      </c>
      <c r="M14" s="88" t="s">
        <v>227</v>
      </c>
      <c r="N14" s="87">
        <f t="shared" si="2"/>
        <v>105</v>
      </c>
      <c r="O14" s="35" t="s">
        <v>176</v>
      </c>
      <c r="P14" s="88" t="s">
        <v>325</v>
      </c>
      <c r="Q14" s="88" t="s">
        <v>462</v>
      </c>
      <c r="R14" s="87">
        <f t="shared" si="3"/>
        <v>275</v>
      </c>
      <c r="S14" s="90">
        <f t="shared" si="4"/>
        <v>595</v>
      </c>
      <c r="T14" s="91">
        <f t="shared" si="5"/>
        <v>3.518628031</v>
      </c>
      <c r="U14" s="85">
        <f t="shared" si="6"/>
        <v>5</v>
      </c>
    </row>
    <row r="15">
      <c r="A15" s="85">
        <v>13.0</v>
      </c>
      <c r="B15" s="35" t="s">
        <v>78</v>
      </c>
      <c r="C15" s="35" t="s">
        <v>109</v>
      </c>
      <c r="D15" s="86" t="s">
        <v>148</v>
      </c>
      <c r="E15" s="35">
        <v>177.8</v>
      </c>
      <c r="F15" s="86" t="s">
        <v>463</v>
      </c>
      <c r="G15" s="35" t="s">
        <v>224</v>
      </c>
      <c r="H15" s="85" t="s">
        <v>162</v>
      </c>
      <c r="I15" s="85" t="s">
        <v>162</v>
      </c>
      <c r="J15" s="87">
        <f t="shared" si="1"/>
        <v>165</v>
      </c>
      <c r="K15" s="35" t="s">
        <v>216</v>
      </c>
      <c r="L15" s="88" t="s">
        <v>207</v>
      </c>
      <c r="M15" s="88" t="s">
        <v>164</v>
      </c>
      <c r="N15" s="87">
        <f t="shared" si="2"/>
        <v>100</v>
      </c>
      <c r="O15" s="35" t="s">
        <v>325</v>
      </c>
      <c r="P15" s="88" t="s">
        <v>464</v>
      </c>
      <c r="Q15" s="88" t="s">
        <v>464</v>
      </c>
      <c r="R15" s="87">
        <f t="shared" si="3"/>
        <v>275</v>
      </c>
      <c r="S15" s="90">
        <f t="shared" si="4"/>
        <v>540</v>
      </c>
      <c r="T15" s="91">
        <f t="shared" si="5"/>
        <v>3.03712036</v>
      </c>
      <c r="U15" s="85">
        <f t="shared" si="6"/>
        <v>4</v>
      </c>
    </row>
    <row r="16">
      <c r="A16" s="85">
        <v>14.0</v>
      </c>
      <c r="B16" s="35" t="s">
        <v>78</v>
      </c>
      <c r="C16" s="35" t="s">
        <v>109</v>
      </c>
      <c r="D16" s="86" t="s">
        <v>260</v>
      </c>
      <c r="E16" s="85">
        <v>168.6</v>
      </c>
      <c r="F16" s="86" t="s">
        <v>465</v>
      </c>
      <c r="G16" s="35" t="s">
        <v>175</v>
      </c>
      <c r="H16" s="85" t="s">
        <v>254</v>
      </c>
      <c r="I16" s="85" t="s">
        <v>156</v>
      </c>
      <c r="J16" s="87">
        <f t="shared" si="1"/>
        <v>225</v>
      </c>
      <c r="K16" s="35" t="s">
        <v>216</v>
      </c>
      <c r="L16" s="88" t="s">
        <v>153</v>
      </c>
      <c r="M16" s="88" t="s">
        <v>154</v>
      </c>
      <c r="N16" s="87">
        <f t="shared" si="2"/>
        <v>110</v>
      </c>
      <c r="O16" s="35" t="s">
        <v>399</v>
      </c>
      <c r="P16" s="88" t="s">
        <v>406</v>
      </c>
      <c r="Q16" s="88" t="s">
        <v>466</v>
      </c>
      <c r="R16" s="87">
        <f t="shared" si="3"/>
        <v>300</v>
      </c>
      <c r="S16" s="90">
        <f t="shared" si="4"/>
        <v>635</v>
      </c>
      <c r="T16" s="91">
        <f t="shared" si="5"/>
        <v>3.766310795</v>
      </c>
      <c r="U16" s="85">
        <f t="shared" si="6"/>
        <v>8</v>
      </c>
    </row>
    <row r="17">
      <c r="A17" s="85">
        <v>15.0</v>
      </c>
      <c r="B17" s="35" t="s">
        <v>78</v>
      </c>
      <c r="C17" s="35" t="s">
        <v>109</v>
      </c>
      <c r="D17" s="86" t="s">
        <v>467</v>
      </c>
      <c r="E17" s="35">
        <v>173.8</v>
      </c>
      <c r="F17" s="86" t="s">
        <v>468</v>
      </c>
      <c r="G17" s="35" t="s">
        <v>308</v>
      </c>
      <c r="H17" s="85" t="s">
        <v>157</v>
      </c>
      <c r="I17" s="85" t="s">
        <v>157</v>
      </c>
      <c r="J17" s="87">
        <f t="shared" si="1"/>
        <v>230</v>
      </c>
      <c r="K17" s="35" t="s">
        <v>172</v>
      </c>
      <c r="L17" s="88" t="s">
        <v>173</v>
      </c>
      <c r="M17" s="88" t="s">
        <v>163</v>
      </c>
      <c r="N17" s="87">
        <f t="shared" si="2"/>
        <v>90</v>
      </c>
      <c r="O17" s="35" t="s">
        <v>424</v>
      </c>
      <c r="P17" s="88" t="s">
        <v>469</v>
      </c>
      <c r="Q17" s="88" t="s">
        <v>466</v>
      </c>
      <c r="R17" s="87">
        <f t="shared" si="3"/>
        <v>305</v>
      </c>
      <c r="S17" s="90">
        <f t="shared" si="4"/>
        <v>625</v>
      </c>
      <c r="T17" s="91">
        <f t="shared" si="5"/>
        <v>3.596087457</v>
      </c>
      <c r="U17" s="85">
        <f t="shared" si="6"/>
        <v>6</v>
      </c>
    </row>
    <row r="18">
      <c r="A18" s="85">
        <v>16.0</v>
      </c>
      <c r="B18" s="35" t="s">
        <v>78</v>
      </c>
      <c r="C18" s="35" t="s">
        <v>109</v>
      </c>
      <c r="D18" s="86" t="s">
        <v>221</v>
      </c>
      <c r="E18" s="35">
        <v>179.6</v>
      </c>
      <c r="F18" s="86" t="s">
        <v>470</v>
      </c>
      <c r="G18" s="35" t="s">
        <v>329</v>
      </c>
      <c r="H18" s="85" t="s">
        <v>424</v>
      </c>
      <c r="I18" s="85" t="s">
        <v>406</v>
      </c>
      <c r="J18" s="87">
        <f t="shared" si="1"/>
        <v>300</v>
      </c>
      <c r="K18" s="35" t="s">
        <v>179</v>
      </c>
      <c r="L18" s="88" t="s">
        <v>186</v>
      </c>
      <c r="M18" s="88" t="s">
        <v>170</v>
      </c>
      <c r="N18" s="87">
        <f t="shared" si="2"/>
        <v>140</v>
      </c>
      <c r="O18" s="35" t="s">
        <v>424</v>
      </c>
      <c r="P18" s="88" t="s">
        <v>469</v>
      </c>
      <c r="Q18" s="88" t="s">
        <v>407</v>
      </c>
      <c r="R18" s="87">
        <f t="shared" si="3"/>
        <v>315</v>
      </c>
      <c r="S18" s="90">
        <f t="shared" si="4"/>
        <v>755</v>
      </c>
      <c r="T18" s="91">
        <f t="shared" si="5"/>
        <v>4.203786192</v>
      </c>
      <c r="U18" s="85">
        <f t="shared" si="6"/>
        <v>9</v>
      </c>
    </row>
    <row r="19">
      <c r="A19" s="85">
        <v>17.0</v>
      </c>
      <c r="B19" s="35" t="s">
        <v>78</v>
      </c>
      <c r="C19" s="35" t="s">
        <v>109</v>
      </c>
      <c r="D19" s="86" t="s">
        <v>471</v>
      </c>
      <c r="E19" s="35">
        <v>166.0</v>
      </c>
      <c r="F19" s="86" t="s">
        <v>472</v>
      </c>
      <c r="G19" s="35" t="s">
        <v>190</v>
      </c>
      <c r="H19" s="85" t="s">
        <v>167</v>
      </c>
      <c r="I19" s="85" t="s">
        <v>328</v>
      </c>
      <c r="J19" s="87">
        <f t="shared" si="1"/>
        <v>260</v>
      </c>
      <c r="K19" s="35" t="s">
        <v>179</v>
      </c>
      <c r="L19" s="88" t="s">
        <v>170</v>
      </c>
      <c r="M19" s="88" t="s">
        <v>187</v>
      </c>
      <c r="N19" s="87">
        <f t="shared" si="2"/>
        <v>140</v>
      </c>
      <c r="O19" s="35" t="s">
        <v>406</v>
      </c>
      <c r="P19" s="88" t="s">
        <v>414</v>
      </c>
      <c r="Q19" s="88" t="s">
        <v>473</v>
      </c>
      <c r="R19" s="87">
        <f t="shared" si="3"/>
        <v>335</v>
      </c>
      <c r="S19" s="90">
        <f t="shared" si="4"/>
        <v>735</v>
      </c>
      <c r="T19" s="91">
        <f t="shared" si="5"/>
        <v>4.427710843</v>
      </c>
      <c r="U19" s="85">
        <f t="shared" si="6"/>
        <v>8</v>
      </c>
    </row>
    <row r="20">
      <c r="A20" s="85">
        <v>18.0</v>
      </c>
      <c r="B20" s="35"/>
      <c r="C20" s="35"/>
      <c r="D20" s="86"/>
      <c r="E20" s="35"/>
      <c r="F20" s="86"/>
      <c r="G20" s="35"/>
      <c r="H20" s="85"/>
      <c r="I20" s="85"/>
      <c r="J20" s="87" t="str">
        <f t="shared" si="1"/>
        <v/>
      </c>
      <c r="K20" s="35"/>
      <c r="L20" s="88"/>
      <c r="M20" s="88"/>
      <c r="N20" s="87" t="str">
        <f t="shared" si="2"/>
        <v/>
      </c>
      <c r="O20" s="35"/>
      <c r="P20" s="88"/>
      <c r="Q20" s="88"/>
      <c r="R20" s="87" t="str">
        <f t="shared" si="3"/>
        <v/>
      </c>
      <c r="S20" s="90" t="str">
        <f t="shared" si="4"/>
        <v/>
      </c>
      <c r="T20" s="91" t="str">
        <f t="shared" si="5"/>
        <v/>
      </c>
      <c r="U20" s="85">
        <f t="shared" si="6"/>
        <v>0</v>
      </c>
    </row>
    <row r="21">
      <c r="A21" s="85">
        <v>19.0</v>
      </c>
      <c r="B21" s="35"/>
      <c r="C21" s="35"/>
      <c r="D21" s="86"/>
      <c r="E21" s="35"/>
      <c r="F21" s="86"/>
      <c r="G21" s="35"/>
      <c r="H21" s="85"/>
      <c r="I21" s="85"/>
      <c r="J21" s="87" t="str">
        <f t="shared" si="1"/>
        <v/>
      </c>
      <c r="K21" s="35"/>
      <c r="L21" s="88"/>
      <c r="M21" s="88"/>
      <c r="N21" s="87" t="str">
        <f t="shared" si="2"/>
        <v/>
      </c>
      <c r="O21" s="35"/>
      <c r="P21" s="88"/>
      <c r="Q21" s="88"/>
      <c r="R21" s="87" t="str">
        <f t="shared" si="3"/>
        <v/>
      </c>
      <c r="S21" s="90" t="str">
        <f t="shared" si="4"/>
        <v/>
      </c>
      <c r="T21" s="91" t="str">
        <f t="shared" si="5"/>
        <v/>
      </c>
      <c r="U21" s="85">
        <f t="shared" si="6"/>
        <v>0</v>
      </c>
    </row>
    <row r="22">
      <c r="A22" s="85">
        <v>20.0</v>
      </c>
      <c r="B22" s="35"/>
      <c r="C22" s="35"/>
      <c r="D22" s="86"/>
      <c r="E22" s="35"/>
      <c r="F22" s="86"/>
      <c r="G22" s="35"/>
      <c r="H22" s="85"/>
      <c r="I22" s="85"/>
      <c r="J22" s="87" t="str">
        <f t="shared" si="1"/>
        <v/>
      </c>
      <c r="K22" s="35"/>
      <c r="L22" s="88"/>
      <c r="M22" s="88"/>
      <c r="N22" s="87" t="str">
        <f t="shared" si="2"/>
        <v/>
      </c>
      <c r="O22" s="35"/>
      <c r="P22" s="88"/>
      <c r="Q22" s="88"/>
      <c r="R22" s="87" t="str">
        <f t="shared" si="3"/>
        <v/>
      </c>
      <c r="S22" s="90" t="str">
        <f t="shared" si="4"/>
        <v/>
      </c>
      <c r="T22" s="91" t="str">
        <f t="shared" si="5"/>
        <v/>
      </c>
      <c r="U22" s="85">
        <f t="shared" si="6"/>
        <v>0</v>
      </c>
    </row>
    <row r="23">
      <c r="A23" s="85">
        <v>21.0</v>
      </c>
      <c r="B23" s="35"/>
      <c r="C23" s="35"/>
      <c r="D23" s="86"/>
      <c r="E23" s="35"/>
      <c r="F23" s="86"/>
      <c r="G23" s="35"/>
      <c r="H23" s="85"/>
      <c r="I23" s="85"/>
      <c r="J23" s="87" t="str">
        <f t="shared" si="1"/>
        <v/>
      </c>
      <c r="K23" s="35"/>
      <c r="L23" s="88"/>
      <c r="M23" s="88"/>
      <c r="N23" s="87" t="str">
        <f t="shared" si="2"/>
        <v/>
      </c>
      <c r="O23" s="35"/>
      <c r="P23" s="88"/>
      <c r="Q23" s="88"/>
      <c r="R23" s="87" t="str">
        <f t="shared" si="3"/>
        <v/>
      </c>
      <c r="S23" s="90" t="str">
        <f t="shared" si="4"/>
        <v/>
      </c>
      <c r="T23" s="91" t="str">
        <f t="shared" si="5"/>
        <v/>
      </c>
      <c r="U23" s="85">
        <f t="shared" si="6"/>
        <v>0</v>
      </c>
    </row>
    <row r="24">
      <c r="A24" s="85">
        <v>22.0</v>
      </c>
      <c r="B24" s="35"/>
      <c r="C24" s="35"/>
      <c r="D24" s="86"/>
      <c r="E24" s="35"/>
      <c r="F24" s="86"/>
      <c r="G24" s="35"/>
      <c r="H24" s="85"/>
      <c r="I24" s="85"/>
      <c r="J24" s="87" t="str">
        <f t="shared" si="1"/>
        <v/>
      </c>
      <c r="K24" s="35"/>
      <c r="L24" s="88"/>
      <c r="M24" s="88"/>
      <c r="N24" s="87" t="str">
        <f t="shared" si="2"/>
        <v/>
      </c>
      <c r="O24" s="35"/>
      <c r="P24" s="88"/>
      <c r="Q24" s="88"/>
      <c r="R24" s="87" t="str">
        <f t="shared" si="3"/>
        <v/>
      </c>
      <c r="S24" s="90" t="str">
        <f t="shared" si="4"/>
        <v/>
      </c>
      <c r="T24" s="91" t="str">
        <f t="shared" si="5"/>
        <v/>
      </c>
      <c r="U24" s="85">
        <f t="shared" si="6"/>
        <v>0</v>
      </c>
    </row>
    <row r="25">
      <c r="A25" s="85">
        <v>23.0</v>
      </c>
      <c r="B25" s="35"/>
      <c r="C25" s="35"/>
      <c r="D25" s="86"/>
      <c r="E25" s="35"/>
      <c r="F25" s="86"/>
      <c r="G25" s="35"/>
      <c r="H25" s="85"/>
      <c r="I25" s="85"/>
      <c r="J25" s="87" t="str">
        <f t="shared" si="1"/>
        <v/>
      </c>
      <c r="K25" s="35"/>
      <c r="L25" s="88"/>
      <c r="M25" s="88"/>
      <c r="N25" s="87" t="str">
        <f t="shared" si="2"/>
        <v/>
      </c>
      <c r="O25" s="35"/>
      <c r="P25" s="88"/>
      <c r="Q25" s="88"/>
      <c r="R25" s="87" t="str">
        <f t="shared" si="3"/>
        <v/>
      </c>
      <c r="S25" s="90" t="str">
        <f t="shared" si="4"/>
        <v/>
      </c>
      <c r="T25" s="91" t="str">
        <f t="shared" si="5"/>
        <v/>
      </c>
      <c r="U25" s="85">
        <f t="shared" si="6"/>
        <v>0</v>
      </c>
    </row>
    <row r="26">
      <c r="A26" s="85">
        <v>24.0</v>
      </c>
      <c r="B26" s="35"/>
      <c r="C26" s="35"/>
      <c r="D26" s="86"/>
      <c r="E26" s="85"/>
      <c r="F26" s="86"/>
      <c r="G26" s="35"/>
      <c r="H26" s="85"/>
      <c r="I26" s="85"/>
      <c r="J26" s="87" t="str">
        <f t="shared" si="1"/>
        <v/>
      </c>
      <c r="K26" s="35"/>
      <c r="L26" s="88"/>
      <c r="M26" s="88"/>
      <c r="N26" s="87" t="str">
        <f t="shared" si="2"/>
        <v/>
      </c>
      <c r="O26" s="35"/>
      <c r="P26" s="88"/>
      <c r="Q26" s="88"/>
      <c r="R26" s="87" t="str">
        <f t="shared" si="3"/>
        <v/>
      </c>
      <c r="S26" s="90" t="str">
        <f t="shared" si="4"/>
        <v/>
      </c>
      <c r="T26" s="91" t="str">
        <f t="shared" si="5"/>
        <v/>
      </c>
      <c r="U26" s="85">
        <f t="shared" si="6"/>
        <v>0</v>
      </c>
    </row>
    <row r="27">
      <c r="A27" s="85">
        <v>25.0</v>
      </c>
      <c r="B27" s="35"/>
      <c r="C27" s="35"/>
      <c r="D27" s="86"/>
      <c r="E27" s="85"/>
      <c r="F27" s="86"/>
      <c r="G27" s="35"/>
      <c r="H27" s="85"/>
      <c r="I27" s="85"/>
      <c r="J27" s="87" t="str">
        <f t="shared" si="1"/>
        <v/>
      </c>
      <c r="K27" s="35"/>
      <c r="L27" s="88"/>
      <c r="M27" s="88"/>
      <c r="N27" s="87" t="str">
        <f t="shared" si="2"/>
        <v/>
      </c>
      <c r="O27" s="35"/>
      <c r="P27" s="88"/>
      <c r="Q27" s="88"/>
      <c r="R27" s="87" t="str">
        <f t="shared" si="3"/>
        <v/>
      </c>
      <c r="S27" s="90" t="str">
        <f t="shared" si="4"/>
        <v/>
      </c>
      <c r="T27" s="91" t="str">
        <f t="shared" si="5"/>
        <v/>
      </c>
      <c r="U27" s="85">
        <f t="shared" si="6"/>
        <v>0</v>
      </c>
    </row>
    <row r="28">
      <c r="A28" s="85">
        <v>26.0</v>
      </c>
      <c r="B28" s="35"/>
      <c r="C28" s="65"/>
      <c r="D28" s="76"/>
      <c r="E28" s="93"/>
      <c r="F28" s="76"/>
      <c r="G28" s="35"/>
      <c r="H28" s="85"/>
      <c r="I28" s="85"/>
      <c r="J28" s="87" t="str">
        <f t="shared" si="1"/>
        <v/>
      </c>
      <c r="K28" s="35"/>
      <c r="L28" s="88"/>
      <c r="M28" s="88"/>
      <c r="N28" s="87" t="str">
        <f t="shared" si="2"/>
        <v/>
      </c>
      <c r="O28" s="35"/>
      <c r="P28" s="88"/>
      <c r="Q28" s="88"/>
      <c r="R28" s="87" t="str">
        <f t="shared" si="3"/>
        <v/>
      </c>
      <c r="S28" s="90" t="str">
        <f t="shared" si="4"/>
        <v/>
      </c>
      <c r="T28" s="91" t="str">
        <f t="shared" si="5"/>
        <v/>
      </c>
      <c r="U28" s="85">
        <f t="shared" si="6"/>
        <v>0</v>
      </c>
    </row>
    <row r="29">
      <c r="A29" s="85">
        <v>27.0</v>
      </c>
      <c r="B29" s="35"/>
      <c r="C29" s="65"/>
      <c r="D29" s="76"/>
      <c r="E29" s="93"/>
      <c r="F29" s="76"/>
      <c r="G29" s="35"/>
      <c r="H29" s="85"/>
      <c r="I29" s="85"/>
      <c r="J29" s="87" t="str">
        <f t="shared" si="1"/>
        <v/>
      </c>
      <c r="K29" s="35"/>
      <c r="L29" s="88"/>
      <c r="M29" s="88"/>
      <c r="N29" s="87" t="str">
        <f t="shared" si="2"/>
        <v/>
      </c>
      <c r="O29" s="35"/>
      <c r="P29" s="88"/>
      <c r="Q29" s="88"/>
      <c r="R29" s="87" t="str">
        <f t="shared" si="3"/>
        <v/>
      </c>
      <c r="S29" s="90" t="str">
        <f t="shared" si="4"/>
        <v/>
      </c>
      <c r="T29" s="91" t="str">
        <f t="shared" si="5"/>
        <v/>
      </c>
      <c r="U29" s="85">
        <f t="shared" si="6"/>
        <v>0</v>
      </c>
    </row>
    <row r="30">
      <c r="A30" s="85">
        <v>28.0</v>
      </c>
      <c r="B30" s="35"/>
      <c r="C30" s="65"/>
      <c r="D30" s="76"/>
      <c r="E30" s="93"/>
      <c r="F30" s="76"/>
      <c r="G30" s="35"/>
      <c r="H30" s="85"/>
      <c r="I30" s="85"/>
      <c r="J30" s="87" t="str">
        <f t="shared" si="1"/>
        <v/>
      </c>
      <c r="K30" s="35"/>
      <c r="L30" s="88"/>
      <c r="M30" s="88"/>
      <c r="N30" s="87" t="str">
        <f t="shared" si="2"/>
        <v/>
      </c>
      <c r="O30" s="35"/>
      <c r="P30" s="88"/>
      <c r="Q30" s="88"/>
      <c r="R30" s="87" t="str">
        <f t="shared" si="3"/>
        <v/>
      </c>
      <c r="S30" s="90" t="str">
        <f t="shared" si="4"/>
        <v/>
      </c>
      <c r="T30" s="91" t="str">
        <f t="shared" si="5"/>
        <v/>
      </c>
      <c r="U30" s="85">
        <f t="shared" si="6"/>
        <v>0</v>
      </c>
    </row>
    <row r="31">
      <c r="A31" s="85">
        <v>29.0</v>
      </c>
      <c r="B31" s="35"/>
      <c r="C31" s="65"/>
      <c r="D31" s="76"/>
      <c r="E31" s="93"/>
      <c r="F31" s="76"/>
      <c r="G31" s="35"/>
      <c r="H31" s="85"/>
      <c r="I31" s="85"/>
      <c r="J31" s="87" t="str">
        <f t="shared" si="1"/>
        <v/>
      </c>
      <c r="K31" s="35"/>
      <c r="L31" s="88"/>
      <c r="M31" s="88"/>
      <c r="N31" s="87" t="str">
        <f t="shared" si="2"/>
        <v/>
      </c>
      <c r="O31" s="35"/>
      <c r="P31" s="88"/>
      <c r="Q31" s="88"/>
      <c r="R31" s="87" t="str">
        <f t="shared" si="3"/>
        <v/>
      </c>
      <c r="S31" s="90" t="str">
        <f t="shared" si="4"/>
        <v/>
      </c>
      <c r="T31" s="91" t="str">
        <f t="shared" si="5"/>
        <v/>
      </c>
      <c r="U31" s="85">
        <f t="shared" si="6"/>
        <v>0</v>
      </c>
    </row>
    <row r="32">
      <c r="A32" s="85">
        <v>30.0</v>
      </c>
      <c r="B32" s="35"/>
      <c r="C32" s="65"/>
      <c r="D32" s="76"/>
      <c r="E32" s="93"/>
      <c r="F32" s="76"/>
      <c r="G32" s="35"/>
      <c r="H32" s="85"/>
      <c r="I32" s="85"/>
      <c r="J32" s="87" t="str">
        <f t="shared" si="1"/>
        <v/>
      </c>
      <c r="K32" s="35"/>
      <c r="L32" s="88"/>
      <c r="M32" s="88"/>
      <c r="N32" s="87" t="str">
        <f t="shared" si="2"/>
        <v/>
      </c>
      <c r="O32" s="35"/>
      <c r="P32" s="88"/>
      <c r="Q32" s="88"/>
      <c r="R32" s="87" t="str">
        <f t="shared" si="3"/>
        <v/>
      </c>
      <c r="S32" s="90" t="str">
        <f t="shared" si="4"/>
        <v/>
      </c>
      <c r="T32" s="91" t="str">
        <f t="shared" si="5"/>
        <v/>
      </c>
      <c r="U32" s="85">
        <f t="shared" si="6"/>
        <v>0</v>
      </c>
    </row>
    <row r="33">
      <c r="A33" s="85">
        <v>31.0</v>
      </c>
      <c r="B33" s="35"/>
      <c r="C33" s="65"/>
      <c r="D33" s="76"/>
      <c r="E33" s="93"/>
      <c r="F33" s="76"/>
      <c r="G33" s="35"/>
      <c r="H33" s="85"/>
      <c r="I33" s="85"/>
      <c r="J33" s="87" t="str">
        <f t="shared" si="1"/>
        <v/>
      </c>
      <c r="K33" s="35"/>
      <c r="L33" s="88"/>
      <c r="M33" s="88"/>
      <c r="N33" s="87" t="str">
        <f t="shared" si="2"/>
        <v/>
      </c>
      <c r="O33" s="35"/>
      <c r="P33" s="88"/>
      <c r="Q33" s="88"/>
      <c r="R33" s="87" t="str">
        <f t="shared" si="3"/>
        <v/>
      </c>
      <c r="S33" s="90" t="str">
        <f t="shared" si="4"/>
        <v/>
      </c>
      <c r="T33" s="91" t="str">
        <f t="shared" si="5"/>
        <v/>
      </c>
      <c r="U33" s="85">
        <f t="shared" si="6"/>
        <v>0</v>
      </c>
    </row>
    <row r="34">
      <c r="A34" s="85">
        <v>32.0</v>
      </c>
      <c r="B34" s="35"/>
      <c r="C34" s="65"/>
      <c r="D34" s="76"/>
      <c r="E34" s="93"/>
      <c r="F34" s="76"/>
      <c r="G34" s="35"/>
      <c r="H34" s="85"/>
      <c r="I34" s="85"/>
      <c r="J34" s="87" t="str">
        <f t="shared" si="1"/>
        <v/>
      </c>
      <c r="K34" s="35"/>
      <c r="L34" s="88"/>
      <c r="M34" s="88"/>
      <c r="N34" s="87" t="str">
        <f t="shared" si="2"/>
        <v/>
      </c>
      <c r="O34" s="35"/>
      <c r="P34" s="88"/>
      <c r="Q34" s="88"/>
      <c r="R34" s="87" t="str">
        <f t="shared" si="3"/>
        <v/>
      </c>
      <c r="S34" s="90" t="str">
        <f t="shared" si="4"/>
        <v/>
      </c>
      <c r="T34" s="91" t="str">
        <f t="shared" si="5"/>
        <v/>
      </c>
      <c r="U34" s="85">
        <f t="shared" si="6"/>
        <v>0</v>
      </c>
    </row>
    <row r="35">
      <c r="A35" s="85">
        <v>33.0</v>
      </c>
      <c r="B35" s="35"/>
      <c r="C35" s="65"/>
      <c r="D35" s="76"/>
      <c r="E35" s="93"/>
      <c r="F35" s="76"/>
      <c r="G35" s="35"/>
      <c r="H35" s="85"/>
      <c r="I35" s="85"/>
      <c r="J35" s="87" t="str">
        <f t="shared" si="1"/>
        <v/>
      </c>
      <c r="K35" s="35"/>
      <c r="L35" s="88"/>
      <c r="M35" s="88"/>
      <c r="N35" s="87" t="str">
        <f t="shared" si="2"/>
        <v/>
      </c>
      <c r="O35" s="35"/>
      <c r="P35" s="88"/>
      <c r="Q35" s="88"/>
      <c r="R35" s="87" t="str">
        <f t="shared" si="3"/>
        <v/>
      </c>
      <c r="S35" s="90" t="str">
        <f t="shared" si="4"/>
        <v/>
      </c>
      <c r="T35" s="91" t="str">
        <f t="shared" si="5"/>
        <v/>
      </c>
      <c r="U35" s="85">
        <f t="shared" si="6"/>
        <v>0</v>
      </c>
    </row>
    <row r="36">
      <c r="A36" s="85">
        <v>34.0</v>
      </c>
      <c r="B36" s="35"/>
      <c r="C36" s="65"/>
      <c r="D36" s="76"/>
      <c r="E36" s="93"/>
      <c r="F36" s="76"/>
      <c r="G36" s="35"/>
      <c r="H36" s="85"/>
      <c r="I36" s="85"/>
      <c r="J36" s="87" t="str">
        <f t="shared" si="1"/>
        <v/>
      </c>
      <c r="K36" s="35"/>
      <c r="L36" s="88"/>
      <c r="M36" s="88"/>
      <c r="N36" s="87" t="str">
        <f t="shared" si="2"/>
        <v/>
      </c>
      <c r="O36" s="35"/>
      <c r="P36" s="88"/>
      <c r="Q36" s="88"/>
      <c r="R36" s="87" t="str">
        <f t="shared" si="3"/>
        <v/>
      </c>
      <c r="S36" s="90" t="str">
        <f t="shared" si="4"/>
        <v/>
      </c>
      <c r="T36" s="91" t="str">
        <f t="shared" si="5"/>
        <v/>
      </c>
      <c r="U36" s="85">
        <f t="shared" si="6"/>
        <v>0</v>
      </c>
    </row>
    <row r="37">
      <c r="A37" s="85">
        <v>35.0</v>
      </c>
      <c r="B37" s="35"/>
      <c r="C37" s="65"/>
      <c r="D37" s="76"/>
      <c r="E37" s="93"/>
      <c r="F37" s="76"/>
      <c r="G37" s="35"/>
      <c r="H37" s="85"/>
      <c r="I37" s="85"/>
      <c r="J37" s="87" t="str">
        <f t="shared" si="1"/>
        <v/>
      </c>
      <c r="K37" s="35"/>
      <c r="L37" s="88"/>
      <c r="M37" s="88"/>
      <c r="N37" s="87" t="str">
        <f t="shared" si="2"/>
        <v/>
      </c>
      <c r="O37" s="35"/>
      <c r="P37" s="88"/>
      <c r="Q37" s="88"/>
      <c r="R37" s="87" t="str">
        <f t="shared" si="3"/>
        <v/>
      </c>
      <c r="S37" s="90" t="str">
        <f t="shared" si="4"/>
        <v/>
      </c>
      <c r="T37" s="91" t="str">
        <f t="shared" si="5"/>
        <v/>
      </c>
      <c r="U37" s="85">
        <f t="shared" si="6"/>
        <v>0</v>
      </c>
    </row>
    <row r="38">
      <c r="A38" s="85">
        <v>36.0</v>
      </c>
      <c r="B38" s="35"/>
      <c r="C38" s="65"/>
      <c r="D38" s="76"/>
      <c r="E38" s="93"/>
      <c r="F38" s="76"/>
      <c r="G38" s="35"/>
      <c r="H38" s="85"/>
      <c r="I38" s="85"/>
      <c r="J38" s="87" t="str">
        <f t="shared" si="1"/>
        <v/>
      </c>
      <c r="K38" s="35"/>
      <c r="L38" s="88"/>
      <c r="M38" s="88"/>
      <c r="N38" s="87" t="str">
        <f t="shared" si="2"/>
        <v/>
      </c>
      <c r="O38" s="35"/>
      <c r="P38" s="88"/>
      <c r="Q38" s="88"/>
      <c r="R38" s="87" t="str">
        <f t="shared" si="3"/>
        <v/>
      </c>
      <c r="S38" s="90" t="str">
        <f t="shared" si="4"/>
        <v/>
      </c>
      <c r="T38" s="91" t="str">
        <f t="shared" si="5"/>
        <v/>
      </c>
      <c r="U38" s="85">
        <f t="shared" si="6"/>
        <v>0</v>
      </c>
    </row>
    <row r="39">
      <c r="A39" s="85">
        <v>37.0</v>
      </c>
      <c r="B39" s="35"/>
      <c r="C39" s="65"/>
      <c r="D39" s="76"/>
      <c r="E39" s="93"/>
      <c r="F39" s="76"/>
      <c r="G39" s="35"/>
      <c r="H39" s="85"/>
      <c r="I39" s="85"/>
      <c r="J39" s="87" t="str">
        <f t="shared" si="1"/>
        <v/>
      </c>
      <c r="K39" s="35"/>
      <c r="L39" s="88"/>
      <c r="M39" s="88"/>
      <c r="N39" s="87" t="str">
        <f t="shared" si="2"/>
        <v/>
      </c>
      <c r="O39" s="35"/>
      <c r="P39" s="88"/>
      <c r="Q39" s="88"/>
      <c r="R39" s="87" t="str">
        <f t="shared" si="3"/>
        <v/>
      </c>
      <c r="S39" s="90" t="str">
        <f t="shared" si="4"/>
        <v/>
      </c>
      <c r="T39" s="91" t="str">
        <f t="shared" si="5"/>
        <v/>
      </c>
      <c r="U39" s="85">
        <f t="shared" si="6"/>
        <v>0</v>
      </c>
    </row>
    <row r="40">
      <c r="A40" s="85">
        <v>38.0</v>
      </c>
      <c r="B40" s="35"/>
      <c r="C40" s="65"/>
      <c r="D40" s="76"/>
      <c r="E40" s="93"/>
      <c r="F40" s="76"/>
      <c r="G40" s="35"/>
      <c r="H40" s="85"/>
      <c r="I40" s="85"/>
      <c r="J40" s="87" t="str">
        <f t="shared" si="1"/>
        <v/>
      </c>
      <c r="K40" s="35"/>
      <c r="L40" s="88"/>
      <c r="M40" s="88"/>
      <c r="N40" s="87" t="str">
        <f t="shared" si="2"/>
        <v/>
      </c>
      <c r="O40" s="35"/>
      <c r="P40" s="88"/>
      <c r="Q40" s="88"/>
      <c r="R40" s="87" t="str">
        <f t="shared" si="3"/>
        <v/>
      </c>
      <c r="S40" s="90" t="str">
        <f t="shared" si="4"/>
        <v/>
      </c>
      <c r="T40" s="91" t="str">
        <f t="shared" si="5"/>
        <v/>
      </c>
      <c r="U40" s="85">
        <f t="shared" si="6"/>
        <v>0</v>
      </c>
    </row>
    <row r="41">
      <c r="A41" s="85">
        <v>39.0</v>
      </c>
      <c r="B41" s="35"/>
      <c r="C41" s="65"/>
      <c r="D41" s="76"/>
      <c r="E41" s="93"/>
      <c r="F41" s="76"/>
      <c r="G41" s="35"/>
      <c r="H41" s="85"/>
      <c r="I41" s="85"/>
      <c r="J41" s="87" t="str">
        <f t="shared" si="1"/>
        <v/>
      </c>
      <c r="K41" s="35"/>
      <c r="L41" s="88"/>
      <c r="M41" s="88"/>
      <c r="N41" s="87" t="str">
        <f t="shared" si="2"/>
        <v/>
      </c>
      <c r="O41" s="35"/>
      <c r="P41" s="88"/>
      <c r="Q41" s="88"/>
      <c r="R41" s="87" t="str">
        <f t="shared" si="3"/>
        <v/>
      </c>
      <c r="S41" s="90" t="str">
        <f t="shared" si="4"/>
        <v/>
      </c>
      <c r="T41" s="91" t="str">
        <f t="shared" si="5"/>
        <v/>
      </c>
      <c r="U41" s="85">
        <f t="shared" si="6"/>
        <v>0</v>
      </c>
    </row>
    <row r="42">
      <c r="A42" s="85">
        <v>40.0</v>
      </c>
      <c r="B42" s="35"/>
      <c r="C42" s="65"/>
      <c r="D42" s="76"/>
      <c r="E42" s="93"/>
      <c r="F42" s="76"/>
      <c r="G42" s="35"/>
      <c r="H42" s="85"/>
      <c r="I42" s="85"/>
      <c r="J42" s="87" t="str">
        <f t="shared" si="1"/>
        <v/>
      </c>
      <c r="K42" s="35"/>
      <c r="L42" s="88"/>
      <c r="M42" s="88"/>
      <c r="N42" s="87" t="str">
        <f t="shared" si="2"/>
        <v/>
      </c>
      <c r="O42" s="35"/>
      <c r="P42" s="88"/>
      <c r="Q42" s="88"/>
      <c r="R42" s="87" t="str">
        <f t="shared" si="3"/>
        <v/>
      </c>
      <c r="S42" s="90" t="str">
        <f t="shared" si="4"/>
        <v/>
      </c>
      <c r="T42" s="91" t="str">
        <f t="shared" si="5"/>
        <v/>
      </c>
      <c r="U42" s="85">
        <f t="shared" si="6"/>
        <v>0</v>
      </c>
    </row>
    <row r="43">
      <c r="A43" s="85">
        <v>41.0</v>
      </c>
      <c r="B43" s="35"/>
      <c r="C43" s="65"/>
      <c r="D43" s="76"/>
      <c r="E43" s="93"/>
      <c r="F43" s="76"/>
      <c r="G43" s="35"/>
      <c r="H43" s="85"/>
      <c r="I43" s="85"/>
      <c r="J43" s="87" t="str">
        <f t="shared" si="1"/>
        <v/>
      </c>
      <c r="K43" s="35"/>
      <c r="L43" s="88"/>
      <c r="M43" s="88"/>
      <c r="N43" s="87" t="str">
        <f t="shared" si="2"/>
        <v/>
      </c>
      <c r="O43" s="35"/>
      <c r="P43" s="88"/>
      <c r="Q43" s="88"/>
      <c r="R43" s="87" t="str">
        <f t="shared" si="3"/>
        <v/>
      </c>
      <c r="S43" s="90" t="str">
        <f t="shared" si="4"/>
        <v/>
      </c>
      <c r="T43" s="91" t="str">
        <f t="shared" si="5"/>
        <v/>
      </c>
      <c r="U43" s="85">
        <f t="shared" si="6"/>
        <v>0</v>
      </c>
    </row>
    <row r="44">
      <c r="A44" s="85">
        <v>42.0</v>
      </c>
      <c r="B44" s="35"/>
      <c r="C44" s="65"/>
      <c r="D44" s="76"/>
      <c r="E44" s="93"/>
      <c r="F44" s="76"/>
      <c r="G44" s="35"/>
      <c r="H44" s="85"/>
      <c r="I44" s="85"/>
      <c r="J44" s="87" t="str">
        <f t="shared" si="1"/>
        <v/>
      </c>
      <c r="K44" s="35"/>
      <c r="L44" s="88"/>
      <c r="M44" s="88"/>
      <c r="N44" s="87" t="str">
        <f t="shared" si="2"/>
        <v/>
      </c>
      <c r="O44" s="35"/>
      <c r="P44" s="88"/>
      <c r="Q44" s="88"/>
      <c r="R44" s="87" t="str">
        <f t="shared" si="3"/>
        <v/>
      </c>
      <c r="S44" s="90" t="str">
        <f t="shared" si="4"/>
        <v/>
      </c>
      <c r="T44" s="91" t="str">
        <f t="shared" si="5"/>
        <v/>
      </c>
      <c r="U44" s="85">
        <f t="shared" si="6"/>
        <v>0</v>
      </c>
    </row>
    <row r="45">
      <c r="A45" s="85">
        <v>43.0</v>
      </c>
      <c r="B45" s="35"/>
      <c r="C45" s="65"/>
      <c r="D45" s="76"/>
      <c r="E45" s="93"/>
      <c r="F45" s="76"/>
      <c r="G45" s="35"/>
      <c r="H45" s="85"/>
      <c r="I45" s="85"/>
      <c r="J45" s="87" t="str">
        <f t="shared" si="1"/>
        <v/>
      </c>
      <c r="K45" s="35"/>
      <c r="L45" s="88"/>
      <c r="M45" s="88"/>
      <c r="N45" s="87" t="str">
        <f t="shared" si="2"/>
        <v/>
      </c>
      <c r="O45" s="35"/>
      <c r="P45" s="88"/>
      <c r="Q45" s="88"/>
      <c r="R45" s="87" t="str">
        <f t="shared" si="3"/>
        <v/>
      </c>
      <c r="S45" s="90" t="str">
        <f t="shared" si="4"/>
        <v/>
      </c>
      <c r="T45" s="91" t="str">
        <f t="shared" si="5"/>
        <v/>
      </c>
      <c r="U45" s="85">
        <f t="shared" si="6"/>
        <v>0</v>
      </c>
    </row>
    <row r="46">
      <c r="A46" s="85">
        <v>44.0</v>
      </c>
      <c r="B46" s="35"/>
      <c r="C46" s="65"/>
      <c r="D46" s="76"/>
      <c r="E46" s="93"/>
      <c r="F46" s="76"/>
      <c r="G46" s="35"/>
      <c r="H46" s="85"/>
      <c r="I46" s="85"/>
      <c r="J46" s="87" t="str">
        <f t="shared" si="1"/>
        <v/>
      </c>
      <c r="K46" s="35"/>
      <c r="L46" s="88"/>
      <c r="M46" s="88"/>
      <c r="N46" s="87" t="str">
        <f t="shared" si="2"/>
        <v/>
      </c>
      <c r="O46" s="35"/>
      <c r="P46" s="88"/>
      <c r="Q46" s="88"/>
      <c r="R46" s="87" t="str">
        <f t="shared" si="3"/>
        <v/>
      </c>
      <c r="S46" s="90" t="str">
        <f t="shared" si="4"/>
        <v/>
      </c>
      <c r="T46" s="91" t="str">
        <f t="shared" si="5"/>
        <v/>
      </c>
      <c r="U46" s="85">
        <f t="shared" si="6"/>
        <v>0</v>
      </c>
    </row>
    <row r="47">
      <c r="A47" s="85">
        <v>45.0</v>
      </c>
      <c r="B47" s="35"/>
      <c r="C47" s="65"/>
      <c r="D47" s="76"/>
      <c r="E47" s="93"/>
      <c r="F47" s="76"/>
      <c r="G47" s="35"/>
      <c r="H47" s="85"/>
      <c r="I47" s="85"/>
      <c r="J47" s="87" t="str">
        <f t="shared" si="1"/>
        <v/>
      </c>
      <c r="K47" s="35"/>
      <c r="L47" s="88"/>
      <c r="M47" s="88"/>
      <c r="N47" s="87" t="str">
        <f t="shared" si="2"/>
        <v/>
      </c>
      <c r="O47" s="35"/>
      <c r="P47" s="88"/>
      <c r="Q47" s="88"/>
      <c r="R47" s="87" t="str">
        <f t="shared" si="3"/>
        <v/>
      </c>
      <c r="S47" s="90" t="str">
        <f t="shared" si="4"/>
        <v/>
      </c>
      <c r="T47" s="91" t="str">
        <f t="shared" si="5"/>
        <v/>
      </c>
      <c r="U47" s="85">
        <f t="shared" si="6"/>
        <v>0</v>
      </c>
    </row>
    <row r="48">
      <c r="A48" s="85">
        <v>46.0</v>
      </c>
      <c r="B48" s="35"/>
      <c r="C48" s="65"/>
      <c r="D48" s="76"/>
      <c r="E48" s="93"/>
      <c r="F48" s="76"/>
      <c r="G48" s="35"/>
      <c r="H48" s="85"/>
      <c r="I48" s="85"/>
      <c r="J48" s="87" t="str">
        <f t="shared" si="1"/>
        <v/>
      </c>
      <c r="K48" s="35"/>
      <c r="L48" s="88"/>
      <c r="M48" s="88"/>
      <c r="N48" s="87" t="str">
        <f t="shared" si="2"/>
        <v/>
      </c>
      <c r="O48" s="35"/>
      <c r="P48" s="88"/>
      <c r="Q48" s="88"/>
      <c r="R48" s="87" t="str">
        <f t="shared" si="3"/>
        <v/>
      </c>
      <c r="S48" s="90" t="str">
        <f t="shared" si="4"/>
        <v/>
      </c>
      <c r="T48" s="91" t="str">
        <f t="shared" si="5"/>
        <v/>
      </c>
      <c r="U48" s="85">
        <f t="shared" si="6"/>
        <v>0</v>
      </c>
    </row>
    <row r="49">
      <c r="A49" s="85">
        <v>47.0</v>
      </c>
      <c r="B49" s="35"/>
      <c r="C49" s="65"/>
      <c r="D49" s="76"/>
      <c r="E49" s="93"/>
      <c r="F49" s="76"/>
      <c r="G49" s="35"/>
      <c r="H49" s="85"/>
      <c r="I49" s="85"/>
      <c r="J49" s="87" t="str">
        <f t="shared" si="1"/>
        <v/>
      </c>
      <c r="K49" s="35"/>
      <c r="L49" s="88"/>
      <c r="M49" s="88"/>
      <c r="N49" s="87" t="str">
        <f t="shared" si="2"/>
        <v/>
      </c>
      <c r="O49" s="35"/>
      <c r="P49" s="88"/>
      <c r="Q49" s="88"/>
      <c r="R49" s="87" t="str">
        <f t="shared" si="3"/>
        <v/>
      </c>
      <c r="S49" s="90" t="str">
        <f t="shared" si="4"/>
        <v/>
      </c>
      <c r="T49" s="91" t="str">
        <f t="shared" si="5"/>
        <v/>
      </c>
      <c r="U49" s="85">
        <f t="shared" si="6"/>
        <v>0</v>
      </c>
    </row>
    <row r="50">
      <c r="A50" s="85">
        <v>48.0</v>
      </c>
      <c r="B50" s="35"/>
      <c r="C50" s="65"/>
      <c r="D50" s="76"/>
      <c r="E50" s="93"/>
      <c r="F50" s="76"/>
      <c r="G50" s="35"/>
      <c r="H50" s="85"/>
      <c r="I50" s="85"/>
      <c r="J50" s="87" t="str">
        <f t="shared" si="1"/>
        <v/>
      </c>
      <c r="K50" s="35"/>
      <c r="L50" s="88"/>
      <c r="M50" s="88"/>
      <c r="N50" s="87" t="str">
        <f t="shared" si="2"/>
        <v/>
      </c>
      <c r="O50" s="35"/>
      <c r="P50" s="88"/>
      <c r="Q50" s="88"/>
      <c r="R50" s="87" t="str">
        <f t="shared" si="3"/>
        <v/>
      </c>
      <c r="S50" s="90" t="str">
        <f t="shared" si="4"/>
        <v/>
      </c>
      <c r="T50" s="91" t="str">
        <f t="shared" si="5"/>
        <v/>
      </c>
      <c r="U50" s="85">
        <f t="shared" si="6"/>
        <v>0</v>
      </c>
    </row>
    <row r="51">
      <c r="A51" s="85">
        <v>49.0</v>
      </c>
      <c r="B51" s="35"/>
      <c r="C51" s="65"/>
      <c r="D51" s="76"/>
      <c r="E51" s="93"/>
      <c r="F51" s="76"/>
      <c r="G51" s="35"/>
      <c r="H51" s="85"/>
      <c r="I51" s="85"/>
      <c r="J51" s="87" t="str">
        <f t="shared" si="1"/>
        <v/>
      </c>
      <c r="K51" s="35"/>
      <c r="L51" s="88"/>
      <c r="M51" s="88"/>
      <c r="N51" s="87" t="str">
        <f t="shared" si="2"/>
        <v/>
      </c>
      <c r="O51" s="35"/>
      <c r="P51" s="88"/>
      <c r="Q51" s="88"/>
      <c r="R51" s="87" t="str">
        <f t="shared" si="3"/>
        <v/>
      </c>
      <c r="S51" s="90" t="str">
        <f t="shared" si="4"/>
        <v/>
      </c>
      <c r="T51" s="91" t="str">
        <f t="shared" si="5"/>
        <v/>
      </c>
      <c r="U51" s="85">
        <f t="shared" si="6"/>
        <v>0</v>
      </c>
    </row>
    <row r="52">
      <c r="A52" s="85">
        <v>50.0</v>
      </c>
      <c r="B52" s="35"/>
      <c r="C52" s="65"/>
      <c r="D52" s="76"/>
      <c r="E52" s="93"/>
      <c r="F52" s="76"/>
      <c r="G52" s="35"/>
      <c r="H52" s="85"/>
      <c r="I52" s="85"/>
      <c r="J52" s="87" t="str">
        <f t="shared" si="1"/>
        <v/>
      </c>
      <c r="K52" s="35"/>
      <c r="L52" s="88"/>
      <c r="M52" s="88"/>
      <c r="N52" s="87" t="str">
        <f t="shared" si="2"/>
        <v/>
      </c>
      <c r="O52" s="35"/>
      <c r="P52" s="88"/>
      <c r="Q52" s="88"/>
      <c r="R52" s="87" t="str">
        <f t="shared" si="3"/>
        <v/>
      </c>
      <c r="S52" s="90" t="str">
        <f t="shared" si="4"/>
        <v/>
      </c>
      <c r="T52" s="91" t="str">
        <f t="shared" si="5"/>
        <v/>
      </c>
      <c r="U52" s="85">
        <f t="shared" si="6"/>
        <v>0</v>
      </c>
    </row>
    <row r="53">
      <c r="A53" s="85">
        <v>51.0</v>
      </c>
      <c r="B53" s="35"/>
      <c r="C53" s="65"/>
      <c r="D53" s="76"/>
      <c r="E53" s="93"/>
      <c r="F53" s="76"/>
      <c r="G53" s="35"/>
      <c r="H53" s="85"/>
      <c r="I53" s="85"/>
      <c r="J53" s="87" t="str">
        <f t="shared" si="1"/>
        <v/>
      </c>
      <c r="K53" s="35"/>
      <c r="L53" s="88"/>
      <c r="M53" s="88"/>
      <c r="N53" s="87" t="str">
        <f t="shared" si="2"/>
        <v/>
      </c>
      <c r="O53" s="35"/>
      <c r="P53" s="88"/>
      <c r="Q53" s="88"/>
      <c r="R53" s="87" t="str">
        <f t="shared" si="3"/>
        <v/>
      </c>
      <c r="S53" s="90" t="str">
        <f t="shared" si="4"/>
        <v/>
      </c>
      <c r="T53" s="91" t="str">
        <f t="shared" si="5"/>
        <v/>
      </c>
      <c r="U53" s="85">
        <f t="shared" si="6"/>
        <v>0</v>
      </c>
    </row>
    <row r="54">
      <c r="A54" s="85">
        <v>52.0</v>
      </c>
      <c r="B54" s="35"/>
      <c r="C54" s="65"/>
      <c r="D54" s="76"/>
      <c r="E54" s="93"/>
      <c r="F54" s="76"/>
      <c r="G54" s="35"/>
      <c r="H54" s="85"/>
      <c r="I54" s="85"/>
      <c r="J54" s="87" t="str">
        <f t="shared" si="1"/>
        <v/>
      </c>
      <c r="K54" s="35"/>
      <c r="L54" s="88"/>
      <c r="M54" s="88"/>
      <c r="N54" s="87" t="str">
        <f t="shared" si="2"/>
        <v/>
      </c>
      <c r="O54" s="35"/>
      <c r="P54" s="88"/>
      <c r="Q54" s="88"/>
      <c r="R54" s="87" t="str">
        <f t="shared" si="3"/>
        <v/>
      </c>
      <c r="S54" s="90" t="str">
        <f t="shared" si="4"/>
        <v/>
      </c>
      <c r="T54" s="91" t="str">
        <f t="shared" si="5"/>
        <v/>
      </c>
      <c r="U54" s="85">
        <f t="shared" si="6"/>
        <v>0</v>
      </c>
    </row>
    <row r="55">
      <c r="A55" s="85">
        <v>53.0</v>
      </c>
      <c r="B55" s="35"/>
      <c r="C55" s="65"/>
      <c r="D55" s="76"/>
      <c r="E55" s="93"/>
      <c r="F55" s="76"/>
      <c r="G55" s="35"/>
      <c r="H55" s="85"/>
      <c r="I55" s="85"/>
      <c r="J55" s="87" t="str">
        <f t="shared" si="1"/>
        <v/>
      </c>
      <c r="K55" s="35"/>
      <c r="L55" s="88"/>
      <c r="M55" s="88"/>
      <c r="N55" s="87" t="str">
        <f t="shared" si="2"/>
        <v/>
      </c>
      <c r="O55" s="35"/>
      <c r="P55" s="88"/>
      <c r="Q55" s="88"/>
      <c r="R55" s="87" t="str">
        <f t="shared" si="3"/>
        <v/>
      </c>
      <c r="S55" s="90" t="str">
        <f t="shared" si="4"/>
        <v/>
      </c>
      <c r="T55" s="91" t="str">
        <f t="shared" si="5"/>
        <v/>
      </c>
      <c r="U55" s="85">
        <f t="shared" si="6"/>
        <v>0</v>
      </c>
    </row>
    <row r="56">
      <c r="A56" s="85">
        <v>54.0</v>
      </c>
      <c r="B56" s="35"/>
      <c r="C56" s="65"/>
      <c r="D56" s="76"/>
      <c r="E56" s="93"/>
      <c r="F56" s="76"/>
      <c r="G56" s="35"/>
      <c r="H56" s="85"/>
      <c r="I56" s="85"/>
      <c r="J56" s="87" t="str">
        <f t="shared" si="1"/>
        <v/>
      </c>
      <c r="K56" s="35"/>
      <c r="L56" s="88"/>
      <c r="M56" s="88"/>
      <c r="N56" s="87" t="str">
        <f t="shared" si="2"/>
        <v/>
      </c>
      <c r="O56" s="35"/>
      <c r="P56" s="88"/>
      <c r="Q56" s="88"/>
      <c r="R56" s="87" t="str">
        <f t="shared" si="3"/>
        <v/>
      </c>
      <c r="S56" s="90" t="str">
        <f t="shared" si="4"/>
        <v/>
      </c>
      <c r="T56" s="91" t="str">
        <f t="shared" si="5"/>
        <v/>
      </c>
      <c r="U56" s="85">
        <f t="shared" si="6"/>
        <v>0</v>
      </c>
    </row>
    <row r="57">
      <c r="A57" s="85">
        <v>55.0</v>
      </c>
      <c r="B57" s="35"/>
      <c r="C57" s="65"/>
      <c r="D57" s="76"/>
      <c r="E57" s="93"/>
      <c r="F57" s="76"/>
      <c r="G57" s="35"/>
      <c r="H57" s="85"/>
      <c r="I57" s="85"/>
      <c r="J57" s="87" t="str">
        <f t="shared" si="1"/>
        <v/>
      </c>
      <c r="K57" s="35"/>
      <c r="L57" s="88"/>
      <c r="M57" s="88"/>
      <c r="N57" s="87" t="str">
        <f t="shared" si="2"/>
        <v/>
      </c>
      <c r="O57" s="35"/>
      <c r="P57" s="88"/>
      <c r="Q57" s="88"/>
      <c r="R57" s="87" t="str">
        <f t="shared" si="3"/>
        <v/>
      </c>
      <c r="S57" s="90" t="str">
        <f t="shared" si="4"/>
        <v/>
      </c>
      <c r="T57" s="91" t="str">
        <f t="shared" si="5"/>
        <v/>
      </c>
      <c r="U57" s="85">
        <f t="shared" si="6"/>
        <v>0</v>
      </c>
    </row>
    <row r="58">
      <c r="A58" s="85">
        <v>56.0</v>
      </c>
      <c r="B58" s="35"/>
      <c r="C58" s="65"/>
      <c r="D58" s="76"/>
      <c r="E58" s="93"/>
      <c r="F58" s="76"/>
      <c r="G58" s="35"/>
      <c r="H58" s="85"/>
      <c r="I58" s="85"/>
      <c r="J58" s="87" t="str">
        <f t="shared" si="1"/>
        <v/>
      </c>
      <c r="K58" s="35"/>
      <c r="L58" s="88"/>
      <c r="M58" s="88"/>
      <c r="N58" s="87" t="str">
        <f t="shared" si="2"/>
        <v/>
      </c>
      <c r="O58" s="35"/>
      <c r="P58" s="88"/>
      <c r="Q58" s="88"/>
      <c r="R58" s="87" t="str">
        <f t="shared" si="3"/>
        <v/>
      </c>
      <c r="S58" s="90" t="str">
        <f t="shared" si="4"/>
        <v/>
      </c>
      <c r="T58" s="91" t="str">
        <f t="shared" si="5"/>
        <v/>
      </c>
      <c r="U58" s="85">
        <f t="shared" si="6"/>
        <v>0</v>
      </c>
    </row>
    <row r="59">
      <c r="A59" s="85">
        <v>57.0</v>
      </c>
      <c r="B59" s="35"/>
      <c r="C59" s="65"/>
      <c r="D59" s="76"/>
      <c r="E59" s="93"/>
      <c r="F59" s="76"/>
      <c r="G59" s="35"/>
      <c r="H59" s="85"/>
      <c r="I59" s="85"/>
      <c r="J59" s="87" t="str">
        <f t="shared" si="1"/>
        <v/>
      </c>
      <c r="K59" s="35"/>
      <c r="L59" s="88"/>
      <c r="M59" s="88"/>
      <c r="N59" s="87" t="str">
        <f t="shared" si="2"/>
        <v/>
      </c>
      <c r="O59" s="35"/>
      <c r="P59" s="88"/>
      <c r="Q59" s="88"/>
      <c r="R59" s="87" t="str">
        <f t="shared" si="3"/>
        <v/>
      </c>
      <c r="S59" s="90" t="str">
        <f t="shared" si="4"/>
        <v/>
      </c>
      <c r="T59" s="91" t="str">
        <f t="shared" si="5"/>
        <v/>
      </c>
      <c r="U59" s="85">
        <f t="shared" si="6"/>
        <v>0</v>
      </c>
    </row>
    <row r="60">
      <c r="A60" s="85">
        <v>58.0</v>
      </c>
      <c r="B60" s="35"/>
      <c r="C60" s="65"/>
      <c r="D60" s="76"/>
      <c r="E60" s="93"/>
      <c r="F60" s="76"/>
      <c r="G60" s="35"/>
      <c r="H60" s="85"/>
      <c r="I60" s="85"/>
      <c r="J60" s="87" t="str">
        <f t="shared" si="1"/>
        <v/>
      </c>
      <c r="K60" s="35"/>
      <c r="L60" s="88"/>
      <c r="M60" s="88"/>
      <c r="N60" s="87" t="str">
        <f t="shared" si="2"/>
        <v/>
      </c>
      <c r="O60" s="35"/>
      <c r="P60" s="88"/>
      <c r="Q60" s="88"/>
      <c r="R60" s="87" t="str">
        <f t="shared" si="3"/>
        <v/>
      </c>
      <c r="S60" s="90" t="str">
        <f t="shared" si="4"/>
        <v/>
      </c>
      <c r="T60" s="91" t="str">
        <f t="shared" si="5"/>
        <v/>
      </c>
      <c r="U60" s="85">
        <f t="shared" si="6"/>
        <v>0</v>
      </c>
    </row>
    <row r="61">
      <c r="A61" s="85">
        <v>59.0</v>
      </c>
      <c r="B61" s="35"/>
      <c r="C61" s="65"/>
      <c r="D61" s="76"/>
      <c r="E61" s="93"/>
      <c r="F61" s="76"/>
      <c r="G61" s="35"/>
      <c r="H61" s="85"/>
      <c r="I61" s="85"/>
      <c r="J61" s="87" t="str">
        <f t="shared" si="1"/>
        <v/>
      </c>
      <c r="K61" s="35"/>
      <c r="L61" s="88"/>
      <c r="M61" s="88"/>
      <c r="N61" s="87" t="str">
        <f t="shared" si="2"/>
        <v/>
      </c>
      <c r="O61" s="35"/>
      <c r="P61" s="88"/>
      <c r="Q61" s="88"/>
      <c r="R61" s="87" t="str">
        <f t="shared" si="3"/>
        <v/>
      </c>
      <c r="S61" s="90" t="str">
        <f t="shared" si="4"/>
        <v/>
      </c>
      <c r="T61" s="91" t="str">
        <f t="shared" si="5"/>
        <v/>
      </c>
      <c r="U61" s="85">
        <f t="shared" si="6"/>
        <v>0</v>
      </c>
    </row>
    <row r="62">
      <c r="A62" s="85">
        <v>60.0</v>
      </c>
      <c r="B62" s="35"/>
      <c r="C62" s="65"/>
      <c r="D62" s="76"/>
      <c r="E62" s="93"/>
      <c r="F62" s="76"/>
      <c r="G62" s="35"/>
      <c r="H62" s="85"/>
      <c r="I62" s="85"/>
      <c r="J62" s="87" t="str">
        <f t="shared" si="1"/>
        <v/>
      </c>
      <c r="K62" s="35"/>
      <c r="L62" s="88"/>
      <c r="M62" s="88"/>
      <c r="N62" s="87" t="str">
        <f t="shared" si="2"/>
        <v/>
      </c>
      <c r="O62" s="35"/>
      <c r="P62" s="88"/>
      <c r="Q62" s="88"/>
      <c r="R62" s="87" t="str">
        <f t="shared" si="3"/>
        <v/>
      </c>
      <c r="S62" s="90" t="str">
        <f t="shared" si="4"/>
        <v/>
      </c>
      <c r="T62" s="91" t="str">
        <f t="shared" si="5"/>
        <v/>
      </c>
      <c r="U62" s="85">
        <f t="shared" si="6"/>
        <v>0</v>
      </c>
    </row>
    <row r="63">
      <c r="A63" s="85">
        <v>61.0</v>
      </c>
      <c r="B63" s="35"/>
      <c r="C63" s="65"/>
      <c r="D63" s="76"/>
      <c r="E63" s="93"/>
      <c r="F63" s="76"/>
      <c r="G63" s="35"/>
      <c r="H63" s="85"/>
      <c r="I63" s="85"/>
      <c r="J63" s="87" t="str">
        <f t="shared" si="1"/>
        <v/>
      </c>
      <c r="K63" s="35"/>
      <c r="L63" s="88"/>
      <c r="M63" s="88"/>
      <c r="N63" s="87" t="str">
        <f t="shared" si="2"/>
        <v/>
      </c>
      <c r="O63" s="35"/>
      <c r="P63" s="88"/>
      <c r="Q63" s="88"/>
      <c r="R63" s="87" t="str">
        <f t="shared" si="3"/>
        <v/>
      </c>
      <c r="S63" s="90" t="str">
        <f t="shared" si="4"/>
        <v/>
      </c>
      <c r="T63" s="91" t="str">
        <f t="shared" si="5"/>
        <v/>
      </c>
      <c r="U63" s="85">
        <f t="shared" si="6"/>
        <v>0</v>
      </c>
    </row>
    <row r="64">
      <c r="A64" s="85">
        <v>62.0</v>
      </c>
      <c r="B64" s="35"/>
      <c r="C64" s="65"/>
      <c r="D64" s="76"/>
      <c r="E64" s="93"/>
      <c r="F64" s="76"/>
      <c r="G64" s="35"/>
      <c r="H64" s="85"/>
      <c r="I64" s="85"/>
      <c r="J64" s="87" t="str">
        <f t="shared" si="1"/>
        <v/>
      </c>
      <c r="K64" s="35"/>
      <c r="L64" s="88"/>
      <c r="M64" s="88"/>
      <c r="N64" s="87" t="str">
        <f t="shared" si="2"/>
        <v/>
      </c>
      <c r="O64" s="35"/>
      <c r="P64" s="88"/>
      <c r="Q64" s="88"/>
      <c r="R64" s="87" t="str">
        <f t="shared" si="3"/>
        <v/>
      </c>
      <c r="S64" s="90" t="str">
        <f t="shared" si="4"/>
        <v/>
      </c>
      <c r="T64" s="91" t="str">
        <f t="shared" si="5"/>
        <v/>
      </c>
      <c r="U64" s="85">
        <f t="shared" si="6"/>
        <v>0</v>
      </c>
    </row>
    <row r="65">
      <c r="A65" s="85">
        <v>63.0</v>
      </c>
      <c r="B65" s="35"/>
      <c r="C65" s="65"/>
      <c r="D65" s="76"/>
      <c r="E65" s="93"/>
      <c r="F65" s="76"/>
      <c r="G65" s="35"/>
      <c r="H65" s="85"/>
      <c r="I65" s="85"/>
      <c r="J65" s="87" t="str">
        <f t="shared" si="1"/>
        <v/>
      </c>
      <c r="K65" s="35"/>
      <c r="L65" s="88"/>
      <c r="M65" s="88"/>
      <c r="N65" s="87" t="str">
        <f t="shared" si="2"/>
        <v/>
      </c>
      <c r="O65" s="35"/>
      <c r="P65" s="88"/>
      <c r="Q65" s="88"/>
      <c r="R65" s="87" t="str">
        <f t="shared" si="3"/>
        <v/>
      </c>
      <c r="S65" s="90" t="str">
        <f t="shared" si="4"/>
        <v/>
      </c>
      <c r="T65" s="91" t="str">
        <f t="shared" si="5"/>
        <v/>
      </c>
      <c r="U65" s="85">
        <f t="shared" si="6"/>
        <v>0</v>
      </c>
    </row>
    <row r="66">
      <c r="A66" s="85">
        <v>64.0</v>
      </c>
      <c r="B66" s="35"/>
      <c r="C66" s="65"/>
      <c r="D66" s="76"/>
      <c r="E66" s="93"/>
      <c r="F66" s="76"/>
      <c r="G66" s="35"/>
      <c r="H66" s="85"/>
      <c r="I66" s="85"/>
      <c r="J66" s="87" t="str">
        <f t="shared" si="1"/>
        <v/>
      </c>
      <c r="K66" s="35"/>
      <c r="L66" s="88"/>
      <c r="M66" s="88"/>
      <c r="N66" s="87" t="str">
        <f t="shared" si="2"/>
        <v/>
      </c>
      <c r="O66" s="35"/>
      <c r="P66" s="88"/>
      <c r="Q66" s="88"/>
      <c r="R66" s="87" t="str">
        <f t="shared" si="3"/>
        <v/>
      </c>
      <c r="S66" s="90" t="str">
        <f t="shared" si="4"/>
        <v/>
      </c>
      <c r="T66" s="91" t="str">
        <f t="shared" si="5"/>
        <v/>
      </c>
      <c r="U66" s="85">
        <f t="shared" si="6"/>
        <v>0</v>
      </c>
    </row>
    <row r="67">
      <c r="A67" s="85">
        <v>65.0</v>
      </c>
      <c r="B67" s="35"/>
      <c r="C67" s="65"/>
      <c r="D67" s="76"/>
      <c r="E67" s="93"/>
      <c r="F67" s="76"/>
      <c r="G67" s="35"/>
      <c r="H67" s="85"/>
      <c r="I67" s="85"/>
      <c r="J67" s="87" t="str">
        <f t="shared" si="1"/>
        <v/>
      </c>
      <c r="K67" s="35"/>
      <c r="L67" s="88"/>
      <c r="M67" s="88"/>
      <c r="N67" s="87" t="str">
        <f t="shared" si="2"/>
        <v/>
      </c>
      <c r="O67" s="35"/>
      <c r="P67" s="88"/>
      <c r="Q67" s="88"/>
      <c r="R67" s="87" t="str">
        <f t="shared" si="3"/>
        <v/>
      </c>
      <c r="S67" s="90" t="str">
        <f t="shared" si="4"/>
        <v/>
      </c>
      <c r="T67" s="91" t="str">
        <f t="shared" si="5"/>
        <v/>
      </c>
      <c r="U67" s="85">
        <f t="shared" si="6"/>
        <v>0</v>
      </c>
    </row>
    <row r="68">
      <c r="A68" s="85">
        <v>66.0</v>
      </c>
      <c r="B68" s="35"/>
      <c r="C68" s="65"/>
      <c r="D68" s="76"/>
      <c r="E68" s="93"/>
      <c r="F68" s="76"/>
      <c r="G68" s="35"/>
      <c r="H68" s="85"/>
      <c r="I68" s="85"/>
      <c r="J68" s="87" t="str">
        <f t="shared" si="1"/>
        <v/>
      </c>
      <c r="K68" s="35"/>
      <c r="L68" s="88"/>
      <c r="M68" s="88"/>
      <c r="N68" s="87" t="str">
        <f t="shared" si="2"/>
        <v/>
      </c>
      <c r="O68" s="35"/>
      <c r="P68" s="88"/>
      <c r="Q68" s="88"/>
      <c r="R68" s="87" t="str">
        <f t="shared" si="3"/>
        <v/>
      </c>
      <c r="S68" s="90" t="str">
        <f t="shared" si="4"/>
        <v/>
      </c>
      <c r="T68" s="91" t="str">
        <f t="shared" si="5"/>
        <v/>
      </c>
      <c r="U68" s="85">
        <f t="shared" si="6"/>
        <v>0</v>
      </c>
    </row>
    <row r="69">
      <c r="A69" s="85">
        <v>67.0</v>
      </c>
      <c r="B69" s="35"/>
      <c r="C69" s="65"/>
      <c r="D69" s="76"/>
      <c r="E69" s="93"/>
      <c r="F69" s="76"/>
      <c r="G69" s="35"/>
      <c r="H69" s="85"/>
      <c r="I69" s="85"/>
      <c r="J69" s="87" t="str">
        <f t="shared" si="1"/>
        <v/>
      </c>
      <c r="K69" s="35"/>
      <c r="L69" s="88"/>
      <c r="M69" s="88"/>
      <c r="N69" s="87" t="str">
        <f t="shared" si="2"/>
        <v/>
      </c>
      <c r="O69" s="35"/>
      <c r="P69" s="88"/>
      <c r="Q69" s="88"/>
      <c r="R69" s="87" t="str">
        <f t="shared" si="3"/>
        <v/>
      </c>
      <c r="S69" s="90" t="str">
        <f t="shared" si="4"/>
        <v/>
      </c>
      <c r="T69" s="91" t="str">
        <f t="shared" si="5"/>
        <v/>
      </c>
      <c r="U69" s="85">
        <f t="shared" si="6"/>
        <v>0</v>
      </c>
    </row>
    <row r="70">
      <c r="A70" s="85">
        <v>68.0</v>
      </c>
      <c r="B70" s="35"/>
      <c r="C70" s="65"/>
      <c r="D70" s="76"/>
      <c r="E70" s="93"/>
      <c r="F70" s="76"/>
      <c r="G70" s="35"/>
      <c r="H70" s="85"/>
      <c r="I70" s="85"/>
      <c r="J70" s="87" t="str">
        <f t="shared" si="1"/>
        <v/>
      </c>
      <c r="K70" s="35"/>
      <c r="L70" s="88"/>
      <c r="M70" s="88"/>
      <c r="N70" s="87" t="str">
        <f t="shared" si="2"/>
        <v/>
      </c>
      <c r="O70" s="35"/>
      <c r="P70" s="88"/>
      <c r="Q70" s="88"/>
      <c r="R70" s="87" t="str">
        <f t="shared" si="3"/>
        <v/>
      </c>
      <c r="S70" s="90" t="str">
        <f t="shared" si="4"/>
        <v/>
      </c>
      <c r="T70" s="91" t="str">
        <f t="shared" si="5"/>
        <v/>
      </c>
      <c r="U70" s="85">
        <f t="shared" si="6"/>
        <v>0</v>
      </c>
    </row>
    <row r="71">
      <c r="A71" s="85">
        <v>69.0</v>
      </c>
      <c r="B71" s="35"/>
      <c r="C71" s="65"/>
      <c r="D71" s="76"/>
      <c r="E71" s="93"/>
      <c r="F71" s="76"/>
      <c r="G71" s="35"/>
      <c r="H71" s="85"/>
      <c r="I71" s="85"/>
      <c r="J71" s="87" t="str">
        <f t="shared" si="1"/>
        <v/>
      </c>
      <c r="K71" s="35"/>
      <c r="L71" s="88"/>
      <c r="M71" s="88"/>
      <c r="N71" s="87" t="str">
        <f t="shared" si="2"/>
        <v/>
      </c>
      <c r="O71" s="35"/>
      <c r="P71" s="88"/>
      <c r="Q71" s="88"/>
      <c r="R71" s="87" t="str">
        <f t="shared" si="3"/>
        <v/>
      </c>
      <c r="S71" s="90" t="str">
        <f t="shared" si="4"/>
        <v/>
      </c>
      <c r="T71" s="91" t="str">
        <f t="shared" si="5"/>
        <v/>
      </c>
      <c r="U71" s="85">
        <f t="shared" si="6"/>
        <v>0</v>
      </c>
    </row>
    <row r="72">
      <c r="A72" s="85">
        <v>70.0</v>
      </c>
      <c r="B72" s="35"/>
      <c r="C72" s="65"/>
      <c r="D72" s="76"/>
      <c r="E72" s="93"/>
      <c r="F72" s="76"/>
      <c r="G72" s="35"/>
      <c r="H72" s="85"/>
      <c r="I72" s="85"/>
      <c r="J72" s="87" t="str">
        <f t="shared" si="1"/>
        <v/>
      </c>
      <c r="K72" s="35"/>
      <c r="L72" s="88"/>
      <c r="M72" s="88"/>
      <c r="N72" s="87" t="str">
        <f t="shared" si="2"/>
        <v/>
      </c>
      <c r="O72" s="35"/>
      <c r="P72" s="88"/>
      <c r="Q72" s="88"/>
      <c r="R72" s="87" t="str">
        <f t="shared" si="3"/>
        <v/>
      </c>
      <c r="S72" s="90" t="str">
        <f t="shared" si="4"/>
        <v/>
      </c>
      <c r="T72" s="91" t="str">
        <f t="shared" si="5"/>
        <v/>
      </c>
      <c r="U72" s="85">
        <f t="shared" si="6"/>
        <v>0</v>
      </c>
    </row>
    <row r="73">
      <c r="A73" s="85">
        <v>71.0</v>
      </c>
      <c r="B73" s="35"/>
      <c r="C73" s="65"/>
      <c r="D73" s="76"/>
      <c r="E73" s="93"/>
      <c r="F73" s="76"/>
      <c r="G73" s="35"/>
      <c r="H73" s="85"/>
      <c r="I73" s="85"/>
      <c r="J73" s="87" t="str">
        <f t="shared" si="1"/>
        <v/>
      </c>
      <c r="K73" s="35"/>
      <c r="L73" s="88"/>
      <c r="M73" s="88"/>
      <c r="N73" s="87" t="str">
        <f t="shared" si="2"/>
        <v/>
      </c>
      <c r="O73" s="35"/>
      <c r="P73" s="88"/>
      <c r="Q73" s="88"/>
      <c r="R73" s="87" t="str">
        <f t="shared" si="3"/>
        <v/>
      </c>
      <c r="S73" s="90" t="str">
        <f t="shared" si="4"/>
        <v/>
      </c>
      <c r="T73" s="91" t="str">
        <f t="shared" si="5"/>
        <v/>
      </c>
      <c r="U73" s="85">
        <f t="shared" si="6"/>
        <v>0</v>
      </c>
    </row>
    <row r="74">
      <c r="A74" s="85">
        <v>72.0</v>
      </c>
      <c r="B74" s="35"/>
      <c r="C74" s="65"/>
      <c r="D74" s="76"/>
      <c r="E74" s="93"/>
      <c r="F74" s="76"/>
      <c r="G74" s="35"/>
      <c r="H74" s="85"/>
      <c r="I74" s="85"/>
      <c r="J74" s="87" t="str">
        <f t="shared" si="1"/>
        <v/>
      </c>
      <c r="K74" s="35"/>
      <c r="L74" s="88"/>
      <c r="M74" s="88"/>
      <c r="N74" s="87" t="str">
        <f t="shared" si="2"/>
        <v/>
      </c>
      <c r="O74" s="35"/>
      <c r="P74" s="88"/>
      <c r="Q74" s="88"/>
      <c r="R74" s="87" t="str">
        <f t="shared" si="3"/>
        <v/>
      </c>
      <c r="S74" s="90" t="str">
        <f t="shared" si="4"/>
        <v/>
      </c>
      <c r="T74" s="91" t="str">
        <f t="shared" si="5"/>
        <v/>
      </c>
      <c r="U74" s="85">
        <f t="shared" si="6"/>
        <v>0</v>
      </c>
    </row>
    <row r="75">
      <c r="A75" s="85">
        <v>73.0</v>
      </c>
      <c r="B75" s="35"/>
      <c r="C75" s="65"/>
      <c r="D75" s="76"/>
      <c r="E75" s="93"/>
      <c r="F75" s="76"/>
      <c r="G75" s="35"/>
      <c r="H75" s="85"/>
      <c r="I75" s="85"/>
      <c r="J75" s="87" t="str">
        <f t="shared" si="1"/>
        <v/>
      </c>
      <c r="K75" s="35"/>
      <c r="L75" s="88"/>
      <c r="M75" s="88"/>
      <c r="N75" s="87" t="str">
        <f t="shared" si="2"/>
        <v/>
      </c>
      <c r="O75" s="35"/>
      <c r="P75" s="88"/>
      <c r="Q75" s="88"/>
      <c r="R75" s="87" t="str">
        <f t="shared" si="3"/>
        <v/>
      </c>
      <c r="S75" s="90" t="str">
        <f t="shared" si="4"/>
        <v/>
      </c>
      <c r="T75" s="91" t="str">
        <f t="shared" si="5"/>
        <v/>
      </c>
      <c r="U75" s="85">
        <f t="shared" si="6"/>
        <v>0</v>
      </c>
    </row>
    <row r="76">
      <c r="A76" s="85">
        <v>74.0</v>
      </c>
      <c r="B76" s="35"/>
      <c r="C76" s="65"/>
      <c r="D76" s="76"/>
      <c r="E76" s="93"/>
      <c r="F76" s="76"/>
      <c r="G76" s="35"/>
      <c r="H76" s="85"/>
      <c r="I76" s="85"/>
      <c r="J76" s="87" t="str">
        <f t="shared" si="1"/>
        <v/>
      </c>
      <c r="K76" s="35"/>
      <c r="L76" s="88"/>
      <c r="M76" s="88"/>
      <c r="N76" s="87" t="str">
        <f t="shared" si="2"/>
        <v/>
      </c>
      <c r="O76" s="35"/>
      <c r="P76" s="88"/>
      <c r="Q76" s="88"/>
      <c r="R76" s="87" t="str">
        <f t="shared" si="3"/>
        <v/>
      </c>
      <c r="S76" s="90" t="str">
        <f t="shared" si="4"/>
        <v/>
      </c>
      <c r="T76" s="91" t="str">
        <f t="shared" si="5"/>
        <v/>
      </c>
      <c r="U76" s="85">
        <f t="shared" si="6"/>
        <v>0</v>
      </c>
    </row>
    <row r="77">
      <c r="A77" s="85">
        <v>75.0</v>
      </c>
      <c r="B77" s="35"/>
      <c r="C77" s="65"/>
      <c r="D77" s="76"/>
      <c r="E77" s="93"/>
      <c r="F77" s="76"/>
      <c r="G77" s="35"/>
      <c r="H77" s="85"/>
      <c r="I77" s="85"/>
      <c r="J77" s="87" t="str">
        <f t="shared" si="1"/>
        <v/>
      </c>
      <c r="K77" s="35"/>
      <c r="L77" s="88"/>
      <c r="M77" s="88"/>
      <c r="N77" s="87" t="str">
        <f t="shared" si="2"/>
        <v/>
      </c>
      <c r="O77" s="35"/>
      <c r="P77" s="88"/>
      <c r="Q77" s="88"/>
      <c r="R77" s="87" t="str">
        <f t="shared" si="3"/>
        <v/>
      </c>
      <c r="S77" s="90" t="str">
        <f t="shared" si="4"/>
        <v/>
      </c>
      <c r="T77" s="91" t="str">
        <f t="shared" si="5"/>
        <v/>
      </c>
      <c r="U77" s="85">
        <f t="shared" si="6"/>
        <v>0</v>
      </c>
    </row>
  </sheetData>
  <autoFilter ref="$B$2:$T$77"/>
  <customSheetViews>
    <customSheetView guid="{B0C17AAF-6872-48F8-A58E-565BF6C8DB27}" filter="1" showAutoFilter="1">
      <autoFilter ref="$C$2:$T$52"/>
    </customSheetView>
  </customSheetViews>
  <mergeCells count="3">
    <mergeCell ref="K1:N1"/>
    <mergeCell ref="O1:R1"/>
    <mergeCell ref="G1:J1"/>
  </mergeCells>
  <conditionalFormatting sqref="G3:I77 K3:M77 O3:Q77">
    <cfRule type="endsWith" dxfId="2" priority="1" operator="endsWith" text="g">
      <formula>RIGHT((G3),LEN("g"))=("g")</formula>
    </cfRule>
  </conditionalFormatting>
  <conditionalFormatting sqref="G3:I77 K3:M77 O3:Q77">
    <cfRule type="endsWith" dxfId="1" priority="2" operator="endsWith" text="x">
      <formula>RIGHT((G3),LEN("x"))=("x")</formula>
    </cfRule>
  </conditionalFormatting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tabColor rgb="FF000000"/>
    <outlinePr summaryBelow="0" summaryRight="0"/>
  </sheetPr>
  <sheetViews>
    <sheetView workbookViewId="0">
      <pane xSplit="6.0" ySplit="2.0" topLeftCell="G3" activePane="bottomRight" state="frozen"/>
      <selection activeCell="G1" sqref="G1" pane="topRight"/>
      <selection activeCell="A3" sqref="A3" pane="bottomLeft"/>
      <selection activeCell="G3" sqref="G3" pane="bottomRight"/>
    </sheetView>
  </sheetViews>
  <sheetFormatPr customHeight="1" defaultColWidth="14.43" defaultRowHeight="15.75"/>
  <cols>
    <col customWidth="1" min="1" max="1" width="3.57"/>
    <col customWidth="1" min="2" max="2" width="10.43"/>
    <col customWidth="1" min="3" max="3" width="6.86"/>
    <col customWidth="1" min="4" max="4" width="14.71"/>
    <col customWidth="1" min="5" max="5" width="7.57"/>
    <col customWidth="1" min="6" max="6" width="18.29"/>
    <col customWidth="1" min="7" max="18" width="5.71"/>
    <col customWidth="1" min="19" max="19" width="9.86"/>
    <col customWidth="1" min="20" max="20" width="11.0"/>
    <col customWidth="1" hidden="1" min="21" max="21" width="11.0"/>
  </cols>
  <sheetData>
    <row r="1">
      <c r="A1" s="14"/>
      <c r="B1" s="16" t="s">
        <v>19</v>
      </c>
      <c r="C1" s="16" t="s">
        <v>135</v>
      </c>
      <c r="D1" s="57" t="s">
        <v>22</v>
      </c>
      <c r="E1" s="57" t="s">
        <v>23</v>
      </c>
      <c r="F1" s="57" t="s">
        <v>25</v>
      </c>
      <c r="G1" s="57" t="s">
        <v>115</v>
      </c>
      <c r="K1" s="57" t="s">
        <v>116</v>
      </c>
      <c r="O1" s="57" t="s">
        <v>117</v>
      </c>
      <c r="S1" s="57" t="s">
        <v>118</v>
      </c>
      <c r="T1" s="57" t="s">
        <v>119</v>
      </c>
      <c r="U1" s="57"/>
    </row>
    <row r="2">
      <c r="A2" s="81"/>
      <c r="B2" s="83" t="s">
        <v>19</v>
      </c>
      <c r="C2" s="83" t="s">
        <v>135</v>
      </c>
      <c r="D2" s="83" t="s">
        <v>22</v>
      </c>
      <c r="E2" s="84" t="s">
        <v>23</v>
      </c>
      <c r="F2" s="83" t="s">
        <v>25</v>
      </c>
      <c r="G2" s="83" t="s">
        <v>136</v>
      </c>
      <c r="H2" s="83" t="s">
        <v>137</v>
      </c>
      <c r="I2" s="83" t="s">
        <v>138</v>
      </c>
      <c r="J2" s="83" t="s">
        <v>139</v>
      </c>
      <c r="K2" s="83" t="s">
        <v>140</v>
      </c>
      <c r="L2" s="83" t="s">
        <v>141</v>
      </c>
      <c r="M2" s="83" t="s">
        <v>142</v>
      </c>
      <c r="N2" s="83" t="s">
        <v>143</v>
      </c>
      <c r="O2" s="83" t="s">
        <v>144</v>
      </c>
      <c r="P2" s="83" t="s">
        <v>145</v>
      </c>
      <c r="Q2" s="83" t="s">
        <v>146</v>
      </c>
      <c r="R2" s="83" t="s">
        <v>147</v>
      </c>
      <c r="S2" s="83"/>
      <c r="T2" s="84" t="s">
        <v>119</v>
      </c>
      <c r="U2" s="84"/>
    </row>
    <row r="3">
      <c r="A3" s="85">
        <v>1.0</v>
      </c>
      <c r="B3" s="35" t="s">
        <v>84</v>
      </c>
      <c r="C3" s="35" t="s">
        <v>109</v>
      </c>
      <c r="D3" s="86" t="s">
        <v>285</v>
      </c>
      <c r="E3" s="35">
        <v>194.0</v>
      </c>
      <c r="F3" s="86" t="s">
        <v>474</v>
      </c>
      <c r="G3" s="35" t="s">
        <v>243</v>
      </c>
      <c r="H3" s="85" t="s">
        <v>171</v>
      </c>
      <c r="I3" s="85" t="s">
        <v>201</v>
      </c>
      <c r="J3" s="87">
        <f t="shared" ref="J3:J77" si="1">IFERROR(__xludf.DUMMYFUNCTION("if(isblank(B3),,Max(if(right(G3,1)=""g"",split(G3,""g""),),if(right(H3,1)=""g"",split(H3,""g""),),if(right(I3,1)=""g"",split(I3,""g""),)))"),150.0)</f>
        <v>150</v>
      </c>
      <c r="K3" s="35" t="s">
        <v>231</v>
      </c>
      <c r="L3" s="88" t="s">
        <v>206</v>
      </c>
      <c r="M3" s="88" t="s">
        <v>340</v>
      </c>
      <c r="N3" s="87">
        <f t="shared" ref="N3:N77" si="2">IFERROR(__xludf.DUMMYFUNCTION("if(isblank($B3),,Max(if(right(K3,1)=""g"",split(K3,""g""),),if(right(L3,1)=""g"",split(L3,""g""),),if(right(M3,1)=""g"",split(M3,""g""),)))"),0.0)</f>
        <v>0</v>
      </c>
      <c r="O3" s="35" t="s">
        <v>224</v>
      </c>
      <c r="P3" s="88" t="s">
        <v>151</v>
      </c>
      <c r="Q3" s="88" t="s">
        <v>236</v>
      </c>
      <c r="R3" s="87">
        <f t="shared" ref="R3:R77" si="3">IFERROR(__xludf.DUMMYFUNCTION("if(isblank($B3),,Max(if(right(O3,1)=""g"",split(O3,""g""),),if(right(P3,1)=""g"",split(P3,""g""),),if(right(Q3,1)=""g"",split(Q3,""g""),)))"),185.0)</f>
        <v>185</v>
      </c>
      <c r="S3" s="90">
        <f t="shared" ref="S3:S77" si="4">if(isblank(F3),,if(or(and(right(G3,1)="x",right(H3,1)="x",right(I3,1)="x"),and(right(K3,1)="x",right(L3,1)="x",right(M3,1)="x"),and(right(O3,1)="x",right(P3,1)="x",right(Q3,1)="x")),0,J3+N3+R3))</f>
        <v>0</v>
      </c>
      <c r="T3" s="91">
        <f t="shared" ref="T3:T77" si="5">if(isblank(E3),,S3/E3)</f>
        <v>0</v>
      </c>
      <c r="U3" s="85">
        <f t="shared" ref="U3:U77" si="6">countif(G3:Q3,"*g")</f>
        <v>3</v>
      </c>
    </row>
    <row r="4">
      <c r="A4" s="85">
        <v>2.0</v>
      </c>
      <c r="B4" s="35" t="s">
        <v>84</v>
      </c>
      <c r="C4" s="35" t="s">
        <v>109</v>
      </c>
      <c r="D4" s="86" t="s">
        <v>342</v>
      </c>
      <c r="E4" s="35">
        <v>183.0</v>
      </c>
      <c r="F4" s="86" t="s">
        <v>475</v>
      </c>
      <c r="G4" s="35" t="s">
        <v>239</v>
      </c>
      <c r="H4" s="85" t="s">
        <v>171</v>
      </c>
      <c r="I4" s="85" t="s">
        <v>232</v>
      </c>
      <c r="J4" s="87">
        <f t="shared" si="1"/>
        <v>150</v>
      </c>
      <c r="K4" s="35" t="s">
        <v>172</v>
      </c>
      <c r="L4" s="88" t="s">
        <v>206</v>
      </c>
      <c r="M4" s="88" t="s">
        <v>207</v>
      </c>
      <c r="N4" s="87">
        <f t="shared" si="2"/>
        <v>75</v>
      </c>
      <c r="O4" s="35" t="s">
        <v>171</v>
      </c>
      <c r="P4" s="88" t="s">
        <v>151</v>
      </c>
      <c r="Q4" s="88" t="s">
        <v>211</v>
      </c>
      <c r="R4" s="87">
        <f t="shared" si="3"/>
        <v>185</v>
      </c>
      <c r="S4" s="90">
        <f t="shared" si="4"/>
        <v>410</v>
      </c>
      <c r="T4" s="91">
        <f t="shared" si="5"/>
        <v>2.240437158</v>
      </c>
      <c r="U4" s="85">
        <f t="shared" si="6"/>
        <v>4</v>
      </c>
    </row>
    <row r="5">
      <c r="A5" s="85">
        <v>3.0</v>
      </c>
      <c r="B5" s="35" t="s">
        <v>84</v>
      </c>
      <c r="C5" s="35" t="s">
        <v>109</v>
      </c>
      <c r="D5" s="86" t="s">
        <v>394</v>
      </c>
      <c r="E5" s="35">
        <v>186.8</v>
      </c>
      <c r="F5" s="86" t="s">
        <v>476</v>
      </c>
      <c r="G5" s="35" t="s">
        <v>193</v>
      </c>
      <c r="H5" s="85" t="s">
        <v>179</v>
      </c>
      <c r="I5" s="85" t="s">
        <v>186</v>
      </c>
      <c r="J5" s="87">
        <f t="shared" si="1"/>
        <v>135</v>
      </c>
      <c r="K5" s="35" t="s">
        <v>188</v>
      </c>
      <c r="L5" s="88" t="s">
        <v>195</v>
      </c>
      <c r="M5" s="88" t="s">
        <v>244</v>
      </c>
      <c r="N5" s="87">
        <f t="shared" si="2"/>
        <v>70</v>
      </c>
      <c r="O5" s="35" t="s">
        <v>235</v>
      </c>
      <c r="P5" s="88" t="s">
        <v>181</v>
      </c>
      <c r="Q5" s="88" t="s">
        <v>254</v>
      </c>
      <c r="R5" s="87">
        <f t="shared" si="3"/>
        <v>205</v>
      </c>
      <c r="S5" s="90">
        <f t="shared" si="4"/>
        <v>410</v>
      </c>
      <c r="T5" s="91">
        <f t="shared" si="5"/>
        <v>2.194860814</v>
      </c>
      <c r="U5" s="85">
        <f t="shared" si="6"/>
        <v>8</v>
      </c>
    </row>
    <row r="6" ht="16.5" customHeight="1">
      <c r="A6" s="85">
        <v>4.0</v>
      </c>
      <c r="B6" s="35" t="s">
        <v>84</v>
      </c>
      <c r="C6" s="35" t="s">
        <v>109</v>
      </c>
      <c r="D6" s="86" t="s">
        <v>287</v>
      </c>
      <c r="E6" s="35">
        <v>185.6</v>
      </c>
      <c r="F6" s="86" t="s">
        <v>477</v>
      </c>
      <c r="G6" s="35" t="s">
        <v>153</v>
      </c>
      <c r="H6" s="85" t="s">
        <v>197</v>
      </c>
      <c r="I6" s="85" t="s">
        <v>180</v>
      </c>
      <c r="J6" s="87">
        <f t="shared" si="1"/>
        <v>120</v>
      </c>
      <c r="K6" s="35" t="s">
        <v>195</v>
      </c>
      <c r="L6" s="88" t="s">
        <v>189</v>
      </c>
      <c r="M6" s="88" t="s">
        <v>189</v>
      </c>
      <c r="N6" s="87">
        <f t="shared" si="2"/>
        <v>70</v>
      </c>
      <c r="O6" s="35" t="s">
        <v>235</v>
      </c>
      <c r="P6" s="88" t="s">
        <v>181</v>
      </c>
      <c r="Q6" s="88" t="s">
        <v>254</v>
      </c>
      <c r="R6" s="87">
        <f t="shared" si="3"/>
        <v>205</v>
      </c>
      <c r="S6" s="90">
        <f t="shared" si="4"/>
        <v>395</v>
      </c>
      <c r="T6" s="91">
        <f t="shared" si="5"/>
        <v>2.128232759</v>
      </c>
      <c r="U6" s="85">
        <f t="shared" si="6"/>
        <v>6</v>
      </c>
    </row>
    <row r="7">
      <c r="A7" s="85">
        <v>5.0</v>
      </c>
      <c r="B7" s="35" t="s">
        <v>84</v>
      </c>
      <c r="C7" s="35" t="s">
        <v>109</v>
      </c>
      <c r="D7" s="86" t="s">
        <v>478</v>
      </c>
      <c r="E7" s="35">
        <v>187.8</v>
      </c>
      <c r="F7" s="86" t="s">
        <v>479</v>
      </c>
      <c r="G7" s="35" t="s">
        <v>239</v>
      </c>
      <c r="H7" s="85" t="s">
        <v>187</v>
      </c>
      <c r="I7" s="85" t="s">
        <v>202</v>
      </c>
      <c r="J7" s="87">
        <f t="shared" si="1"/>
        <v>155</v>
      </c>
      <c r="K7" s="35" t="s">
        <v>163</v>
      </c>
      <c r="L7" s="88" t="s">
        <v>164</v>
      </c>
      <c r="M7" s="88" t="s">
        <v>262</v>
      </c>
      <c r="N7" s="87">
        <f t="shared" si="2"/>
        <v>100</v>
      </c>
      <c r="O7" s="35" t="s">
        <v>175</v>
      </c>
      <c r="P7" s="88" t="s">
        <v>208</v>
      </c>
      <c r="Q7" s="88" t="s">
        <v>208</v>
      </c>
      <c r="R7" s="87">
        <f t="shared" si="3"/>
        <v>195</v>
      </c>
      <c r="S7" s="90">
        <f t="shared" si="4"/>
        <v>450</v>
      </c>
      <c r="T7" s="91">
        <f t="shared" si="5"/>
        <v>2.396166134</v>
      </c>
      <c r="U7" s="85">
        <f t="shared" si="6"/>
        <v>4</v>
      </c>
    </row>
    <row r="8">
      <c r="A8" s="85">
        <v>6.0</v>
      </c>
      <c r="B8" s="35" t="s">
        <v>84</v>
      </c>
      <c r="C8" s="35" t="s">
        <v>109</v>
      </c>
      <c r="D8" s="86" t="s">
        <v>368</v>
      </c>
      <c r="E8" s="35">
        <v>195.8</v>
      </c>
      <c r="F8" s="86" t="s">
        <v>480</v>
      </c>
      <c r="G8" s="35" t="s">
        <v>224</v>
      </c>
      <c r="H8" s="85" t="s">
        <v>151</v>
      </c>
      <c r="I8" s="85" t="s">
        <v>182</v>
      </c>
      <c r="J8" s="87">
        <f t="shared" si="1"/>
        <v>200</v>
      </c>
      <c r="K8" s="35" t="s">
        <v>216</v>
      </c>
      <c r="L8" s="88" t="s">
        <v>154</v>
      </c>
      <c r="M8" s="88" t="s">
        <v>197</v>
      </c>
      <c r="N8" s="87">
        <f t="shared" si="2"/>
        <v>120</v>
      </c>
      <c r="O8" s="35" t="s">
        <v>235</v>
      </c>
      <c r="P8" s="88" t="s">
        <v>182</v>
      </c>
      <c r="Q8" s="88" t="s">
        <v>156</v>
      </c>
      <c r="R8" s="87">
        <f t="shared" si="3"/>
        <v>225</v>
      </c>
      <c r="S8" s="90">
        <f t="shared" si="4"/>
        <v>545</v>
      </c>
      <c r="T8" s="91">
        <f t="shared" si="5"/>
        <v>2.783452503</v>
      </c>
      <c r="U8" s="85">
        <f t="shared" si="6"/>
        <v>9</v>
      </c>
    </row>
    <row r="9">
      <c r="A9" s="85">
        <v>7.0</v>
      </c>
      <c r="B9" s="35" t="s">
        <v>84</v>
      </c>
      <c r="C9" s="35" t="s">
        <v>109</v>
      </c>
      <c r="D9" s="86" t="s">
        <v>251</v>
      </c>
      <c r="E9" s="35">
        <v>181.4</v>
      </c>
      <c r="F9" s="86" t="s">
        <v>481</v>
      </c>
      <c r="G9" s="35" t="s">
        <v>170</v>
      </c>
      <c r="H9" s="85" t="s">
        <v>202</v>
      </c>
      <c r="I9" s="85" t="s">
        <v>224</v>
      </c>
      <c r="J9" s="87">
        <f t="shared" si="1"/>
        <v>165</v>
      </c>
      <c r="K9" s="35" t="s">
        <v>172</v>
      </c>
      <c r="L9" s="88" t="s">
        <v>173</v>
      </c>
      <c r="M9" s="88" t="s">
        <v>340</v>
      </c>
      <c r="N9" s="87">
        <f t="shared" si="2"/>
        <v>85</v>
      </c>
      <c r="O9" s="35" t="s">
        <v>181</v>
      </c>
      <c r="P9" s="88" t="s">
        <v>190</v>
      </c>
      <c r="Q9" s="88" t="s">
        <v>308</v>
      </c>
      <c r="R9" s="87">
        <f t="shared" si="3"/>
        <v>230</v>
      </c>
      <c r="S9" s="90">
        <f t="shared" si="4"/>
        <v>480</v>
      </c>
      <c r="T9" s="91">
        <f t="shared" si="5"/>
        <v>2.646085998</v>
      </c>
      <c r="U9" s="85">
        <f t="shared" si="6"/>
        <v>8</v>
      </c>
    </row>
    <row r="10">
      <c r="A10" s="85">
        <v>8.0</v>
      </c>
      <c r="B10" s="35" t="s">
        <v>84</v>
      </c>
      <c r="C10" s="35" t="s">
        <v>109</v>
      </c>
      <c r="D10" s="86" t="s">
        <v>345</v>
      </c>
      <c r="E10" s="85">
        <v>193.0</v>
      </c>
      <c r="F10" s="86" t="s">
        <v>482</v>
      </c>
      <c r="G10" s="35" t="s">
        <v>234</v>
      </c>
      <c r="H10" s="85" t="s">
        <v>187</v>
      </c>
      <c r="I10" s="85" t="s">
        <v>224</v>
      </c>
      <c r="J10" s="87">
        <f t="shared" si="1"/>
        <v>165</v>
      </c>
      <c r="K10" s="35" t="s">
        <v>210</v>
      </c>
      <c r="L10" s="88" t="s">
        <v>174</v>
      </c>
      <c r="M10" s="88" t="s">
        <v>207</v>
      </c>
      <c r="N10" s="87">
        <f t="shared" si="2"/>
        <v>80</v>
      </c>
      <c r="O10" s="35" t="s">
        <v>183</v>
      </c>
      <c r="P10" s="88" t="s">
        <v>308</v>
      </c>
      <c r="Q10" s="88" t="s">
        <v>273</v>
      </c>
      <c r="R10" s="87">
        <f t="shared" si="3"/>
        <v>230</v>
      </c>
      <c r="S10" s="90">
        <f t="shared" si="4"/>
        <v>475</v>
      </c>
      <c r="T10" s="91">
        <f t="shared" si="5"/>
        <v>2.461139896</v>
      </c>
      <c r="U10" s="85">
        <f t="shared" si="6"/>
        <v>5</v>
      </c>
    </row>
    <row r="11">
      <c r="A11" s="85">
        <v>9.0</v>
      </c>
      <c r="B11" s="35" t="s">
        <v>84</v>
      </c>
      <c r="C11" s="35" t="s">
        <v>109</v>
      </c>
      <c r="D11" s="86" t="s">
        <v>260</v>
      </c>
      <c r="E11" s="35">
        <v>195.2</v>
      </c>
      <c r="F11" s="86" t="s">
        <v>483</v>
      </c>
      <c r="G11" s="35" t="s">
        <v>193</v>
      </c>
      <c r="H11" s="85" t="s">
        <v>243</v>
      </c>
      <c r="I11" s="85" t="s">
        <v>186</v>
      </c>
      <c r="J11" s="87">
        <f t="shared" si="1"/>
        <v>135</v>
      </c>
      <c r="K11" s="35" t="s">
        <v>340</v>
      </c>
      <c r="L11" s="88" t="s">
        <v>153</v>
      </c>
      <c r="M11" s="88" t="s">
        <v>154</v>
      </c>
      <c r="N11" s="87">
        <f t="shared" si="2"/>
        <v>110</v>
      </c>
      <c r="O11" s="35" t="s">
        <v>190</v>
      </c>
      <c r="P11" s="88" t="s">
        <v>156</v>
      </c>
      <c r="Q11" s="88" t="s">
        <v>158</v>
      </c>
      <c r="R11" s="87">
        <f t="shared" si="3"/>
        <v>240</v>
      </c>
      <c r="S11" s="90">
        <f t="shared" si="4"/>
        <v>485</v>
      </c>
      <c r="T11" s="91">
        <f t="shared" si="5"/>
        <v>2.484631148</v>
      </c>
      <c r="U11" s="85">
        <f t="shared" si="6"/>
        <v>7</v>
      </c>
    </row>
    <row r="12">
      <c r="A12" s="85">
        <v>10.0</v>
      </c>
      <c r="B12" s="35" t="s">
        <v>84</v>
      </c>
      <c r="C12" s="35" t="s">
        <v>109</v>
      </c>
      <c r="D12" s="86" t="s">
        <v>168</v>
      </c>
      <c r="E12" s="35">
        <v>194.2</v>
      </c>
      <c r="F12" s="86" t="s">
        <v>484</v>
      </c>
      <c r="G12" s="35" t="s">
        <v>161</v>
      </c>
      <c r="H12" s="85" t="s">
        <v>151</v>
      </c>
      <c r="I12" s="85" t="s">
        <v>211</v>
      </c>
      <c r="J12" s="87">
        <f t="shared" si="1"/>
        <v>185</v>
      </c>
      <c r="K12" s="35" t="s">
        <v>193</v>
      </c>
      <c r="L12" s="88" t="s">
        <v>179</v>
      </c>
      <c r="M12" s="88" t="s">
        <v>180</v>
      </c>
      <c r="N12" s="87">
        <f t="shared" si="2"/>
        <v>125</v>
      </c>
      <c r="O12" s="35" t="s">
        <v>182</v>
      </c>
      <c r="P12" s="88" t="s">
        <v>308</v>
      </c>
      <c r="Q12" s="88" t="s">
        <v>389</v>
      </c>
      <c r="R12" s="87">
        <f t="shared" si="3"/>
        <v>230</v>
      </c>
      <c r="S12" s="90">
        <f t="shared" si="4"/>
        <v>540</v>
      </c>
      <c r="T12" s="91">
        <f t="shared" si="5"/>
        <v>2.780638517</v>
      </c>
      <c r="U12" s="85">
        <f t="shared" si="6"/>
        <v>6</v>
      </c>
    </row>
    <row r="13">
      <c r="A13" s="85">
        <v>11.0</v>
      </c>
      <c r="B13" s="35" t="s">
        <v>84</v>
      </c>
      <c r="C13" s="35" t="s">
        <v>109</v>
      </c>
      <c r="D13" s="86" t="s">
        <v>240</v>
      </c>
      <c r="E13" s="35">
        <v>183.4</v>
      </c>
      <c r="F13" s="86" t="s">
        <v>485</v>
      </c>
      <c r="G13" s="35" t="s">
        <v>150</v>
      </c>
      <c r="H13" s="85" t="s">
        <v>151</v>
      </c>
      <c r="I13" s="85" t="s">
        <v>175</v>
      </c>
      <c r="J13" s="87">
        <f t="shared" si="1"/>
        <v>195</v>
      </c>
      <c r="K13" s="35" t="s">
        <v>163</v>
      </c>
      <c r="L13" s="88" t="s">
        <v>163</v>
      </c>
      <c r="M13" s="88" t="s">
        <v>164</v>
      </c>
      <c r="N13" s="87">
        <f t="shared" si="2"/>
        <v>100</v>
      </c>
      <c r="O13" s="35" t="s">
        <v>190</v>
      </c>
      <c r="P13" s="88" t="s">
        <v>156</v>
      </c>
      <c r="Q13" s="88" t="s">
        <v>295</v>
      </c>
      <c r="R13" s="87">
        <f t="shared" si="3"/>
        <v>225</v>
      </c>
      <c r="S13" s="90">
        <f t="shared" si="4"/>
        <v>520</v>
      </c>
      <c r="T13" s="91">
        <f t="shared" si="5"/>
        <v>2.835332606</v>
      </c>
      <c r="U13" s="85">
        <f t="shared" si="6"/>
        <v>8</v>
      </c>
    </row>
    <row r="14">
      <c r="A14" s="85">
        <v>12.0</v>
      </c>
      <c r="B14" s="35" t="s">
        <v>84</v>
      </c>
      <c r="C14" s="35" t="s">
        <v>109</v>
      </c>
      <c r="D14" s="86" t="s">
        <v>184</v>
      </c>
      <c r="E14" s="35">
        <v>190.4</v>
      </c>
      <c r="F14" s="86" t="s">
        <v>486</v>
      </c>
      <c r="G14" s="35" t="s">
        <v>245</v>
      </c>
      <c r="H14" s="85" t="s">
        <v>239</v>
      </c>
      <c r="I14" s="85" t="s">
        <v>171</v>
      </c>
      <c r="J14" s="87">
        <f t="shared" si="1"/>
        <v>150</v>
      </c>
      <c r="K14" s="35" t="s">
        <v>193</v>
      </c>
      <c r="L14" s="88" t="s">
        <v>155</v>
      </c>
      <c r="M14" s="88" t="s">
        <v>155</v>
      </c>
      <c r="N14" s="87">
        <f t="shared" si="2"/>
        <v>115</v>
      </c>
      <c r="O14" s="35" t="s">
        <v>156</v>
      </c>
      <c r="P14" s="88" t="s">
        <v>167</v>
      </c>
      <c r="Q14" s="88" t="s">
        <v>295</v>
      </c>
      <c r="R14" s="87">
        <f t="shared" si="3"/>
        <v>235</v>
      </c>
      <c r="S14" s="90">
        <f t="shared" si="4"/>
        <v>500</v>
      </c>
      <c r="T14" s="91">
        <f t="shared" si="5"/>
        <v>2.62605042</v>
      </c>
      <c r="U14" s="85">
        <f t="shared" si="6"/>
        <v>5</v>
      </c>
    </row>
    <row r="15">
      <c r="A15" s="85">
        <v>13.0</v>
      </c>
      <c r="B15" s="35" t="s">
        <v>84</v>
      </c>
      <c r="C15" s="35" t="s">
        <v>109</v>
      </c>
      <c r="D15" s="86" t="s">
        <v>321</v>
      </c>
      <c r="E15" s="35">
        <v>194.4</v>
      </c>
      <c r="F15" s="86" t="s">
        <v>487</v>
      </c>
      <c r="G15" s="35" t="s">
        <v>162</v>
      </c>
      <c r="H15" s="85" t="s">
        <v>151</v>
      </c>
      <c r="I15" s="85" t="s">
        <v>211</v>
      </c>
      <c r="J15" s="87">
        <f t="shared" si="1"/>
        <v>185</v>
      </c>
      <c r="K15" s="35" t="s">
        <v>173</v>
      </c>
      <c r="L15" s="88" t="s">
        <v>340</v>
      </c>
      <c r="M15" s="88" t="s">
        <v>216</v>
      </c>
      <c r="N15" s="87">
        <f t="shared" si="2"/>
        <v>95</v>
      </c>
      <c r="O15" s="35" t="s">
        <v>158</v>
      </c>
      <c r="P15" s="88" t="s">
        <v>176</v>
      </c>
      <c r="Q15" s="88" t="s">
        <v>256</v>
      </c>
      <c r="R15" s="87">
        <f t="shared" si="3"/>
        <v>250</v>
      </c>
      <c r="S15" s="90">
        <f t="shared" si="4"/>
        <v>530</v>
      </c>
      <c r="T15" s="91">
        <f t="shared" si="5"/>
        <v>2.726337449</v>
      </c>
      <c r="U15" s="85">
        <f t="shared" si="6"/>
        <v>5</v>
      </c>
    </row>
    <row r="16">
      <c r="A16" s="85">
        <v>14.0</v>
      </c>
      <c r="B16" s="35" t="s">
        <v>84</v>
      </c>
      <c r="C16" s="35" t="s">
        <v>109</v>
      </c>
      <c r="D16" s="86" t="s">
        <v>488</v>
      </c>
      <c r="E16" s="35">
        <v>186.0</v>
      </c>
      <c r="F16" s="86" t="s">
        <v>489</v>
      </c>
      <c r="G16" s="35" t="s">
        <v>186</v>
      </c>
      <c r="H16" s="85" t="s">
        <v>224</v>
      </c>
      <c r="I16" s="85" t="s">
        <v>162</v>
      </c>
      <c r="J16" s="87">
        <f t="shared" si="1"/>
        <v>165</v>
      </c>
      <c r="K16" s="35" t="s">
        <v>173</v>
      </c>
      <c r="L16" s="88" t="s">
        <v>216</v>
      </c>
      <c r="M16" s="88" t="s">
        <v>153</v>
      </c>
      <c r="N16" s="87">
        <f t="shared" si="2"/>
        <v>105</v>
      </c>
      <c r="O16" s="35" t="s">
        <v>158</v>
      </c>
      <c r="P16" s="88" t="s">
        <v>328</v>
      </c>
      <c r="Q16" s="88" t="s">
        <v>490</v>
      </c>
      <c r="R16" s="87">
        <f t="shared" si="3"/>
        <v>280</v>
      </c>
      <c r="S16" s="90">
        <f t="shared" si="4"/>
        <v>550</v>
      </c>
      <c r="T16" s="91">
        <f t="shared" si="5"/>
        <v>2.956989247</v>
      </c>
      <c r="U16" s="85">
        <f t="shared" si="6"/>
        <v>8</v>
      </c>
    </row>
    <row r="17">
      <c r="A17" s="85">
        <v>15.0</v>
      </c>
      <c r="B17" s="35" t="s">
        <v>84</v>
      </c>
      <c r="C17" s="35" t="s">
        <v>109</v>
      </c>
      <c r="D17" s="86" t="s">
        <v>275</v>
      </c>
      <c r="E17" s="35">
        <v>192.0</v>
      </c>
      <c r="F17" s="86" t="s">
        <v>491</v>
      </c>
      <c r="G17" s="35" t="s">
        <v>255</v>
      </c>
      <c r="H17" s="85" t="s">
        <v>449</v>
      </c>
      <c r="I17" s="85" t="s">
        <v>329</v>
      </c>
      <c r="J17" s="87">
        <f t="shared" si="1"/>
        <v>270</v>
      </c>
      <c r="K17" s="35" t="s">
        <v>163</v>
      </c>
      <c r="L17" s="88" t="s">
        <v>164</v>
      </c>
      <c r="M17" s="88" t="s">
        <v>262</v>
      </c>
      <c r="N17" s="87">
        <f t="shared" si="2"/>
        <v>100</v>
      </c>
      <c r="O17" s="35" t="s">
        <v>255</v>
      </c>
      <c r="P17" s="88" t="s">
        <v>293</v>
      </c>
      <c r="Q17" s="88" t="s">
        <v>490</v>
      </c>
      <c r="R17" s="87">
        <f t="shared" si="3"/>
        <v>280</v>
      </c>
      <c r="S17" s="90">
        <f t="shared" si="4"/>
        <v>650</v>
      </c>
      <c r="T17" s="91">
        <f t="shared" si="5"/>
        <v>3.385416667</v>
      </c>
      <c r="U17" s="85">
        <f t="shared" si="6"/>
        <v>7</v>
      </c>
    </row>
    <row r="18">
      <c r="A18" s="85">
        <v>16.0</v>
      </c>
      <c r="B18" s="35" t="s">
        <v>84</v>
      </c>
      <c r="C18" s="35" t="s">
        <v>109</v>
      </c>
      <c r="D18" s="86" t="s">
        <v>278</v>
      </c>
      <c r="E18" s="35">
        <v>192.2</v>
      </c>
      <c r="F18" s="86" t="s">
        <v>492</v>
      </c>
      <c r="G18" s="35" t="s">
        <v>263</v>
      </c>
      <c r="H18" s="85" t="s">
        <v>190</v>
      </c>
      <c r="I18" s="85" t="s">
        <v>156</v>
      </c>
      <c r="J18" s="87">
        <f t="shared" si="1"/>
        <v>225</v>
      </c>
      <c r="K18" s="35" t="s">
        <v>193</v>
      </c>
      <c r="L18" s="88" t="s">
        <v>179</v>
      </c>
      <c r="M18" s="88" t="s">
        <v>180</v>
      </c>
      <c r="N18" s="87">
        <f t="shared" si="2"/>
        <v>125</v>
      </c>
      <c r="O18" s="35" t="s">
        <v>176</v>
      </c>
      <c r="P18" s="88" t="s">
        <v>329</v>
      </c>
      <c r="Q18" s="88" t="s">
        <v>406</v>
      </c>
      <c r="R18" s="87">
        <f t="shared" si="3"/>
        <v>300</v>
      </c>
      <c r="S18" s="90">
        <f t="shared" si="4"/>
        <v>650</v>
      </c>
      <c r="T18" s="91">
        <f t="shared" si="5"/>
        <v>3.381893861</v>
      </c>
      <c r="U18" s="85">
        <f t="shared" si="6"/>
        <v>7</v>
      </c>
    </row>
    <row r="19">
      <c r="A19" s="85">
        <v>17.0</v>
      </c>
      <c r="B19" s="35" t="s">
        <v>84</v>
      </c>
      <c r="C19" s="35" t="s">
        <v>109</v>
      </c>
      <c r="D19" s="86" t="s">
        <v>493</v>
      </c>
      <c r="E19" s="35">
        <v>193.6</v>
      </c>
      <c r="F19" s="86" t="s">
        <v>494</v>
      </c>
      <c r="G19" s="35" t="s">
        <v>166</v>
      </c>
      <c r="H19" s="85" t="s">
        <v>191</v>
      </c>
      <c r="I19" s="85" t="s">
        <v>273</v>
      </c>
      <c r="J19" s="87">
        <f t="shared" si="1"/>
        <v>210</v>
      </c>
      <c r="K19" s="35" t="s">
        <v>154</v>
      </c>
      <c r="L19" s="88" t="s">
        <v>197</v>
      </c>
      <c r="M19" s="88" t="s">
        <v>180</v>
      </c>
      <c r="N19" s="87">
        <f t="shared" si="2"/>
        <v>120</v>
      </c>
      <c r="O19" s="35" t="s">
        <v>328</v>
      </c>
      <c r="P19" s="88" t="s">
        <v>490</v>
      </c>
      <c r="Q19" s="88" t="s">
        <v>464</v>
      </c>
      <c r="R19" s="87">
        <f t="shared" si="3"/>
        <v>280</v>
      </c>
      <c r="S19" s="90">
        <f t="shared" si="4"/>
        <v>610</v>
      </c>
      <c r="T19" s="91">
        <f t="shared" si="5"/>
        <v>3.150826446</v>
      </c>
      <c r="U19" s="85">
        <f t="shared" si="6"/>
        <v>5</v>
      </c>
    </row>
    <row r="20">
      <c r="A20" s="85">
        <v>18.0</v>
      </c>
      <c r="B20" s="35" t="s">
        <v>84</v>
      </c>
      <c r="C20" s="35" t="s">
        <v>109</v>
      </c>
      <c r="D20" s="86" t="s">
        <v>204</v>
      </c>
      <c r="E20" s="35">
        <v>187.2</v>
      </c>
      <c r="F20" s="86" t="s">
        <v>495</v>
      </c>
      <c r="G20" s="35" t="s">
        <v>182</v>
      </c>
      <c r="H20" s="85" t="s">
        <v>263</v>
      </c>
      <c r="I20" s="85" t="s">
        <v>156</v>
      </c>
      <c r="J20" s="87">
        <f t="shared" si="1"/>
        <v>225</v>
      </c>
      <c r="K20" s="35" t="s">
        <v>216</v>
      </c>
      <c r="L20" s="88" t="s">
        <v>153</v>
      </c>
      <c r="M20" s="88" t="s">
        <v>165</v>
      </c>
      <c r="N20" s="87">
        <f t="shared" si="2"/>
        <v>105</v>
      </c>
      <c r="O20" s="35" t="s">
        <v>325</v>
      </c>
      <c r="P20" s="88" t="s">
        <v>464</v>
      </c>
      <c r="Q20" s="88" t="s">
        <v>469</v>
      </c>
      <c r="R20" s="87">
        <f t="shared" si="3"/>
        <v>305</v>
      </c>
      <c r="S20" s="90">
        <f t="shared" si="4"/>
        <v>635</v>
      </c>
      <c r="T20" s="91">
        <f t="shared" si="5"/>
        <v>3.392094017</v>
      </c>
      <c r="U20" s="85">
        <f t="shared" si="6"/>
        <v>6</v>
      </c>
    </row>
    <row r="21">
      <c r="A21" s="85">
        <v>19.0</v>
      </c>
      <c r="B21" s="35" t="s">
        <v>84</v>
      </c>
      <c r="C21" s="35" t="s">
        <v>109</v>
      </c>
      <c r="D21" s="86" t="s">
        <v>496</v>
      </c>
      <c r="E21" s="85">
        <v>197.0</v>
      </c>
      <c r="F21" s="86" t="s">
        <v>497</v>
      </c>
      <c r="G21" s="35" t="s">
        <v>224</v>
      </c>
      <c r="H21" s="85" t="s">
        <v>151</v>
      </c>
      <c r="I21" s="85" t="s">
        <v>166</v>
      </c>
      <c r="J21" s="87">
        <f t="shared" si="1"/>
        <v>210</v>
      </c>
      <c r="K21" s="35" t="s">
        <v>164</v>
      </c>
      <c r="L21" s="88" t="s">
        <v>197</v>
      </c>
      <c r="M21" s="88" t="s">
        <v>180</v>
      </c>
      <c r="N21" s="87">
        <f t="shared" si="2"/>
        <v>120</v>
      </c>
      <c r="O21" s="35" t="s">
        <v>329</v>
      </c>
      <c r="P21" s="88" t="s">
        <v>399</v>
      </c>
      <c r="Q21" s="88" t="s">
        <v>498</v>
      </c>
      <c r="R21" s="87">
        <f t="shared" si="3"/>
        <v>285</v>
      </c>
      <c r="S21" s="90">
        <f t="shared" si="4"/>
        <v>615</v>
      </c>
      <c r="T21" s="91">
        <f t="shared" si="5"/>
        <v>3.121827411</v>
      </c>
      <c r="U21" s="85">
        <f t="shared" si="6"/>
        <v>7</v>
      </c>
    </row>
    <row r="22">
      <c r="A22" s="85">
        <v>20.0</v>
      </c>
      <c r="B22" s="35"/>
      <c r="C22" s="35"/>
      <c r="D22" s="86"/>
      <c r="E22" s="35"/>
      <c r="F22" s="86"/>
      <c r="G22" s="35"/>
      <c r="H22" s="85"/>
      <c r="I22" s="85"/>
      <c r="J22" s="87" t="str">
        <f t="shared" si="1"/>
        <v/>
      </c>
      <c r="K22" s="35"/>
      <c r="L22" s="88"/>
      <c r="M22" s="88"/>
      <c r="N22" s="87" t="str">
        <f t="shared" si="2"/>
        <v/>
      </c>
      <c r="O22" s="35"/>
      <c r="P22" s="88"/>
      <c r="Q22" s="88"/>
      <c r="R22" s="87" t="str">
        <f t="shared" si="3"/>
        <v/>
      </c>
      <c r="S22" s="90" t="str">
        <f t="shared" si="4"/>
        <v/>
      </c>
      <c r="T22" s="91" t="str">
        <f t="shared" si="5"/>
        <v/>
      </c>
      <c r="U22" s="85">
        <f t="shared" si="6"/>
        <v>0</v>
      </c>
    </row>
    <row r="23">
      <c r="A23" s="85">
        <v>21.0</v>
      </c>
      <c r="B23" s="35"/>
      <c r="C23" s="35"/>
      <c r="D23" s="86"/>
      <c r="E23" s="35"/>
      <c r="F23" s="86"/>
      <c r="G23" s="35"/>
      <c r="H23" s="85"/>
      <c r="I23" s="85"/>
      <c r="J23" s="87" t="str">
        <f t="shared" si="1"/>
        <v/>
      </c>
      <c r="K23" s="35"/>
      <c r="L23" s="88"/>
      <c r="M23" s="88"/>
      <c r="N23" s="87" t="str">
        <f t="shared" si="2"/>
        <v/>
      </c>
      <c r="O23" s="35"/>
      <c r="P23" s="88"/>
      <c r="Q23" s="88"/>
      <c r="R23" s="87" t="str">
        <f t="shared" si="3"/>
        <v/>
      </c>
      <c r="S23" s="90" t="str">
        <f t="shared" si="4"/>
        <v/>
      </c>
      <c r="T23" s="91" t="str">
        <f t="shared" si="5"/>
        <v/>
      </c>
      <c r="U23" s="85">
        <f t="shared" si="6"/>
        <v>0</v>
      </c>
    </row>
    <row r="24">
      <c r="A24" s="85">
        <v>22.0</v>
      </c>
      <c r="B24" s="35"/>
      <c r="C24" s="35"/>
      <c r="D24" s="86"/>
      <c r="E24" s="35"/>
      <c r="F24" s="86"/>
      <c r="G24" s="35"/>
      <c r="H24" s="85"/>
      <c r="I24" s="85"/>
      <c r="J24" s="87" t="str">
        <f t="shared" si="1"/>
        <v/>
      </c>
      <c r="K24" s="35"/>
      <c r="L24" s="88"/>
      <c r="M24" s="88"/>
      <c r="N24" s="87" t="str">
        <f t="shared" si="2"/>
        <v/>
      </c>
      <c r="O24" s="35"/>
      <c r="P24" s="88"/>
      <c r="Q24" s="88"/>
      <c r="R24" s="87" t="str">
        <f t="shared" si="3"/>
        <v/>
      </c>
      <c r="S24" s="90" t="str">
        <f t="shared" si="4"/>
        <v/>
      </c>
      <c r="T24" s="91" t="str">
        <f t="shared" si="5"/>
        <v/>
      </c>
      <c r="U24" s="85">
        <f t="shared" si="6"/>
        <v>0</v>
      </c>
    </row>
    <row r="25">
      <c r="A25" s="85">
        <v>23.0</v>
      </c>
      <c r="B25" s="35"/>
      <c r="C25" s="35"/>
      <c r="D25" s="86"/>
      <c r="E25" s="85"/>
      <c r="F25" s="86"/>
      <c r="G25" s="35"/>
      <c r="H25" s="85"/>
      <c r="I25" s="85"/>
      <c r="J25" s="87" t="str">
        <f t="shared" si="1"/>
        <v/>
      </c>
      <c r="K25" s="35"/>
      <c r="L25" s="88"/>
      <c r="M25" s="88"/>
      <c r="N25" s="87" t="str">
        <f t="shared" si="2"/>
        <v/>
      </c>
      <c r="O25" s="35"/>
      <c r="P25" s="88"/>
      <c r="Q25" s="88"/>
      <c r="R25" s="87" t="str">
        <f t="shared" si="3"/>
        <v/>
      </c>
      <c r="S25" s="90" t="str">
        <f t="shared" si="4"/>
        <v/>
      </c>
      <c r="T25" s="91" t="str">
        <f t="shared" si="5"/>
        <v/>
      </c>
      <c r="U25" s="85">
        <f t="shared" si="6"/>
        <v>0</v>
      </c>
    </row>
    <row r="26">
      <c r="A26" s="85">
        <v>24.0</v>
      </c>
      <c r="B26" s="35"/>
      <c r="C26" s="35"/>
      <c r="D26" s="86"/>
      <c r="E26" s="35"/>
      <c r="F26" s="86"/>
      <c r="G26" s="35"/>
      <c r="H26" s="85"/>
      <c r="I26" s="85"/>
      <c r="J26" s="87" t="str">
        <f t="shared" si="1"/>
        <v/>
      </c>
      <c r="K26" s="35"/>
      <c r="L26" s="88"/>
      <c r="M26" s="88"/>
      <c r="N26" s="87" t="str">
        <f t="shared" si="2"/>
        <v/>
      </c>
      <c r="O26" s="35"/>
      <c r="P26" s="88"/>
      <c r="Q26" s="88"/>
      <c r="R26" s="87" t="str">
        <f t="shared" si="3"/>
        <v/>
      </c>
      <c r="S26" s="90" t="str">
        <f t="shared" si="4"/>
        <v/>
      </c>
      <c r="T26" s="91" t="str">
        <f t="shared" si="5"/>
        <v/>
      </c>
      <c r="U26" s="85">
        <f t="shared" si="6"/>
        <v>0</v>
      </c>
    </row>
    <row r="27">
      <c r="A27" s="85">
        <v>25.0</v>
      </c>
      <c r="B27" s="35"/>
      <c r="C27" s="35"/>
      <c r="D27" s="86"/>
      <c r="E27" s="85"/>
      <c r="F27" s="86"/>
      <c r="G27" s="35"/>
      <c r="H27" s="85"/>
      <c r="I27" s="85"/>
      <c r="J27" s="87" t="str">
        <f t="shared" si="1"/>
        <v/>
      </c>
      <c r="K27" s="35"/>
      <c r="L27" s="88"/>
      <c r="M27" s="88"/>
      <c r="N27" s="87" t="str">
        <f t="shared" si="2"/>
        <v/>
      </c>
      <c r="O27" s="35"/>
      <c r="P27" s="88"/>
      <c r="Q27" s="88"/>
      <c r="R27" s="87" t="str">
        <f t="shared" si="3"/>
        <v/>
      </c>
      <c r="S27" s="90" t="str">
        <f t="shared" si="4"/>
        <v/>
      </c>
      <c r="T27" s="91" t="str">
        <f t="shared" si="5"/>
        <v/>
      </c>
      <c r="U27" s="85">
        <f t="shared" si="6"/>
        <v>0</v>
      </c>
    </row>
    <row r="28">
      <c r="A28" s="85">
        <v>26.0</v>
      </c>
      <c r="B28" s="35"/>
      <c r="C28" s="65"/>
      <c r="D28" s="76"/>
      <c r="E28" s="93"/>
      <c r="F28" s="76"/>
      <c r="G28" s="35"/>
      <c r="H28" s="85"/>
      <c r="I28" s="85"/>
      <c r="J28" s="87" t="str">
        <f t="shared" si="1"/>
        <v/>
      </c>
      <c r="K28" s="35"/>
      <c r="L28" s="88"/>
      <c r="M28" s="88"/>
      <c r="N28" s="87" t="str">
        <f t="shared" si="2"/>
        <v/>
      </c>
      <c r="O28" s="35"/>
      <c r="P28" s="88"/>
      <c r="Q28" s="88"/>
      <c r="R28" s="87" t="str">
        <f t="shared" si="3"/>
        <v/>
      </c>
      <c r="S28" s="90" t="str">
        <f t="shared" si="4"/>
        <v/>
      </c>
      <c r="T28" s="91" t="str">
        <f t="shared" si="5"/>
        <v/>
      </c>
      <c r="U28" s="85">
        <f t="shared" si="6"/>
        <v>0</v>
      </c>
    </row>
    <row r="29">
      <c r="A29" s="85">
        <v>27.0</v>
      </c>
      <c r="B29" s="35"/>
      <c r="C29" s="65"/>
      <c r="D29" s="76"/>
      <c r="E29" s="93"/>
      <c r="F29" s="76"/>
      <c r="G29" s="35"/>
      <c r="H29" s="85"/>
      <c r="I29" s="85"/>
      <c r="J29" s="87" t="str">
        <f t="shared" si="1"/>
        <v/>
      </c>
      <c r="K29" s="35"/>
      <c r="L29" s="88"/>
      <c r="M29" s="88"/>
      <c r="N29" s="87" t="str">
        <f t="shared" si="2"/>
        <v/>
      </c>
      <c r="O29" s="35"/>
      <c r="P29" s="88"/>
      <c r="Q29" s="88"/>
      <c r="R29" s="87" t="str">
        <f t="shared" si="3"/>
        <v/>
      </c>
      <c r="S29" s="90" t="str">
        <f t="shared" si="4"/>
        <v/>
      </c>
      <c r="T29" s="91" t="str">
        <f t="shared" si="5"/>
        <v/>
      </c>
      <c r="U29" s="85">
        <f t="shared" si="6"/>
        <v>0</v>
      </c>
    </row>
    <row r="30">
      <c r="A30" s="85">
        <v>28.0</v>
      </c>
      <c r="B30" s="35"/>
      <c r="C30" s="65"/>
      <c r="D30" s="76"/>
      <c r="E30" s="93"/>
      <c r="F30" s="76"/>
      <c r="G30" s="35"/>
      <c r="H30" s="85"/>
      <c r="I30" s="85"/>
      <c r="J30" s="87" t="str">
        <f t="shared" si="1"/>
        <v/>
      </c>
      <c r="K30" s="35"/>
      <c r="L30" s="88"/>
      <c r="M30" s="88"/>
      <c r="N30" s="87" t="str">
        <f t="shared" si="2"/>
        <v/>
      </c>
      <c r="O30" s="35"/>
      <c r="P30" s="88"/>
      <c r="Q30" s="88"/>
      <c r="R30" s="87" t="str">
        <f t="shared" si="3"/>
        <v/>
      </c>
      <c r="S30" s="90" t="str">
        <f t="shared" si="4"/>
        <v/>
      </c>
      <c r="T30" s="91" t="str">
        <f t="shared" si="5"/>
        <v/>
      </c>
      <c r="U30" s="85">
        <f t="shared" si="6"/>
        <v>0</v>
      </c>
    </row>
    <row r="31">
      <c r="A31" s="85">
        <v>29.0</v>
      </c>
      <c r="B31" s="35"/>
      <c r="C31" s="65"/>
      <c r="D31" s="76"/>
      <c r="E31" s="93"/>
      <c r="F31" s="76"/>
      <c r="G31" s="35"/>
      <c r="H31" s="85"/>
      <c r="I31" s="85"/>
      <c r="J31" s="87" t="str">
        <f t="shared" si="1"/>
        <v/>
      </c>
      <c r="K31" s="35"/>
      <c r="L31" s="88"/>
      <c r="M31" s="88"/>
      <c r="N31" s="87" t="str">
        <f t="shared" si="2"/>
        <v/>
      </c>
      <c r="O31" s="35"/>
      <c r="P31" s="88"/>
      <c r="Q31" s="88"/>
      <c r="R31" s="87" t="str">
        <f t="shared" si="3"/>
        <v/>
      </c>
      <c r="S31" s="90" t="str">
        <f t="shared" si="4"/>
        <v/>
      </c>
      <c r="T31" s="91" t="str">
        <f t="shared" si="5"/>
        <v/>
      </c>
      <c r="U31" s="85">
        <f t="shared" si="6"/>
        <v>0</v>
      </c>
    </row>
    <row r="32">
      <c r="A32" s="85">
        <v>30.0</v>
      </c>
      <c r="B32" s="35"/>
      <c r="C32" s="65"/>
      <c r="D32" s="76"/>
      <c r="E32" s="93"/>
      <c r="F32" s="76"/>
      <c r="G32" s="35"/>
      <c r="H32" s="85"/>
      <c r="I32" s="85"/>
      <c r="J32" s="87" t="str">
        <f t="shared" si="1"/>
        <v/>
      </c>
      <c r="K32" s="35"/>
      <c r="L32" s="88"/>
      <c r="M32" s="88"/>
      <c r="N32" s="87" t="str">
        <f t="shared" si="2"/>
        <v/>
      </c>
      <c r="O32" s="35"/>
      <c r="P32" s="88"/>
      <c r="Q32" s="88"/>
      <c r="R32" s="87" t="str">
        <f t="shared" si="3"/>
        <v/>
      </c>
      <c r="S32" s="90" t="str">
        <f t="shared" si="4"/>
        <v/>
      </c>
      <c r="T32" s="91" t="str">
        <f t="shared" si="5"/>
        <v/>
      </c>
      <c r="U32" s="85">
        <f t="shared" si="6"/>
        <v>0</v>
      </c>
    </row>
    <row r="33">
      <c r="A33" s="85">
        <v>31.0</v>
      </c>
      <c r="B33" s="35"/>
      <c r="C33" s="65"/>
      <c r="D33" s="76"/>
      <c r="E33" s="93"/>
      <c r="F33" s="76"/>
      <c r="G33" s="35"/>
      <c r="H33" s="85"/>
      <c r="I33" s="85"/>
      <c r="J33" s="87" t="str">
        <f t="shared" si="1"/>
        <v/>
      </c>
      <c r="K33" s="35"/>
      <c r="L33" s="88"/>
      <c r="M33" s="88"/>
      <c r="N33" s="87" t="str">
        <f t="shared" si="2"/>
        <v/>
      </c>
      <c r="O33" s="35"/>
      <c r="P33" s="88"/>
      <c r="Q33" s="88"/>
      <c r="R33" s="87" t="str">
        <f t="shared" si="3"/>
        <v/>
      </c>
      <c r="S33" s="90" t="str">
        <f t="shared" si="4"/>
        <v/>
      </c>
      <c r="T33" s="91" t="str">
        <f t="shared" si="5"/>
        <v/>
      </c>
      <c r="U33" s="85">
        <f t="shared" si="6"/>
        <v>0</v>
      </c>
    </row>
    <row r="34">
      <c r="A34" s="85">
        <v>32.0</v>
      </c>
      <c r="B34" s="35"/>
      <c r="C34" s="65"/>
      <c r="D34" s="76"/>
      <c r="E34" s="93"/>
      <c r="F34" s="76"/>
      <c r="G34" s="35"/>
      <c r="H34" s="85"/>
      <c r="I34" s="85"/>
      <c r="J34" s="87" t="str">
        <f t="shared" si="1"/>
        <v/>
      </c>
      <c r="K34" s="35"/>
      <c r="L34" s="88"/>
      <c r="M34" s="88"/>
      <c r="N34" s="87" t="str">
        <f t="shared" si="2"/>
        <v/>
      </c>
      <c r="O34" s="35"/>
      <c r="P34" s="88"/>
      <c r="Q34" s="88"/>
      <c r="R34" s="87" t="str">
        <f t="shared" si="3"/>
        <v/>
      </c>
      <c r="S34" s="90" t="str">
        <f t="shared" si="4"/>
        <v/>
      </c>
      <c r="T34" s="91" t="str">
        <f t="shared" si="5"/>
        <v/>
      </c>
      <c r="U34" s="85">
        <f t="shared" si="6"/>
        <v>0</v>
      </c>
    </row>
    <row r="35">
      <c r="A35" s="85">
        <v>33.0</v>
      </c>
      <c r="B35" s="35"/>
      <c r="C35" s="65"/>
      <c r="D35" s="76"/>
      <c r="E35" s="93"/>
      <c r="F35" s="76"/>
      <c r="G35" s="35"/>
      <c r="H35" s="85"/>
      <c r="I35" s="85"/>
      <c r="J35" s="87" t="str">
        <f t="shared" si="1"/>
        <v/>
      </c>
      <c r="K35" s="35"/>
      <c r="L35" s="88"/>
      <c r="M35" s="88"/>
      <c r="N35" s="87" t="str">
        <f t="shared" si="2"/>
        <v/>
      </c>
      <c r="O35" s="35"/>
      <c r="P35" s="88"/>
      <c r="Q35" s="88"/>
      <c r="R35" s="87" t="str">
        <f t="shared" si="3"/>
        <v/>
      </c>
      <c r="S35" s="90" t="str">
        <f t="shared" si="4"/>
        <v/>
      </c>
      <c r="T35" s="91" t="str">
        <f t="shared" si="5"/>
        <v/>
      </c>
      <c r="U35" s="85">
        <f t="shared" si="6"/>
        <v>0</v>
      </c>
    </row>
    <row r="36">
      <c r="A36" s="85">
        <v>34.0</v>
      </c>
      <c r="B36" s="35"/>
      <c r="C36" s="65"/>
      <c r="D36" s="76"/>
      <c r="E36" s="93"/>
      <c r="F36" s="76"/>
      <c r="G36" s="35"/>
      <c r="H36" s="85"/>
      <c r="I36" s="85"/>
      <c r="J36" s="87" t="str">
        <f t="shared" si="1"/>
        <v/>
      </c>
      <c r="K36" s="35"/>
      <c r="L36" s="88"/>
      <c r="M36" s="88"/>
      <c r="N36" s="87" t="str">
        <f t="shared" si="2"/>
        <v/>
      </c>
      <c r="O36" s="35"/>
      <c r="P36" s="88"/>
      <c r="Q36" s="88"/>
      <c r="R36" s="87" t="str">
        <f t="shared" si="3"/>
        <v/>
      </c>
      <c r="S36" s="90" t="str">
        <f t="shared" si="4"/>
        <v/>
      </c>
      <c r="T36" s="91" t="str">
        <f t="shared" si="5"/>
        <v/>
      </c>
      <c r="U36" s="85">
        <f t="shared" si="6"/>
        <v>0</v>
      </c>
    </row>
    <row r="37">
      <c r="A37" s="85">
        <v>35.0</v>
      </c>
      <c r="B37" s="35"/>
      <c r="C37" s="65"/>
      <c r="D37" s="76"/>
      <c r="E37" s="93"/>
      <c r="F37" s="76"/>
      <c r="G37" s="35"/>
      <c r="H37" s="85"/>
      <c r="I37" s="85"/>
      <c r="J37" s="87" t="str">
        <f t="shared" si="1"/>
        <v/>
      </c>
      <c r="K37" s="35"/>
      <c r="L37" s="88"/>
      <c r="M37" s="88"/>
      <c r="N37" s="87" t="str">
        <f t="shared" si="2"/>
        <v/>
      </c>
      <c r="O37" s="35"/>
      <c r="P37" s="88"/>
      <c r="Q37" s="88"/>
      <c r="R37" s="87" t="str">
        <f t="shared" si="3"/>
        <v/>
      </c>
      <c r="S37" s="90" t="str">
        <f t="shared" si="4"/>
        <v/>
      </c>
      <c r="T37" s="91" t="str">
        <f t="shared" si="5"/>
        <v/>
      </c>
      <c r="U37" s="85">
        <f t="shared" si="6"/>
        <v>0</v>
      </c>
    </row>
    <row r="38">
      <c r="A38" s="85">
        <v>36.0</v>
      </c>
      <c r="B38" s="35"/>
      <c r="C38" s="65"/>
      <c r="D38" s="76"/>
      <c r="E38" s="93"/>
      <c r="F38" s="76"/>
      <c r="G38" s="35"/>
      <c r="H38" s="85"/>
      <c r="I38" s="85"/>
      <c r="J38" s="87" t="str">
        <f t="shared" si="1"/>
        <v/>
      </c>
      <c r="K38" s="35"/>
      <c r="L38" s="88"/>
      <c r="M38" s="88"/>
      <c r="N38" s="87" t="str">
        <f t="shared" si="2"/>
        <v/>
      </c>
      <c r="O38" s="35"/>
      <c r="P38" s="88"/>
      <c r="Q38" s="88"/>
      <c r="R38" s="87" t="str">
        <f t="shared" si="3"/>
        <v/>
      </c>
      <c r="S38" s="90" t="str">
        <f t="shared" si="4"/>
        <v/>
      </c>
      <c r="T38" s="91" t="str">
        <f t="shared" si="5"/>
        <v/>
      </c>
      <c r="U38" s="85">
        <f t="shared" si="6"/>
        <v>0</v>
      </c>
    </row>
    <row r="39">
      <c r="A39" s="85">
        <v>37.0</v>
      </c>
      <c r="B39" s="35"/>
      <c r="C39" s="65"/>
      <c r="D39" s="76"/>
      <c r="E39" s="93"/>
      <c r="F39" s="76"/>
      <c r="G39" s="35"/>
      <c r="H39" s="85"/>
      <c r="I39" s="85"/>
      <c r="J39" s="87" t="str">
        <f t="shared" si="1"/>
        <v/>
      </c>
      <c r="K39" s="35"/>
      <c r="L39" s="88"/>
      <c r="M39" s="88"/>
      <c r="N39" s="87" t="str">
        <f t="shared" si="2"/>
        <v/>
      </c>
      <c r="O39" s="35"/>
      <c r="P39" s="88"/>
      <c r="Q39" s="88"/>
      <c r="R39" s="87" t="str">
        <f t="shared" si="3"/>
        <v/>
      </c>
      <c r="S39" s="90" t="str">
        <f t="shared" si="4"/>
        <v/>
      </c>
      <c r="T39" s="91" t="str">
        <f t="shared" si="5"/>
        <v/>
      </c>
      <c r="U39" s="85">
        <f t="shared" si="6"/>
        <v>0</v>
      </c>
    </row>
    <row r="40">
      <c r="A40" s="85">
        <v>38.0</v>
      </c>
      <c r="B40" s="35"/>
      <c r="C40" s="65"/>
      <c r="D40" s="76"/>
      <c r="E40" s="93"/>
      <c r="F40" s="76"/>
      <c r="G40" s="35"/>
      <c r="H40" s="85"/>
      <c r="I40" s="85"/>
      <c r="J40" s="87" t="str">
        <f t="shared" si="1"/>
        <v/>
      </c>
      <c r="K40" s="35"/>
      <c r="L40" s="88"/>
      <c r="M40" s="88"/>
      <c r="N40" s="87" t="str">
        <f t="shared" si="2"/>
        <v/>
      </c>
      <c r="O40" s="35"/>
      <c r="P40" s="88"/>
      <c r="Q40" s="88"/>
      <c r="R40" s="87" t="str">
        <f t="shared" si="3"/>
        <v/>
      </c>
      <c r="S40" s="90" t="str">
        <f t="shared" si="4"/>
        <v/>
      </c>
      <c r="T40" s="91" t="str">
        <f t="shared" si="5"/>
        <v/>
      </c>
      <c r="U40" s="85">
        <f t="shared" si="6"/>
        <v>0</v>
      </c>
    </row>
    <row r="41">
      <c r="A41" s="85">
        <v>39.0</v>
      </c>
      <c r="B41" s="35"/>
      <c r="C41" s="65"/>
      <c r="D41" s="76"/>
      <c r="E41" s="93"/>
      <c r="F41" s="76"/>
      <c r="G41" s="35"/>
      <c r="H41" s="85"/>
      <c r="I41" s="85"/>
      <c r="J41" s="87" t="str">
        <f t="shared" si="1"/>
        <v/>
      </c>
      <c r="K41" s="35"/>
      <c r="L41" s="88"/>
      <c r="M41" s="88"/>
      <c r="N41" s="87" t="str">
        <f t="shared" si="2"/>
        <v/>
      </c>
      <c r="O41" s="35"/>
      <c r="P41" s="88"/>
      <c r="Q41" s="88"/>
      <c r="R41" s="87" t="str">
        <f t="shared" si="3"/>
        <v/>
      </c>
      <c r="S41" s="90" t="str">
        <f t="shared" si="4"/>
        <v/>
      </c>
      <c r="T41" s="91" t="str">
        <f t="shared" si="5"/>
        <v/>
      </c>
      <c r="U41" s="85">
        <f t="shared" si="6"/>
        <v>0</v>
      </c>
    </row>
    <row r="42">
      <c r="A42" s="85">
        <v>40.0</v>
      </c>
      <c r="B42" s="35"/>
      <c r="C42" s="65"/>
      <c r="D42" s="76"/>
      <c r="E42" s="93"/>
      <c r="F42" s="76"/>
      <c r="G42" s="35"/>
      <c r="H42" s="85"/>
      <c r="I42" s="85"/>
      <c r="J42" s="87" t="str">
        <f t="shared" si="1"/>
        <v/>
      </c>
      <c r="K42" s="35"/>
      <c r="L42" s="88"/>
      <c r="M42" s="88"/>
      <c r="N42" s="87" t="str">
        <f t="shared" si="2"/>
        <v/>
      </c>
      <c r="O42" s="35"/>
      <c r="P42" s="88"/>
      <c r="Q42" s="88"/>
      <c r="R42" s="87" t="str">
        <f t="shared" si="3"/>
        <v/>
      </c>
      <c r="S42" s="90" t="str">
        <f t="shared" si="4"/>
        <v/>
      </c>
      <c r="T42" s="91" t="str">
        <f t="shared" si="5"/>
        <v/>
      </c>
      <c r="U42" s="85">
        <f t="shared" si="6"/>
        <v>0</v>
      </c>
    </row>
    <row r="43">
      <c r="A43" s="85">
        <v>41.0</v>
      </c>
      <c r="B43" s="35"/>
      <c r="C43" s="65"/>
      <c r="D43" s="76"/>
      <c r="E43" s="93"/>
      <c r="F43" s="76"/>
      <c r="G43" s="35"/>
      <c r="H43" s="85"/>
      <c r="I43" s="85"/>
      <c r="J43" s="87" t="str">
        <f t="shared" si="1"/>
        <v/>
      </c>
      <c r="K43" s="35"/>
      <c r="L43" s="88"/>
      <c r="M43" s="88"/>
      <c r="N43" s="87" t="str">
        <f t="shared" si="2"/>
        <v/>
      </c>
      <c r="O43" s="35"/>
      <c r="P43" s="88"/>
      <c r="Q43" s="88"/>
      <c r="R43" s="87" t="str">
        <f t="shared" si="3"/>
        <v/>
      </c>
      <c r="S43" s="90" t="str">
        <f t="shared" si="4"/>
        <v/>
      </c>
      <c r="T43" s="91" t="str">
        <f t="shared" si="5"/>
        <v/>
      </c>
      <c r="U43" s="85">
        <f t="shared" si="6"/>
        <v>0</v>
      </c>
    </row>
    <row r="44">
      <c r="A44" s="85">
        <v>42.0</v>
      </c>
      <c r="B44" s="35"/>
      <c r="C44" s="65"/>
      <c r="D44" s="76"/>
      <c r="E44" s="93"/>
      <c r="F44" s="76"/>
      <c r="G44" s="35"/>
      <c r="H44" s="85"/>
      <c r="I44" s="85"/>
      <c r="J44" s="87" t="str">
        <f t="shared" si="1"/>
        <v/>
      </c>
      <c r="K44" s="35"/>
      <c r="L44" s="88"/>
      <c r="M44" s="88"/>
      <c r="N44" s="87" t="str">
        <f t="shared" si="2"/>
        <v/>
      </c>
      <c r="O44" s="35"/>
      <c r="P44" s="88"/>
      <c r="Q44" s="88"/>
      <c r="R44" s="87" t="str">
        <f t="shared" si="3"/>
        <v/>
      </c>
      <c r="S44" s="90" t="str">
        <f t="shared" si="4"/>
        <v/>
      </c>
      <c r="T44" s="91" t="str">
        <f t="shared" si="5"/>
        <v/>
      </c>
      <c r="U44" s="85">
        <f t="shared" si="6"/>
        <v>0</v>
      </c>
    </row>
    <row r="45">
      <c r="A45" s="85">
        <v>43.0</v>
      </c>
      <c r="B45" s="35"/>
      <c r="C45" s="65"/>
      <c r="D45" s="76"/>
      <c r="E45" s="93"/>
      <c r="F45" s="76"/>
      <c r="G45" s="35"/>
      <c r="H45" s="85"/>
      <c r="I45" s="85"/>
      <c r="J45" s="87" t="str">
        <f t="shared" si="1"/>
        <v/>
      </c>
      <c r="K45" s="35"/>
      <c r="L45" s="88"/>
      <c r="M45" s="88"/>
      <c r="N45" s="87" t="str">
        <f t="shared" si="2"/>
        <v/>
      </c>
      <c r="O45" s="35"/>
      <c r="P45" s="88"/>
      <c r="Q45" s="88"/>
      <c r="R45" s="87" t="str">
        <f t="shared" si="3"/>
        <v/>
      </c>
      <c r="S45" s="90" t="str">
        <f t="shared" si="4"/>
        <v/>
      </c>
      <c r="T45" s="91" t="str">
        <f t="shared" si="5"/>
        <v/>
      </c>
      <c r="U45" s="85">
        <f t="shared" si="6"/>
        <v>0</v>
      </c>
    </row>
    <row r="46">
      <c r="A46" s="85">
        <v>44.0</v>
      </c>
      <c r="B46" s="35"/>
      <c r="C46" s="65"/>
      <c r="D46" s="76"/>
      <c r="E46" s="93"/>
      <c r="F46" s="76"/>
      <c r="G46" s="35"/>
      <c r="H46" s="85"/>
      <c r="I46" s="85"/>
      <c r="J46" s="87" t="str">
        <f t="shared" si="1"/>
        <v/>
      </c>
      <c r="K46" s="35"/>
      <c r="L46" s="88"/>
      <c r="M46" s="88"/>
      <c r="N46" s="87" t="str">
        <f t="shared" si="2"/>
        <v/>
      </c>
      <c r="O46" s="35"/>
      <c r="P46" s="88"/>
      <c r="Q46" s="88"/>
      <c r="R46" s="87" t="str">
        <f t="shared" si="3"/>
        <v/>
      </c>
      <c r="S46" s="90" t="str">
        <f t="shared" si="4"/>
        <v/>
      </c>
      <c r="T46" s="91" t="str">
        <f t="shared" si="5"/>
        <v/>
      </c>
      <c r="U46" s="85">
        <f t="shared" si="6"/>
        <v>0</v>
      </c>
    </row>
    <row r="47">
      <c r="A47" s="85">
        <v>45.0</v>
      </c>
      <c r="B47" s="35"/>
      <c r="C47" s="65"/>
      <c r="D47" s="76"/>
      <c r="E47" s="93"/>
      <c r="F47" s="76"/>
      <c r="G47" s="35"/>
      <c r="H47" s="85"/>
      <c r="I47" s="85"/>
      <c r="J47" s="87" t="str">
        <f t="shared" si="1"/>
        <v/>
      </c>
      <c r="K47" s="35"/>
      <c r="L47" s="88"/>
      <c r="M47" s="88"/>
      <c r="N47" s="87" t="str">
        <f t="shared" si="2"/>
        <v/>
      </c>
      <c r="O47" s="35"/>
      <c r="P47" s="88"/>
      <c r="Q47" s="88"/>
      <c r="R47" s="87" t="str">
        <f t="shared" si="3"/>
        <v/>
      </c>
      <c r="S47" s="90" t="str">
        <f t="shared" si="4"/>
        <v/>
      </c>
      <c r="T47" s="91" t="str">
        <f t="shared" si="5"/>
        <v/>
      </c>
      <c r="U47" s="85">
        <f t="shared" si="6"/>
        <v>0</v>
      </c>
    </row>
    <row r="48">
      <c r="A48" s="85">
        <v>46.0</v>
      </c>
      <c r="B48" s="35"/>
      <c r="C48" s="65"/>
      <c r="D48" s="76"/>
      <c r="E48" s="93"/>
      <c r="F48" s="76"/>
      <c r="G48" s="35"/>
      <c r="H48" s="85"/>
      <c r="I48" s="85"/>
      <c r="J48" s="87" t="str">
        <f t="shared" si="1"/>
        <v/>
      </c>
      <c r="K48" s="35"/>
      <c r="L48" s="88"/>
      <c r="M48" s="88"/>
      <c r="N48" s="87" t="str">
        <f t="shared" si="2"/>
        <v/>
      </c>
      <c r="O48" s="35"/>
      <c r="P48" s="88"/>
      <c r="Q48" s="88"/>
      <c r="R48" s="87" t="str">
        <f t="shared" si="3"/>
        <v/>
      </c>
      <c r="S48" s="90" t="str">
        <f t="shared" si="4"/>
        <v/>
      </c>
      <c r="T48" s="91" t="str">
        <f t="shared" si="5"/>
        <v/>
      </c>
      <c r="U48" s="85">
        <f t="shared" si="6"/>
        <v>0</v>
      </c>
    </row>
    <row r="49">
      <c r="A49" s="85">
        <v>47.0</v>
      </c>
      <c r="B49" s="35"/>
      <c r="C49" s="65"/>
      <c r="D49" s="76"/>
      <c r="E49" s="93"/>
      <c r="F49" s="76"/>
      <c r="G49" s="35"/>
      <c r="H49" s="85"/>
      <c r="I49" s="85"/>
      <c r="J49" s="87" t="str">
        <f t="shared" si="1"/>
        <v/>
      </c>
      <c r="K49" s="35"/>
      <c r="L49" s="88"/>
      <c r="M49" s="88"/>
      <c r="N49" s="87" t="str">
        <f t="shared" si="2"/>
        <v/>
      </c>
      <c r="O49" s="35"/>
      <c r="P49" s="88"/>
      <c r="Q49" s="88"/>
      <c r="R49" s="87" t="str">
        <f t="shared" si="3"/>
        <v/>
      </c>
      <c r="S49" s="90" t="str">
        <f t="shared" si="4"/>
        <v/>
      </c>
      <c r="T49" s="91" t="str">
        <f t="shared" si="5"/>
        <v/>
      </c>
      <c r="U49" s="85">
        <f t="shared" si="6"/>
        <v>0</v>
      </c>
    </row>
    <row r="50">
      <c r="A50" s="85">
        <v>48.0</v>
      </c>
      <c r="B50" s="35"/>
      <c r="C50" s="65"/>
      <c r="D50" s="76"/>
      <c r="E50" s="93"/>
      <c r="F50" s="76"/>
      <c r="G50" s="35"/>
      <c r="H50" s="85"/>
      <c r="I50" s="85"/>
      <c r="J50" s="87" t="str">
        <f t="shared" si="1"/>
        <v/>
      </c>
      <c r="K50" s="35"/>
      <c r="L50" s="88"/>
      <c r="M50" s="88"/>
      <c r="N50" s="87" t="str">
        <f t="shared" si="2"/>
        <v/>
      </c>
      <c r="O50" s="35"/>
      <c r="P50" s="88"/>
      <c r="Q50" s="88"/>
      <c r="R50" s="87" t="str">
        <f t="shared" si="3"/>
        <v/>
      </c>
      <c r="S50" s="90" t="str">
        <f t="shared" si="4"/>
        <v/>
      </c>
      <c r="T50" s="91" t="str">
        <f t="shared" si="5"/>
        <v/>
      </c>
      <c r="U50" s="85">
        <f t="shared" si="6"/>
        <v>0</v>
      </c>
    </row>
    <row r="51">
      <c r="A51" s="85">
        <v>49.0</v>
      </c>
      <c r="B51" s="35"/>
      <c r="C51" s="65"/>
      <c r="D51" s="76"/>
      <c r="E51" s="93"/>
      <c r="F51" s="76"/>
      <c r="G51" s="35"/>
      <c r="H51" s="85"/>
      <c r="I51" s="85"/>
      <c r="J51" s="87" t="str">
        <f t="shared" si="1"/>
        <v/>
      </c>
      <c r="K51" s="35"/>
      <c r="L51" s="88"/>
      <c r="M51" s="88"/>
      <c r="N51" s="87" t="str">
        <f t="shared" si="2"/>
        <v/>
      </c>
      <c r="O51" s="35"/>
      <c r="P51" s="88"/>
      <c r="Q51" s="88"/>
      <c r="R51" s="87" t="str">
        <f t="shared" si="3"/>
        <v/>
      </c>
      <c r="S51" s="90" t="str">
        <f t="shared" si="4"/>
        <v/>
      </c>
      <c r="T51" s="91" t="str">
        <f t="shared" si="5"/>
        <v/>
      </c>
      <c r="U51" s="85">
        <f t="shared" si="6"/>
        <v>0</v>
      </c>
    </row>
    <row r="52">
      <c r="A52" s="85">
        <v>50.0</v>
      </c>
      <c r="B52" s="35"/>
      <c r="C52" s="65"/>
      <c r="D52" s="76"/>
      <c r="E52" s="93"/>
      <c r="F52" s="76"/>
      <c r="G52" s="35"/>
      <c r="H52" s="85"/>
      <c r="I52" s="85"/>
      <c r="J52" s="87" t="str">
        <f t="shared" si="1"/>
        <v/>
      </c>
      <c r="K52" s="35"/>
      <c r="L52" s="88"/>
      <c r="M52" s="88"/>
      <c r="N52" s="87" t="str">
        <f t="shared" si="2"/>
        <v/>
      </c>
      <c r="O52" s="35"/>
      <c r="P52" s="88"/>
      <c r="Q52" s="88"/>
      <c r="R52" s="87" t="str">
        <f t="shared" si="3"/>
        <v/>
      </c>
      <c r="S52" s="90" t="str">
        <f t="shared" si="4"/>
        <v/>
      </c>
      <c r="T52" s="91" t="str">
        <f t="shared" si="5"/>
        <v/>
      </c>
      <c r="U52" s="85">
        <f t="shared" si="6"/>
        <v>0</v>
      </c>
    </row>
    <row r="53">
      <c r="A53" s="85">
        <v>51.0</v>
      </c>
      <c r="B53" s="35"/>
      <c r="C53" s="65"/>
      <c r="D53" s="76"/>
      <c r="E53" s="93"/>
      <c r="F53" s="76"/>
      <c r="G53" s="35"/>
      <c r="H53" s="85"/>
      <c r="I53" s="85"/>
      <c r="J53" s="87" t="str">
        <f t="shared" si="1"/>
        <v/>
      </c>
      <c r="K53" s="35"/>
      <c r="L53" s="88"/>
      <c r="M53" s="88"/>
      <c r="N53" s="87" t="str">
        <f t="shared" si="2"/>
        <v/>
      </c>
      <c r="O53" s="35"/>
      <c r="P53" s="88"/>
      <c r="Q53" s="88"/>
      <c r="R53" s="87" t="str">
        <f t="shared" si="3"/>
        <v/>
      </c>
      <c r="S53" s="90" t="str">
        <f t="shared" si="4"/>
        <v/>
      </c>
      <c r="T53" s="91" t="str">
        <f t="shared" si="5"/>
        <v/>
      </c>
      <c r="U53" s="85">
        <f t="shared" si="6"/>
        <v>0</v>
      </c>
    </row>
    <row r="54">
      <c r="A54" s="85">
        <v>52.0</v>
      </c>
      <c r="B54" s="35"/>
      <c r="C54" s="65"/>
      <c r="D54" s="76"/>
      <c r="E54" s="93"/>
      <c r="F54" s="76"/>
      <c r="G54" s="35"/>
      <c r="H54" s="85"/>
      <c r="I54" s="85"/>
      <c r="J54" s="87" t="str">
        <f t="shared" si="1"/>
        <v/>
      </c>
      <c r="K54" s="35"/>
      <c r="L54" s="88"/>
      <c r="M54" s="88"/>
      <c r="N54" s="87" t="str">
        <f t="shared" si="2"/>
        <v/>
      </c>
      <c r="O54" s="35"/>
      <c r="P54" s="88"/>
      <c r="Q54" s="88"/>
      <c r="R54" s="87" t="str">
        <f t="shared" si="3"/>
        <v/>
      </c>
      <c r="S54" s="90" t="str">
        <f t="shared" si="4"/>
        <v/>
      </c>
      <c r="T54" s="91" t="str">
        <f t="shared" si="5"/>
        <v/>
      </c>
      <c r="U54" s="85">
        <f t="shared" si="6"/>
        <v>0</v>
      </c>
    </row>
    <row r="55">
      <c r="A55" s="85">
        <v>53.0</v>
      </c>
      <c r="B55" s="35"/>
      <c r="C55" s="65"/>
      <c r="D55" s="76"/>
      <c r="E55" s="93"/>
      <c r="F55" s="76"/>
      <c r="G55" s="35"/>
      <c r="H55" s="85"/>
      <c r="I55" s="85"/>
      <c r="J55" s="87" t="str">
        <f t="shared" si="1"/>
        <v/>
      </c>
      <c r="K55" s="35"/>
      <c r="L55" s="88"/>
      <c r="M55" s="88"/>
      <c r="N55" s="87" t="str">
        <f t="shared" si="2"/>
        <v/>
      </c>
      <c r="O55" s="35"/>
      <c r="P55" s="88"/>
      <c r="Q55" s="88"/>
      <c r="R55" s="87" t="str">
        <f t="shared" si="3"/>
        <v/>
      </c>
      <c r="S55" s="90" t="str">
        <f t="shared" si="4"/>
        <v/>
      </c>
      <c r="T55" s="91" t="str">
        <f t="shared" si="5"/>
        <v/>
      </c>
      <c r="U55" s="85">
        <f t="shared" si="6"/>
        <v>0</v>
      </c>
    </row>
    <row r="56">
      <c r="A56" s="85">
        <v>54.0</v>
      </c>
      <c r="B56" s="35"/>
      <c r="C56" s="65"/>
      <c r="D56" s="76"/>
      <c r="E56" s="93"/>
      <c r="F56" s="76"/>
      <c r="G56" s="35"/>
      <c r="H56" s="85"/>
      <c r="I56" s="85"/>
      <c r="J56" s="87" t="str">
        <f t="shared" si="1"/>
        <v/>
      </c>
      <c r="K56" s="35"/>
      <c r="L56" s="88"/>
      <c r="M56" s="88"/>
      <c r="N56" s="87" t="str">
        <f t="shared" si="2"/>
        <v/>
      </c>
      <c r="O56" s="35"/>
      <c r="P56" s="88"/>
      <c r="Q56" s="88"/>
      <c r="R56" s="87" t="str">
        <f t="shared" si="3"/>
        <v/>
      </c>
      <c r="S56" s="90" t="str">
        <f t="shared" si="4"/>
        <v/>
      </c>
      <c r="T56" s="91" t="str">
        <f t="shared" si="5"/>
        <v/>
      </c>
      <c r="U56" s="85">
        <f t="shared" si="6"/>
        <v>0</v>
      </c>
    </row>
    <row r="57">
      <c r="A57" s="85">
        <v>55.0</v>
      </c>
      <c r="B57" s="35"/>
      <c r="C57" s="65"/>
      <c r="D57" s="76"/>
      <c r="E57" s="93"/>
      <c r="F57" s="76"/>
      <c r="G57" s="35"/>
      <c r="H57" s="85"/>
      <c r="I57" s="85"/>
      <c r="J57" s="87" t="str">
        <f t="shared" si="1"/>
        <v/>
      </c>
      <c r="K57" s="35"/>
      <c r="L57" s="88"/>
      <c r="M57" s="88"/>
      <c r="N57" s="87" t="str">
        <f t="shared" si="2"/>
        <v/>
      </c>
      <c r="O57" s="35"/>
      <c r="P57" s="88"/>
      <c r="Q57" s="88"/>
      <c r="R57" s="87" t="str">
        <f t="shared" si="3"/>
        <v/>
      </c>
      <c r="S57" s="90" t="str">
        <f t="shared" si="4"/>
        <v/>
      </c>
      <c r="T57" s="91" t="str">
        <f t="shared" si="5"/>
        <v/>
      </c>
      <c r="U57" s="85">
        <f t="shared" si="6"/>
        <v>0</v>
      </c>
    </row>
    <row r="58">
      <c r="A58" s="85">
        <v>56.0</v>
      </c>
      <c r="B58" s="35"/>
      <c r="C58" s="65"/>
      <c r="D58" s="76"/>
      <c r="E58" s="93"/>
      <c r="F58" s="76"/>
      <c r="G58" s="35"/>
      <c r="H58" s="85"/>
      <c r="I58" s="85"/>
      <c r="J58" s="87" t="str">
        <f t="shared" si="1"/>
        <v/>
      </c>
      <c r="K58" s="35"/>
      <c r="L58" s="88"/>
      <c r="M58" s="88"/>
      <c r="N58" s="87" t="str">
        <f t="shared" si="2"/>
        <v/>
      </c>
      <c r="O58" s="35"/>
      <c r="P58" s="88"/>
      <c r="Q58" s="88"/>
      <c r="R58" s="87" t="str">
        <f t="shared" si="3"/>
        <v/>
      </c>
      <c r="S58" s="90" t="str">
        <f t="shared" si="4"/>
        <v/>
      </c>
      <c r="T58" s="91" t="str">
        <f t="shared" si="5"/>
        <v/>
      </c>
      <c r="U58" s="85">
        <f t="shared" si="6"/>
        <v>0</v>
      </c>
    </row>
    <row r="59">
      <c r="A59" s="85">
        <v>57.0</v>
      </c>
      <c r="B59" s="35"/>
      <c r="C59" s="65"/>
      <c r="D59" s="76"/>
      <c r="E59" s="93"/>
      <c r="F59" s="76"/>
      <c r="G59" s="35"/>
      <c r="H59" s="85"/>
      <c r="I59" s="85"/>
      <c r="J59" s="87" t="str">
        <f t="shared" si="1"/>
        <v/>
      </c>
      <c r="K59" s="35"/>
      <c r="L59" s="88"/>
      <c r="M59" s="88"/>
      <c r="N59" s="87" t="str">
        <f t="shared" si="2"/>
        <v/>
      </c>
      <c r="O59" s="35"/>
      <c r="P59" s="88"/>
      <c r="Q59" s="88"/>
      <c r="R59" s="87" t="str">
        <f t="shared" si="3"/>
        <v/>
      </c>
      <c r="S59" s="90" t="str">
        <f t="shared" si="4"/>
        <v/>
      </c>
      <c r="T59" s="91" t="str">
        <f t="shared" si="5"/>
        <v/>
      </c>
      <c r="U59" s="85">
        <f t="shared" si="6"/>
        <v>0</v>
      </c>
    </row>
    <row r="60">
      <c r="A60" s="85">
        <v>58.0</v>
      </c>
      <c r="B60" s="35"/>
      <c r="C60" s="65"/>
      <c r="D60" s="76"/>
      <c r="E60" s="93"/>
      <c r="F60" s="76"/>
      <c r="G60" s="35"/>
      <c r="H60" s="85"/>
      <c r="I60" s="85"/>
      <c r="J60" s="87" t="str">
        <f t="shared" si="1"/>
        <v/>
      </c>
      <c r="K60" s="35"/>
      <c r="L60" s="88"/>
      <c r="M60" s="88"/>
      <c r="N60" s="87" t="str">
        <f t="shared" si="2"/>
        <v/>
      </c>
      <c r="O60" s="35"/>
      <c r="P60" s="88"/>
      <c r="Q60" s="88"/>
      <c r="R60" s="87" t="str">
        <f t="shared" si="3"/>
        <v/>
      </c>
      <c r="S60" s="90" t="str">
        <f t="shared" si="4"/>
        <v/>
      </c>
      <c r="T60" s="91" t="str">
        <f t="shared" si="5"/>
        <v/>
      </c>
      <c r="U60" s="85">
        <f t="shared" si="6"/>
        <v>0</v>
      </c>
    </row>
    <row r="61">
      <c r="A61" s="85">
        <v>59.0</v>
      </c>
      <c r="B61" s="35"/>
      <c r="C61" s="65"/>
      <c r="D61" s="76"/>
      <c r="E61" s="93"/>
      <c r="F61" s="76"/>
      <c r="G61" s="35"/>
      <c r="H61" s="85"/>
      <c r="I61" s="85"/>
      <c r="J61" s="87" t="str">
        <f t="shared" si="1"/>
        <v/>
      </c>
      <c r="K61" s="35"/>
      <c r="L61" s="88"/>
      <c r="M61" s="88"/>
      <c r="N61" s="87" t="str">
        <f t="shared" si="2"/>
        <v/>
      </c>
      <c r="O61" s="35"/>
      <c r="P61" s="88"/>
      <c r="Q61" s="88"/>
      <c r="R61" s="87" t="str">
        <f t="shared" si="3"/>
        <v/>
      </c>
      <c r="S61" s="90" t="str">
        <f t="shared" si="4"/>
        <v/>
      </c>
      <c r="T61" s="91" t="str">
        <f t="shared" si="5"/>
        <v/>
      </c>
      <c r="U61" s="85">
        <f t="shared" si="6"/>
        <v>0</v>
      </c>
    </row>
    <row r="62">
      <c r="A62" s="85">
        <v>60.0</v>
      </c>
      <c r="B62" s="35"/>
      <c r="C62" s="65"/>
      <c r="D62" s="76"/>
      <c r="E62" s="93"/>
      <c r="F62" s="76"/>
      <c r="G62" s="35"/>
      <c r="H62" s="85"/>
      <c r="I62" s="85"/>
      <c r="J62" s="87" t="str">
        <f t="shared" si="1"/>
        <v/>
      </c>
      <c r="K62" s="35"/>
      <c r="L62" s="88"/>
      <c r="M62" s="88"/>
      <c r="N62" s="87" t="str">
        <f t="shared" si="2"/>
        <v/>
      </c>
      <c r="O62" s="35"/>
      <c r="P62" s="88"/>
      <c r="Q62" s="88"/>
      <c r="R62" s="87" t="str">
        <f t="shared" si="3"/>
        <v/>
      </c>
      <c r="S62" s="90" t="str">
        <f t="shared" si="4"/>
        <v/>
      </c>
      <c r="T62" s="91" t="str">
        <f t="shared" si="5"/>
        <v/>
      </c>
      <c r="U62" s="85">
        <f t="shared" si="6"/>
        <v>0</v>
      </c>
    </row>
    <row r="63">
      <c r="A63" s="85">
        <v>61.0</v>
      </c>
      <c r="B63" s="35"/>
      <c r="C63" s="65"/>
      <c r="D63" s="76"/>
      <c r="E63" s="93"/>
      <c r="F63" s="76"/>
      <c r="G63" s="35"/>
      <c r="H63" s="85"/>
      <c r="I63" s="85"/>
      <c r="J63" s="87" t="str">
        <f t="shared" si="1"/>
        <v/>
      </c>
      <c r="K63" s="35"/>
      <c r="L63" s="88"/>
      <c r="M63" s="88"/>
      <c r="N63" s="87" t="str">
        <f t="shared" si="2"/>
        <v/>
      </c>
      <c r="O63" s="35"/>
      <c r="P63" s="88"/>
      <c r="Q63" s="88"/>
      <c r="R63" s="87" t="str">
        <f t="shared" si="3"/>
        <v/>
      </c>
      <c r="S63" s="90" t="str">
        <f t="shared" si="4"/>
        <v/>
      </c>
      <c r="T63" s="91" t="str">
        <f t="shared" si="5"/>
        <v/>
      </c>
      <c r="U63" s="85">
        <f t="shared" si="6"/>
        <v>0</v>
      </c>
    </row>
    <row r="64">
      <c r="A64" s="85">
        <v>62.0</v>
      </c>
      <c r="B64" s="35"/>
      <c r="C64" s="65"/>
      <c r="D64" s="76"/>
      <c r="E64" s="93"/>
      <c r="F64" s="76"/>
      <c r="G64" s="35"/>
      <c r="H64" s="85"/>
      <c r="I64" s="85"/>
      <c r="J64" s="87" t="str">
        <f t="shared" si="1"/>
        <v/>
      </c>
      <c r="K64" s="35"/>
      <c r="L64" s="88"/>
      <c r="M64" s="88"/>
      <c r="N64" s="87" t="str">
        <f t="shared" si="2"/>
        <v/>
      </c>
      <c r="O64" s="35"/>
      <c r="P64" s="88"/>
      <c r="Q64" s="88"/>
      <c r="R64" s="87" t="str">
        <f t="shared" si="3"/>
        <v/>
      </c>
      <c r="S64" s="90" t="str">
        <f t="shared" si="4"/>
        <v/>
      </c>
      <c r="T64" s="91" t="str">
        <f t="shared" si="5"/>
        <v/>
      </c>
      <c r="U64" s="85">
        <f t="shared" si="6"/>
        <v>0</v>
      </c>
    </row>
    <row r="65">
      <c r="A65" s="85">
        <v>63.0</v>
      </c>
      <c r="B65" s="35"/>
      <c r="C65" s="65"/>
      <c r="D65" s="76"/>
      <c r="E65" s="93"/>
      <c r="F65" s="76"/>
      <c r="G65" s="35"/>
      <c r="H65" s="85"/>
      <c r="I65" s="85"/>
      <c r="J65" s="87" t="str">
        <f t="shared" si="1"/>
        <v/>
      </c>
      <c r="K65" s="35"/>
      <c r="L65" s="88"/>
      <c r="M65" s="88"/>
      <c r="N65" s="87" t="str">
        <f t="shared" si="2"/>
        <v/>
      </c>
      <c r="O65" s="35"/>
      <c r="P65" s="88"/>
      <c r="Q65" s="88"/>
      <c r="R65" s="87" t="str">
        <f t="shared" si="3"/>
        <v/>
      </c>
      <c r="S65" s="90" t="str">
        <f t="shared" si="4"/>
        <v/>
      </c>
      <c r="T65" s="91" t="str">
        <f t="shared" si="5"/>
        <v/>
      </c>
      <c r="U65" s="85">
        <f t="shared" si="6"/>
        <v>0</v>
      </c>
    </row>
    <row r="66">
      <c r="A66" s="85">
        <v>64.0</v>
      </c>
      <c r="B66" s="35"/>
      <c r="C66" s="65"/>
      <c r="D66" s="76"/>
      <c r="E66" s="93"/>
      <c r="F66" s="76"/>
      <c r="G66" s="35"/>
      <c r="H66" s="85"/>
      <c r="I66" s="85"/>
      <c r="J66" s="87" t="str">
        <f t="shared" si="1"/>
        <v/>
      </c>
      <c r="K66" s="35"/>
      <c r="L66" s="88"/>
      <c r="M66" s="88"/>
      <c r="N66" s="87" t="str">
        <f t="shared" si="2"/>
        <v/>
      </c>
      <c r="O66" s="35"/>
      <c r="P66" s="88"/>
      <c r="Q66" s="88"/>
      <c r="R66" s="87" t="str">
        <f t="shared" si="3"/>
        <v/>
      </c>
      <c r="S66" s="90" t="str">
        <f t="shared" si="4"/>
        <v/>
      </c>
      <c r="T66" s="91" t="str">
        <f t="shared" si="5"/>
        <v/>
      </c>
      <c r="U66" s="85">
        <f t="shared" si="6"/>
        <v>0</v>
      </c>
    </row>
    <row r="67">
      <c r="A67" s="85">
        <v>65.0</v>
      </c>
      <c r="B67" s="35"/>
      <c r="C67" s="65"/>
      <c r="D67" s="76"/>
      <c r="E67" s="93"/>
      <c r="F67" s="76"/>
      <c r="G67" s="35"/>
      <c r="H67" s="85"/>
      <c r="I67" s="85"/>
      <c r="J67" s="87" t="str">
        <f t="shared" si="1"/>
        <v/>
      </c>
      <c r="K67" s="35"/>
      <c r="L67" s="88"/>
      <c r="M67" s="88"/>
      <c r="N67" s="87" t="str">
        <f t="shared" si="2"/>
        <v/>
      </c>
      <c r="O67" s="35"/>
      <c r="P67" s="88"/>
      <c r="Q67" s="88"/>
      <c r="R67" s="87" t="str">
        <f t="shared" si="3"/>
        <v/>
      </c>
      <c r="S67" s="90" t="str">
        <f t="shared" si="4"/>
        <v/>
      </c>
      <c r="T67" s="91" t="str">
        <f t="shared" si="5"/>
        <v/>
      </c>
      <c r="U67" s="85">
        <f t="shared" si="6"/>
        <v>0</v>
      </c>
    </row>
    <row r="68">
      <c r="A68" s="85">
        <v>66.0</v>
      </c>
      <c r="B68" s="35"/>
      <c r="C68" s="65"/>
      <c r="D68" s="76"/>
      <c r="E68" s="93"/>
      <c r="F68" s="76"/>
      <c r="G68" s="35"/>
      <c r="H68" s="85"/>
      <c r="I68" s="85"/>
      <c r="J68" s="87" t="str">
        <f t="shared" si="1"/>
        <v/>
      </c>
      <c r="K68" s="35"/>
      <c r="L68" s="88"/>
      <c r="M68" s="88"/>
      <c r="N68" s="87" t="str">
        <f t="shared" si="2"/>
        <v/>
      </c>
      <c r="O68" s="35"/>
      <c r="P68" s="88"/>
      <c r="Q68" s="88"/>
      <c r="R68" s="87" t="str">
        <f t="shared" si="3"/>
        <v/>
      </c>
      <c r="S68" s="90" t="str">
        <f t="shared" si="4"/>
        <v/>
      </c>
      <c r="T68" s="91" t="str">
        <f t="shared" si="5"/>
        <v/>
      </c>
      <c r="U68" s="85">
        <f t="shared" si="6"/>
        <v>0</v>
      </c>
    </row>
    <row r="69">
      <c r="A69" s="85">
        <v>67.0</v>
      </c>
      <c r="B69" s="35"/>
      <c r="C69" s="65"/>
      <c r="D69" s="76"/>
      <c r="E69" s="93"/>
      <c r="F69" s="76"/>
      <c r="G69" s="35"/>
      <c r="H69" s="85"/>
      <c r="I69" s="85"/>
      <c r="J69" s="87" t="str">
        <f t="shared" si="1"/>
        <v/>
      </c>
      <c r="K69" s="35"/>
      <c r="L69" s="88"/>
      <c r="M69" s="88"/>
      <c r="N69" s="87" t="str">
        <f t="shared" si="2"/>
        <v/>
      </c>
      <c r="O69" s="35"/>
      <c r="P69" s="88"/>
      <c r="Q69" s="88"/>
      <c r="R69" s="87" t="str">
        <f t="shared" si="3"/>
        <v/>
      </c>
      <c r="S69" s="90" t="str">
        <f t="shared" si="4"/>
        <v/>
      </c>
      <c r="T69" s="91" t="str">
        <f t="shared" si="5"/>
        <v/>
      </c>
      <c r="U69" s="85">
        <f t="shared" si="6"/>
        <v>0</v>
      </c>
    </row>
    <row r="70">
      <c r="A70" s="85">
        <v>68.0</v>
      </c>
      <c r="B70" s="35"/>
      <c r="C70" s="65"/>
      <c r="D70" s="76"/>
      <c r="E70" s="93"/>
      <c r="F70" s="76"/>
      <c r="G70" s="35"/>
      <c r="H70" s="85"/>
      <c r="I70" s="85"/>
      <c r="J70" s="87" t="str">
        <f t="shared" si="1"/>
        <v/>
      </c>
      <c r="K70" s="35"/>
      <c r="L70" s="88"/>
      <c r="M70" s="88"/>
      <c r="N70" s="87" t="str">
        <f t="shared" si="2"/>
        <v/>
      </c>
      <c r="O70" s="35"/>
      <c r="P70" s="88"/>
      <c r="Q70" s="88"/>
      <c r="R70" s="87" t="str">
        <f t="shared" si="3"/>
        <v/>
      </c>
      <c r="S70" s="90" t="str">
        <f t="shared" si="4"/>
        <v/>
      </c>
      <c r="T70" s="91" t="str">
        <f t="shared" si="5"/>
        <v/>
      </c>
      <c r="U70" s="85">
        <f t="shared" si="6"/>
        <v>0</v>
      </c>
    </row>
    <row r="71">
      <c r="A71" s="85">
        <v>69.0</v>
      </c>
      <c r="B71" s="35"/>
      <c r="C71" s="65"/>
      <c r="D71" s="76"/>
      <c r="E71" s="93"/>
      <c r="F71" s="76"/>
      <c r="G71" s="35"/>
      <c r="H71" s="85"/>
      <c r="I71" s="85"/>
      <c r="J71" s="87" t="str">
        <f t="shared" si="1"/>
        <v/>
      </c>
      <c r="K71" s="35"/>
      <c r="L71" s="88"/>
      <c r="M71" s="88"/>
      <c r="N71" s="87" t="str">
        <f t="shared" si="2"/>
        <v/>
      </c>
      <c r="O71" s="35"/>
      <c r="P71" s="88"/>
      <c r="Q71" s="88"/>
      <c r="R71" s="87" t="str">
        <f t="shared" si="3"/>
        <v/>
      </c>
      <c r="S71" s="90" t="str">
        <f t="shared" si="4"/>
        <v/>
      </c>
      <c r="T71" s="91" t="str">
        <f t="shared" si="5"/>
        <v/>
      </c>
      <c r="U71" s="85">
        <f t="shared" si="6"/>
        <v>0</v>
      </c>
    </row>
    <row r="72">
      <c r="A72" s="85">
        <v>70.0</v>
      </c>
      <c r="B72" s="35"/>
      <c r="C72" s="65"/>
      <c r="D72" s="76"/>
      <c r="E72" s="93"/>
      <c r="F72" s="76"/>
      <c r="G72" s="35"/>
      <c r="H72" s="85"/>
      <c r="I72" s="85"/>
      <c r="J72" s="87" t="str">
        <f t="shared" si="1"/>
        <v/>
      </c>
      <c r="K72" s="35"/>
      <c r="L72" s="88"/>
      <c r="M72" s="88"/>
      <c r="N72" s="87" t="str">
        <f t="shared" si="2"/>
        <v/>
      </c>
      <c r="O72" s="35"/>
      <c r="P72" s="88"/>
      <c r="Q72" s="88"/>
      <c r="R72" s="87" t="str">
        <f t="shared" si="3"/>
        <v/>
      </c>
      <c r="S72" s="90" t="str">
        <f t="shared" si="4"/>
        <v/>
      </c>
      <c r="T72" s="91" t="str">
        <f t="shared" si="5"/>
        <v/>
      </c>
      <c r="U72" s="85">
        <f t="shared" si="6"/>
        <v>0</v>
      </c>
    </row>
    <row r="73">
      <c r="A73" s="85">
        <v>71.0</v>
      </c>
      <c r="B73" s="35"/>
      <c r="C73" s="65"/>
      <c r="D73" s="76"/>
      <c r="E73" s="93"/>
      <c r="F73" s="76"/>
      <c r="G73" s="35"/>
      <c r="H73" s="85"/>
      <c r="I73" s="85"/>
      <c r="J73" s="87" t="str">
        <f t="shared" si="1"/>
        <v/>
      </c>
      <c r="K73" s="35"/>
      <c r="L73" s="88"/>
      <c r="M73" s="88"/>
      <c r="N73" s="87" t="str">
        <f t="shared" si="2"/>
        <v/>
      </c>
      <c r="O73" s="35"/>
      <c r="P73" s="88"/>
      <c r="Q73" s="88"/>
      <c r="R73" s="87" t="str">
        <f t="shared" si="3"/>
        <v/>
      </c>
      <c r="S73" s="90" t="str">
        <f t="shared" si="4"/>
        <v/>
      </c>
      <c r="T73" s="91" t="str">
        <f t="shared" si="5"/>
        <v/>
      </c>
      <c r="U73" s="85">
        <f t="shared" si="6"/>
        <v>0</v>
      </c>
    </row>
    <row r="74">
      <c r="A74" s="85">
        <v>72.0</v>
      </c>
      <c r="B74" s="35"/>
      <c r="C74" s="65"/>
      <c r="D74" s="76"/>
      <c r="E74" s="93"/>
      <c r="F74" s="76"/>
      <c r="G74" s="35"/>
      <c r="H74" s="85"/>
      <c r="I74" s="85"/>
      <c r="J74" s="87" t="str">
        <f t="shared" si="1"/>
        <v/>
      </c>
      <c r="K74" s="35"/>
      <c r="L74" s="88"/>
      <c r="M74" s="88"/>
      <c r="N74" s="87" t="str">
        <f t="shared" si="2"/>
        <v/>
      </c>
      <c r="O74" s="35"/>
      <c r="P74" s="88"/>
      <c r="Q74" s="88"/>
      <c r="R74" s="87" t="str">
        <f t="shared" si="3"/>
        <v/>
      </c>
      <c r="S74" s="90" t="str">
        <f t="shared" si="4"/>
        <v/>
      </c>
      <c r="T74" s="91" t="str">
        <f t="shared" si="5"/>
        <v/>
      </c>
      <c r="U74" s="85">
        <f t="shared" si="6"/>
        <v>0</v>
      </c>
    </row>
    <row r="75">
      <c r="A75" s="85">
        <v>73.0</v>
      </c>
      <c r="B75" s="35"/>
      <c r="C75" s="65"/>
      <c r="D75" s="76"/>
      <c r="E75" s="93"/>
      <c r="F75" s="76"/>
      <c r="G75" s="35"/>
      <c r="H75" s="85"/>
      <c r="I75" s="85"/>
      <c r="J75" s="87" t="str">
        <f t="shared" si="1"/>
        <v/>
      </c>
      <c r="K75" s="35"/>
      <c r="L75" s="88"/>
      <c r="M75" s="88"/>
      <c r="N75" s="87" t="str">
        <f t="shared" si="2"/>
        <v/>
      </c>
      <c r="O75" s="35"/>
      <c r="P75" s="88"/>
      <c r="Q75" s="88"/>
      <c r="R75" s="87" t="str">
        <f t="shared" si="3"/>
        <v/>
      </c>
      <c r="S75" s="90" t="str">
        <f t="shared" si="4"/>
        <v/>
      </c>
      <c r="T75" s="91" t="str">
        <f t="shared" si="5"/>
        <v/>
      </c>
      <c r="U75" s="85">
        <f t="shared" si="6"/>
        <v>0</v>
      </c>
    </row>
    <row r="76">
      <c r="A76" s="85">
        <v>74.0</v>
      </c>
      <c r="B76" s="35"/>
      <c r="C76" s="65"/>
      <c r="D76" s="76"/>
      <c r="E76" s="93"/>
      <c r="F76" s="76"/>
      <c r="G76" s="35"/>
      <c r="H76" s="85"/>
      <c r="I76" s="85"/>
      <c r="J76" s="87" t="str">
        <f t="shared" si="1"/>
        <v/>
      </c>
      <c r="K76" s="35"/>
      <c r="L76" s="88"/>
      <c r="M76" s="88"/>
      <c r="N76" s="87" t="str">
        <f t="shared" si="2"/>
        <v/>
      </c>
      <c r="O76" s="35"/>
      <c r="P76" s="88"/>
      <c r="Q76" s="88"/>
      <c r="R76" s="87" t="str">
        <f t="shared" si="3"/>
        <v/>
      </c>
      <c r="S76" s="90" t="str">
        <f t="shared" si="4"/>
        <v/>
      </c>
      <c r="T76" s="91" t="str">
        <f t="shared" si="5"/>
        <v/>
      </c>
      <c r="U76" s="85">
        <f t="shared" si="6"/>
        <v>0</v>
      </c>
    </row>
    <row r="77">
      <c r="A77" s="85">
        <v>75.0</v>
      </c>
      <c r="B77" s="35"/>
      <c r="C77" s="65"/>
      <c r="D77" s="76"/>
      <c r="E77" s="93"/>
      <c r="F77" s="76"/>
      <c r="G77" s="35"/>
      <c r="H77" s="85"/>
      <c r="I77" s="85"/>
      <c r="J77" s="87" t="str">
        <f t="shared" si="1"/>
        <v/>
      </c>
      <c r="K77" s="35"/>
      <c r="L77" s="88"/>
      <c r="M77" s="88"/>
      <c r="N77" s="87" t="str">
        <f t="shared" si="2"/>
        <v/>
      </c>
      <c r="O77" s="35"/>
      <c r="P77" s="88"/>
      <c r="Q77" s="88"/>
      <c r="R77" s="87" t="str">
        <f t="shared" si="3"/>
        <v/>
      </c>
      <c r="S77" s="90" t="str">
        <f t="shared" si="4"/>
        <v/>
      </c>
      <c r="T77" s="91" t="str">
        <f t="shared" si="5"/>
        <v/>
      </c>
      <c r="U77" s="85">
        <f t="shared" si="6"/>
        <v>0</v>
      </c>
    </row>
  </sheetData>
  <autoFilter ref="$B$2:$T$77"/>
  <customSheetViews>
    <customSheetView guid="{B0C17AAF-6872-48F8-A58E-565BF6C8DB27}" filter="1" showAutoFilter="1">
      <autoFilter ref="$C$2:$T$52"/>
    </customSheetView>
  </customSheetViews>
  <mergeCells count="3">
    <mergeCell ref="K1:N1"/>
    <mergeCell ref="O1:R1"/>
    <mergeCell ref="G1:J1"/>
  </mergeCells>
  <conditionalFormatting sqref="G3:I77 K3:M77 O3:Q77">
    <cfRule type="endsWith" dxfId="2" priority="1" operator="endsWith" text="g">
      <formula>RIGHT((G3),LEN("g"))=("g")</formula>
    </cfRule>
  </conditionalFormatting>
  <conditionalFormatting sqref="G3:I77 K3:M77 O3:Q77">
    <cfRule type="endsWith" dxfId="1" priority="2" operator="endsWith" text="x">
      <formula>RIGHT((G3),LEN("x"))=("x")</formula>
    </cfRule>
  </conditionalFormatting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tabColor rgb="FF000000"/>
    <outlinePr summaryBelow="0" summaryRight="0"/>
  </sheetPr>
  <sheetViews>
    <sheetView workbookViewId="0">
      <pane xSplit="6.0" ySplit="2.0" topLeftCell="G3" activePane="bottomRight" state="frozen"/>
      <selection activeCell="G1" sqref="G1" pane="topRight"/>
      <selection activeCell="A3" sqref="A3" pane="bottomLeft"/>
      <selection activeCell="G3" sqref="G3" pane="bottomRight"/>
    </sheetView>
  </sheetViews>
  <sheetFormatPr customHeight="1" defaultColWidth="14.43" defaultRowHeight="15.75"/>
  <cols>
    <col customWidth="1" min="1" max="1" width="3.57"/>
    <col customWidth="1" min="2" max="2" width="10.29"/>
    <col customWidth="1" min="3" max="3" width="6.86"/>
    <col customWidth="1" min="4" max="4" width="14.71"/>
    <col customWidth="1" min="5" max="5" width="7.57"/>
    <col customWidth="1" min="6" max="6" width="18.29"/>
    <col customWidth="1" min="7" max="18" width="5.71"/>
    <col customWidth="1" min="19" max="19" width="9.86"/>
    <col customWidth="1" min="20" max="20" width="11.0"/>
    <col customWidth="1" hidden="1" min="21" max="21" width="11.0"/>
  </cols>
  <sheetData>
    <row r="1">
      <c r="A1" s="14"/>
      <c r="B1" s="16" t="s">
        <v>19</v>
      </c>
      <c r="C1" s="16" t="s">
        <v>135</v>
      </c>
      <c r="D1" s="57" t="s">
        <v>22</v>
      </c>
      <c r="E1" s="57" t="s">
        <v>23</v>
      </c>
      <c r="F1" s="57" t="s">
        <v>25</v>
      </c>
      <c r="G1" s="57" t="s">
        <v>115</v>
      </c>
      <c r="K1" s="57" t="s">
        <v>116</v>
      </c>
      <c r="O1" s="57" t="s">
        <v>117</v>
      </c>
      <c r="S1" s="57" t="s">
        <v>118</v>
      </c>
      <c r="T1" s="57" t="s">
        <v>119</v>
      </c>
      <c r="U1" s="57"/>
    </row>
    <row r="2">
      <c r="A2" s="81"/>
      <c r="B2" s="83" t="s">
        <v>19</v>
      </c>
      <c r="C2" s="83" t="s">
        <v>135</v>
      </c>
      <c r="D2" s="83" t="s">
        <v>22</v>
      </c>
      <c r="E2" s="84" t="s">
        <v>23</v>
      </c>
      <c r="F2" s="83" t="s">
        <v>25</v>
      </c>
      <c r="G2" s="83" t="s">
        <v>136</v>
      </c>
      <c r="H2" s="83" t="s">
        <v>137</v>
      </c>
      <c r="I2" s="83" t="s">
        <v>138</v>
      </c>
      <c r="J2" s="83" t="s">
        <v>139</v>
      </c>
      <c r="K2" s="83" t="s">
        <v>140</v>
      </c>
      <c r="L2" s="83" t="s">
        <v>141</v>
      </c>
      <c r="M2" s="83" t="s">
        <v>142</v>
      </c>
      <c r="N2" s="83" t="s">
        <v>143</v>
      </c>
      <c r="O2" s="83" t="s">
        <v>144</v>
      </c>
      <c r="P2" s="83" t="s">
        <v>145</v>
      </c>
      <c r="Q2" s="83" t="s">
        <v>146</v>
      </c>
      <c r="R2" s="83" t="s">
        <v>147</v>
      </c>
      <c r="S2" s="83"/>
      <c r="T2" s="84" t="s">
        <v>119</v>
      </c>
      <c r="U2" s="84"/>
    </row>
    <row r="3">
      <c r="A3" s="85">
        <v>1.0</v>
      </c>
      <c r="B3" s="35" t="s">
        <v>90</v>
      </c>
      <c r="C3" s="35" t="s">
        <v>109</v>
      </c>
      <c r="D3" s="86" t="s">
        <v>422</v>
      </c>
      <c r="E3" s="85">
        <v>204.0</v>
      </c>
      <c r="F3" s="86" t="s">
        <v>499</v>
      </c>
      <c r="G3" s="35" t="s">
        <v>150</v>
      </c>
      <c r="H3" s="85" t="s">
        <v>151</v>
      </c>
      <c r="I3" s="85" t="s">
        <v>254</v>
      </c>
      <c r="J3" s="87">
        <f t="shared" ref="J3:J77" si="1">IFERROR(__xludf.DUMMYFUNCTION("if(isblank(B3),,Max(if(right(G3,1)=""g"",split(G3,""g""),),if(right(H3,1)=""g"",split(H3,""g""),),if(right(I3,1)=""g"",split(I3,""g""),)))"),205.0)</f>
        <v>205</v>
      </c>
      <c r="K3" s="35" t="s">
        <v>172</v>
      </c>
      <c r="L3" s="88" t="s">
        <v>173</v>
      </c>
      <c r="M3" s="89" t="s">
        <v>216</v>
      </c>
      <c r="N3" s="87">
        <f t="shared" ref="N3:N77" si="2">IFERROR(__xludf.DUMMYFUNCTION("if(isblank($B3),,Max(if(right(K3,1)=""g"",split(K3,""g""),),if(right(L3,1)=""g"",split(L3,""g""),),if(right(M3,1)=""g"",split(M3,""g""),)))"),95.0)</f>
        <v>95</v>
      </c>
      <c r="O3" s="35" t="s">
        <v>175</v>
      </c>
      <c r="P3" s="88" t="s">
        <v>254</v>
      </c>
      <c r="Q3" s="88" t="s">
        <v>320</v>
      </c>
      <c r="R3" s="87">
        <f t="shared" ref="R3:R77" si="3">IFERROR(__xludf.DUMMYFUNCTION("if(isblank($B3),,Max(if(right(O3,1)=""g"",split(O3,""g""),),if(right(P3,1)=""g"",split(P3,""g""),),if(right(Q3,1)=""g"",split(Q3,""g""),)))"),205.0)</f>
        <v>205</v>
      </c>
      <c r="S3" s="90">
        <f t="shared" ref="S3:S77" si="4">if(isblank(F3),,if(or(and(right(G3,1)="x",right(H3,1)="x",right(I3,1)="x"),and(right(K3,1)="x",right(L3,1)="x",right(M3,1)="x"),and(right(O3,1)="x",right(P3,1)="x",right(Q3,1)="x")),0,J3+N3+R3))</f>
        <v>505</v>
      </c>
      <c r="T3" s="91">
        <f t="shared" ref="T3:T77" si="5">if(isblank(E3),,S3/E3)</f>
        <v>2.475490196</v>
      </c>
      <c r="U3" s="85">
        <f t="shared" ref="U3:U77" si="6">countif(G3:Q3,"*g")</f>
        <v>8</v>
      </c>
    </row>
    <row r="4">
      <c r="A4" s="85">
        <v>2.0</v>
      </c>
      <c r="B4" s="35" t="s">
        <v>90</v>
      </c>
      <c r="C4" s="35" t="s">
        <v>109</v>
      </c>
      <c r="D4" s="86" t="s">
        <v>221</v>
      </c>
      <c r="E4" s="35">
        <v>219.0</v>
      </c>
      <c r="F4" s="86" t="s">
        <v>500</v>
      </c>
      <c r="G4" s="35" t="s">
        <v>201</v>
      </c>
      <c r="H4" s="85" t="s">
        <v>150</v>
      </c>
      <c r="I4" s="85" t="s">
        <v>211</v>
      </c>
      <c r="J4" s="87">
        <f t="shared" si="1"/>
        <v>175</v>
      </c>
      <c r="K4" s="35" t="s">
        <v>153</v>
      </c>
      <c r="L4" s="88" t="s">
        <v>193</v>
      </c>
      <c r="M4" s="89" t="s">
        <v>197</v>
      </c>
      <c r="N4" s="87">
        <f t="shared" si="2"/>
        <v>120</v>
      </c>
      <c r="O4" s="35" t="s">
        <v>263</v>
      </c>
      <c r="P4" s="88" t="s">
        <v>263</v>
      </c>
      <c r="Q4" s="88" t="s">
        <v>263</v>
      </c>
      <c r="R4" s="87">
        <f t="shared" si="3"/>
        <v>0</v>
      </c>
      <c r="S4" s="90">
        <f t="shared" si="4"/>
        <v>0</v>
      </c>
      <c r="T4" s="91">
        <f t="shared" si="5"/>
        <v>0</v>
      </c>
      <c r="U4" s="85">
        <f t="shared" si="6"/>
        <v>4</v>
      </c>
    </row>
    <row r="5">
      <c r="A5" s="85">
        <v>3.0</v>
      </c>
      <c r="B5" s="35" t="s">
        <v>90</v>
      </c>
      <c r="C5" s="35" t="s">
        <v>109</v>
      </c>
      <c r="D5" s="86" t="s">
        <v>159</v>
      </c>
      <c r="E5" s="35">
        <v>203.0</v>
      </c>
      <c r="F5" s="86" t="s">
        <v>501</v>
      </c>
      <c r="G5" s="35" t="s">
        <v>211</v>
      </c>
      <c r="H5" s="85" t="s">
        <v>208</v>
      </c>
      <c r="I5" s="85" t="s">
        <v>254</v>
      </c>
      <c r="J5" s="87">
        <f t="shared" si="1"/>
        <v>205</v>
      </c>
      <c r="K5" s="35" t="s">
        <v>164</v>
      </c>
      <c r="L5" s="88" t="s">
        <v>262</v>
      </c>
      <c r="M5" s="89" t="s">
        <v>165</v>
      </c>
      <c r="N5" s="87">
        <f t="shared" si="2"/>
        <v>100</v>
      </c>
      <c r="O5" s="35" t="s">
        <v>175</v>
      </c>
      <c r="P5" s="88" t="s">
        <v>254</v>
      </c>
      <c r="Q5" s="88" t="s">
        <v>183</v>
      </c>
      <c r="R5" s="87">
        <f t="shared" si="3"/>
        <v>220</v>
      </c>
      <c r="S5" s="90">
        <f t="shared" si="4"/>
        <v>525</v>
      </c>
      <c r="T5" s="91">
        <f t="shared" si="5"/>
        <v>2.586206897</v>
      </c>
      <c r="U5" s="85">
        <f t="shared" si="6"/>
        <v>5</v>
      </c>
    </row>
    <row r="6" ht="16.5" customHeight="1">
      <c r="A6" s="85">
        <v>4.0</v>
      </c>
      <c r="B6" s="35" t="s">
        <v>90</v>
      </c>
      <c r="C6" s="35" t="s">
        <v>109</v>
      </c>
      <c r="D6" s="86" t="s">
        <v>285</v>
      </c>
      <c r="E6" s="35">
        <v>213.4</v>
      </c>
      <c r="F6" s="86" t="s">
        <v>502</v>
      </c>
      <c r="G6" s="35" t="s">
        <v>186</v>
      </c>
      <c r="H6" s="85" t="s">
        <v>202</v>
      </c>
      <c r="I6" s="85" t="s">
        <v>266</v>
      </c>
      <c r="J6" s="87">
        <f t="shared" si="1"/>
        <v>155</v>
      </c>
      <c r="K6" s="35" t="s">
        <v>172</v>
      </c>
      <c r="L6" s="88" t="s">
        <v>206</v>
      </c>
      <c r="M6" s="89" t="s">
        <v>206</v>
      </c>
      <c r="N6" s="87">
        <f t="shared" si="2"/>
        <v>75</v>
      </c>
      <c r="O6" s="35" t="s">
        <v>175</v>
      </c>
      <c r="P6" s="88" t="s">
        <v>166</v>
      </c>
      <c r="Q6" s="88" t="s">
        <v>320</v>
      </c>
      <c r="R6" s="87">
        <f t="shared" si="3"/>
        <v>210</v>
      </c>
      <c r="S6" s="90">
        <f t="shared" si="4"/>
        <v>440</v>
      </c>
      <c r="T6" s="91">
        <f t="shared" si="5"/>
        <v>2.06185567</v>
      </c>
      <c r="U6" s="85">
        <f t="shared" si="6"/>
        <v>5</v>
      </c>
    </row>
    <row r="7">
      <c r="A7" s="85">
        <v>5.0</v>
      </c>
      <c r="B7" s="35" t="s">
        <v>90</v>
      </c>
      <c r="C7" s="35" t="s">
        <v>109</v>
      </c>
      <c r="D7" s="86" t="s">
        <v>496</v>
      </c>
      <c r="E7" s="85">
        <v>218.2</v>
      </c>
      <c r="F7" s="86" t="s">
        <v>503</v>
      </c>
      <c r="G7" s="35" t="s">
        <v>182</v>
      </c>
      <c r="H7" s="85" t="s">
        <v>183</v>
      </c>
      <c r="I7" s="85" t="s">
        <v>167</v>
      </c>
      <c r="J7" s="87">
        <f t="shared" si="1"/>
        <v>235</v>
      </c>
      <c r="K7" s="35" t="s">
        <v>207</v>
      </c>
      <c r="L7" s="88" t="s">
        <v>154</v>
      </c>
      <c r="M7" s="89" t="s">
        <v>227</v>
      </c>
      <c r="N7" s="87">
        <f t="shared" si="2"/>
        <v>110</v>
      </c>
      <c r="O7" s="35" t="s">
        <v>166</v>
      </c>
      <c r="P7" s="88" t="s">
        <v>156</v>
      </c>
      <c r="Q7" s="88" t="s">
        <v>167</v>
      </c>
      <c r="R7" s="87">
        <f t="shared" si="3"/>
        <v>235</v>
      </c>
      <c r="S7" s="90">
        <f t="shared" si="4"/>
        <v>580</v>
      </c>
      <c r="T7" s="91">
        <f t="shared" si="5"/>
        <v>2.658111824</v>
      </c>
      <c r="U7" s="85">
        <f t="shared" si="6"/>
        <v>7</v>
      </c>
    </row>
    <row r="8">
      <c r="A8" s="85">
        <v>6.0</v>
      </c>
      <c r="B8" s="35" t="s">
        <v>90</v>
      </c>
      <c r="C8" s="35" t="s">
        <v>109</v>
      </c>
      <c r="D8" s="86" t="s">
        <v>368</v>
      </c>
      <c r="E8" s="35">
        <v>206.8</v>
      </c>
      <c r="F8" s="86" t="s">
        <v>504</v>
      </c>
      <c r="G8" s="35" t="s">
        <v>224</v>
      </c>
      <c r="H8" s="85" t="s">
        <v>162</v>
      </c>
      <c r="I8" s="85" t="s">
        <v>175</v>
      </c>
      <c r="J8" s="87">
        <f t="shared" si="1"/>
        <v>195</v>
      </c>
      <c r="K8" s="35" t="s">
        <v>216</v>
      </c>
      <c r="L8" s="88" t="s">
        <v>153</v>
      </c>
      <c r="M8" s="89" t="s">
        <v>227</v>
      </c>
      <c r="N8" s="87">
        <f t="shared" si="2"/>
        <v>105</v>
      </c>
      <c r="O8" s="35" t="s">
        <v>190</v>
      </c>
      <c r="P8" s="88" t="s">
        <v>167</v>
      </c>
      <c r="Q8" s="88" t="s">
        <v>176</v>
      </c>
      <c r="R8" s="87">
        <f t="shared" si="3"/>
        <v>250</v>
      </c>
      <c r="S8" s="90">
        <f t="shared" si="4"/>
        <v>550</v>
      </c>
      <c r="T8" s="91">
        <f t="shared" si="5"/>
        <v>2.659574468</v>
      </c>
      <c r="U8" s="85">
        <f t="shared" si="6"/>
        <v>7</v>
      </c>
    </row>
    <row r="9">
      <c r="A9" s="85">
        <v>7.0</v>
      </c>
      <c r="B9" s="35" t="s">
        <v>90</v>
      </c>
      <c r="C9" s="35" t="s">
        <v>109</v>
      </c>
      <c r="D9" s="86" t="s">
        <v>247</v>
      </c>
      <c r="E9" s="35">
        <v>208.8</v>
      </c>
      <c r="F9" s="86" t="s">
        <v>505</v>
      </c>
      <c r="G9" s="35" t="s">
        <v>166</v>
      </c>
      <c r="H9" s="85" t="s">
        <v>156</v>
      </c>
      <c r="I9" s="85" t="s">
        <v>167</v>
      </c>
      <c r="J9" s="87">
        <f t="shared" si="1"/>
        <v>235</v>
      </c>
      <c r="K9" s="35" t="s">
        <v>197</v>
      </c>
      <c r="L9" s="88" t="s">
        <v>179</v>
      </c>
      <c r="M9" s="89" t="s">
        <v>234</v>
      </c>
      <c r="N9" s="87">
        <f t="shared" si="2"/>
        <v>130</v>
      </c>
      <c r="O9" s="35" t="s">
        <v>308</v>
      </c>
      <c r="P9" s="88" t="s">
        <v>176</v>
      </c>
      <c r="Q9" s="88" t="s">
        <v>506</v>
      </c>
      <c r="R9" s="87">
        <f t="shared" si="3"/>
        <v>250</v>
      </c>
      <c r="S9" s="90">
        <f t="shared" si="4"/>
        <v>615</v>
      </c>
      <c r="T9" s="91">
        <f t="shared" si="5"/>
        <v>2.945402299</v>
      </c>
      <c r="U9" s="85">
        <f t="shared" si="6"/>
        <v>8</v>
      </c>
    </row>
    <row r="10">
      <c r="A10" s="85">
        <v>8.0</v>
      </c>
      <c r="B10" s="35" t="s">
        <v>90</v>
      </c>
      <c r="C10" s="35" t="s">
        <v>109</v>
      </c>
      <c r="D10" s="86" t="s">
        <v>168</v>
      </c>
      <c r="E10" s="35">
        <v>217.2</v>
      </c>
      <c r="F10" s="86" t="s">
        <v>507</v>
      </c>
      <c r="G10" s="35" t="s">
        <v>156</v>
      </c>
      <c r="H10" s="85" t="s">
        <v>167</v>
      </c>
      <c r="I10" s="85" t="s">
        <v>255</v>
      </c>
      <c r="J10" s="87">
        <f t="shared" si="1"/>
        <v>245</v>
      </c>
      <c r="K10" s="35" t="s">
        <v>193</v>
      </c>
      <c r="L10" s="88" t="s">
        <v>243</v>
      </c>
      <c r="M10" s="89" t="s">
        <v>243</v>
      </c>
      <c r="N10" s="87">
        <f t="shared" si="2"/>
        <v>115</v>
      </c>
      <c r="O10" s="35" t="s">
        <v>156</v>
      </c>
      <c r="P10" s="88" t="s">
        <v>176</v>
      </c>
      <c r="Q10" s="88" t="s">
        <v>325</v>
      </c>
      <c r="R10" s="87">
        <f t="shared" si="3"/>
        <v>275</v>
      </c>
      <c r="S10" s="90">
        <f t="shared" si="4"/>
        <v>635</v>
      </c>
      <c r="T10" s="91">
        <f t="shared" si="5"/>
        <v>2.923572744</v>
      </c>
      <c r="U10" s="85">
        <f t="shared" si="6"/>
        <v>7</v>
      </c>
    </row>
    <row r="11">
      <c r="A11" s="85">
        <v>9.0</v>
      </c>
      <c r="B11" s="35" t="s">
        <v>90</v>
      </c>
      <c r="C11" s="35" t="s">
        <v>109</v>
      </c>
      <c r="D11" s="86" t="s">
        <v>375</v>
      </c>
      <c r="E11" s="35">
        <v>215.8</v>
      </c>
      <c r="F11" s="86" t="s">
        <v>508</v>
      </c>
      <c r="G11" s="35" t="s">
        <v>263</v>
      </c>
      <c r="H11" s="85" t="s">
        <v>190</v>
      </c>
      <c r="I11" s="85" t="s">
        <v>167</v>
      </c>
      <c r="J11" s="87">
        <f t="shared" si="1"/>
        <v>235</v>
      </c>
      <c r="K11" s="35" t="s">
        <v>154</v>
      </c>
      <c r="L11" s="88" t="s">
        <v>155</v>
      </c>
      <c r="M11" s="89" t="s">
        <v>155</v>
      </c>
      <c r="N11" s="87">
        <f t="shared" si="2"/>
        <v>110</v>
      </c>
      <c r="O11" s="35" t="s">
        <v>158</v>
      </c>
      <c r="P11" s="88" t="s">
        <v>328</v>
      </c>
      <c r="Q11" s="88" t="s">
        <v>297</v>
      </c>
      <c r="R11" s="87">
        <f t="shared" si="3"/>
        <v>260</v>
      </c>
      <c r="S11" s="90">
        <f t="shared" si="4"/>
        <v>605</v>
      </c>
      <c r="T11" s="91">
        <f t="shared" si="5"/>
        <v>2.803521779</v>
      </c>
      <c r="U11" s="85">
        <f t="shared" si="6"/>
        <v>5</v>
      </c>
    </row>
    <row r="12">
      <c r="A12" s="85">
        <v>10.0</v>
      </c>
      <c r="B12" s="35" t="s">
        <v>90</v>
      </c>
      <c r="C12" s="35" t="s">
        <v>109</v>
      </c>
      <c r="D12" s="86" t="s">
        <v>260</v>
      </c>
      <c r="E12" s="35">
        <v>216.8</v>
      </c>
      <c r="F12" s="86" t="s">
        <v>509</v>
      </c>
      <c r="G12" s="35" t="s">
        <v>224</v>
      </c>
      <c r="H12" s="85" t="s">
        <v>151</v>
      </c>
      <c r="I12" s="85" t="s">
        <v>254</v>
      </c>
      <c r="J12" s="87">
        <f t="shared" si="1"/>
        <v>205</v>
      </c>
      <c r="K12" s="35" t="s">
        <v>153</v>
      </c>
      <c r="L12" s="88" t="s">
        <v>193</v>
      </c>
      <c r="M12" s="89" t="s">
        <v>243</v>
      </c>
      <c r="N12" s="87">
        <f t="shared" si="2"/>
        <v>115</v>
      </c>
      <c r="O12" s="35" t="s">
        <v>293</v>
      </c>
      <c r="P12" s="88" t="s">
        <v>510</v>
      </c>
      <c r="Q12" s="88" t="s">
        <v>399</v>
      </c>
      <c r="R12" s="87">
        <f t="shared" si="3"/>
        <v>285</v>
      </c>
      <c r="S12" s="90">
        <f t="shared" si="4"/>
        <v>605</v>
      </c>
      <c r="T12" s="91">
        <f t="shared" si="5"/>
        <v>2.790590406</v>
      </c>
      <c r="U12" s="85">
        <f t="shared" si="6"/>
        <v>7</v>
      </c>
    </row>
    <row r="13">
      <c r="A13" s="85">
        <v>11.0</v>
      </c>
      <c r="B13" s="35" t="s">
        <v>90</v>
      </c>
      <c r="C13" s="35" t="s">
        <v>109</v>
      </c>
      <c r="D13" s="86" t="s">
        <v>184</v>
      </c>
      <c r="E13" s="35">
        <v>216.1</v>
      </c>
      <c r="F13" s="86" t="s">
        <v>511</v>
      </c>
      <c r="G13" s="35" t="s">
        <v>263</v>
      </c>
      <c r="H13" s="85" t="s">
        <v>190</v>
      </c>
      <c r="I13" s="85" t="s">
        <v>156</v>
      </c>
      <c r="J13" s="87">
        <f t="shared" si="1"/>
        <v>225</v>
      </c>
      <c r="K13" s="35" t="s">
        <v>173</v>
      </c>
      <c r="L13" s="88" t="s">
        <v>216</v>
      </c>
      <c r="M13" s="89" t="s">
        <v>153</v>
      </c>
      <c r="N13" s="87">
        <f t="shared" si="2"/>
        <v>105</v>
      </c>
      <c r="O13" s="35" t="s">
        <v>328</v>
      </c>
      <c r="P13" s="88" t="s">
        <v>329</v>
      </c>
      <c r="Q13" s="88" t="s">
        <v>424</v>
      </c>
      <c r="R13" s="87">
        <f t="shared" si="3"/>
        <v>290</v>
      </c>
      <c r="S13" s="90">
        <f t="shared" si="4"/>
        <v>620</v>
      </c>
      <c r="T13" s="91">
        <f t="shared" si="5"/>
        <v>2.86904211</v>
      </c>
      <c r="U13" s="85">
        <f t="shared" si="6"/>
        <v>8</v>
      </c>
    </row>
    <row r="14">
      <c r="A14" s="85">
        <v>12.0</v>
      </c>
      <c r="B14" s="35" t="s">
        <v>90</v>
      </c>
      <c r="C14" s="35" t="s">
        <v>109</v>
      </c>
      <c r="D14" s="86" t="s">
        <v>512</v>
      </c>
      <c r="E14" s="35">
        <v>213.6</v>
      </c>
      <c r="F14" s="86" t="s">
        <v>513</v>
      </c>
      <c r="G14" s="35" t="s">
        <v>202</v>
      </c>
      <c r="H14" s="85" t="s">
        <v>150</v>
      </c>
      <c r="I14" s="85" t="s">
        <v>182</v>
      </c>
      <c r="J14" s="87">
        <f t="shared" si="1"/>
        <v>200</v>
      </c>
      <c r="K14" s="35" t="s">
        <v>164</v>
      </c>
      <c r="L14" s="88" t="s">
        <v>193</v>
      </c>
      <c r="M14" s="89" t="s">
        <v>155</v>
      </c>
      <c r="N14" s="87">
        <f t="shared" si="2"/>
        <v>115</v>
      </c>
      <c r="O14" s="35" t="s">
        <v>405</v>
      </c>
      <c r="P14" s="88" t="s">
        <v>406</v>
      </c>
      <c r="Q14" s="88" t="s">
        <v>514</v>
      </c>
      <c r="R14" s="87">
        <f t="shared" si="3"/>
        <v>310</v>
      </c>
      <c r="S14" s="90">
        <f t="shared" si="4"/>
        <v>625</v>
      </c>
      <c r="T14" s="91">
        <f t="shared" si="5"/>
        <v>2.926029963</v>
      </c>
      <c r="U14" s="85">
        <f t="shared" si="6"/>
        <v>7</v>
      </c>
    </row>
    <row r="15">
      <c r="A15" s="85">
        <v>13.0</v>
      </c>
      <c r="B15" s="35" t="s">
        <v>90</v>
      </c>
      <c r="C15" s="35" t="s">
        <v>109</v>
      </c>
      <c r="D15" s="86" t="s">
        <v>260</v>
      </c>
      <c r="E15" s="35">
        <v>215.6</v>
      </c>
      <c r="F15" s="86" t="s">
        <v>515</v>
      </c>
      <c r="G15" s="35" t="s">
        <v>175</v>
      </c>
      <c r="H15" s="85" t="s">
        <v>190</v>
      </c>
      <c r="I15" s="85" t="s">
        <v>255</v>
      </c>
      <c r="J15" s="87">
        <f t="shared" si="1"/>
        <v>245</v>
      </c>
      <c r="K15" s="35" t="s">
        <v>186</v>
      </c>
      <c r="L15" s="88" t="s">
        <v>245</v>
      </c>
      <c r="M15" s="89" t="s">
        <v>187</v>
      </c>
      <c r="N15" s="87">
        <f t="shared" si="2"/>
        <v>145</v>
      </c>
      <c r="O15" s="35" t="s">
        <v>399</v>
      </c>
      <c r="P15" s="88" t="s">
        <v>414</v>
      </c>
      <c r="Q15" s="88" t="s">
        <v>516</v>
      </c>
      <c r="R15" s="87">
        <f t="shared" si="3"/>
        <v>320</v>
      </c>
      <c r="S15" s="90">
        <f t="shared" si="4"/>
        <v>710</v>
      </c>
      <c r="T15" s="91">
        <f t="shared" si="5"/>
        <v>3.293135436</v>
      </c>
      <c r="U15" s="85">
        <f t="shared" si="6"/>
        <v>7</v>
      </c>
    </row>
    <row r="16">
      <c r="A16" s="85">
        <v>14.0</v>
      </c>
      <c r="B16" s="35"/>
      <c r="C16" s="35"/>
      <c r="D16" s="86"/>
      <c r="E16" s="35"/>
      <c r="F16" s="86"/>
      <c r="G16" s="35"/>
      <c r="H16" s="85"/>
      <c r="I16" s="85"/>
      <c r="J16" s="87" t="str">
        <f t="shared" si="1"/>
        <v/>
      </c>
      <c r="K16" s="35"/>
      <c r="L16" s="88"/>
      <c r="M16" s="89"/>
      <c r="N16" s="87" t="str">
        <f t="shared" si="2"/>
        <v/>
      </c>
      <c r="O16" s="35"/>
      <c r="P16" s="88"/>
      <c r="Q16" s="88"/>
      <c r="R16" s="87" t="str">
        <f t="shared" si="3"/>
        <v/>
      </c>
      <c r="S16" s="90" t="str">
        <f t="shared" si="4"/>
        <v/>
      </c>
      <c r="T16" s="91" t="str">
        <f t="shared" si="5"/>
        <v/>
      </c>
      <c r="U16" s="85">
        <f t="shared" si="6"/>
        <v>0</v>
      </c>
    </row>
    <row r="17">
      <c r="A17" s="85">
        <v>15.0</v>
      </c>
      <c r="B17" s="35"/>
      <c r="C17" s="35"/>
      <c r="D17" s="86"/>
      <c r="E17" s="35"/>
      <c r="F17" s="86"/>
      <c r="G17" s="35"/>
      <c r="H17" s="85"/>
      <c r="I17" s="85"/>
      <c r="J17" s="87" t="str">
        <f t="shared" si="1"/>
        <v/>
      </c>
      <c r="K17" s="35"/>
      <c r="L17" s="88"/>
      <c r="M17" s="89"/>
      <c r="N17" s="87" t="str">
        <f t="shared" si="2"/>
        <v/>
      </c>
      <c r="O17" s="35"/>
      <c r="P17" s="88"/>
      <c r="Q17" s="88"/>
      <c r="R17" s="87" t="str">
        <f t="shared" si="3"/>
        <v/>
      </c>
      <c r="S17" s="90" t="str">
        <f t="shared" si="4"/>
        <v/>
      </c>
      <c r="T17" s="91" t="str">
        <f t="shared" si="5"/>
        <v/>
      </c>
      <c r="U17" s="85">
        <f t="shared" si="6"/>
        <v>0</v>
      </c>
    </row>
    <row r="18">
      <c r="A18" s="85">
        <v>16.0</v>
      </c>
      <c r="B18" s="35"/>
      <c r="C18" s="35"/>
      <c r="D18" s="86"/>
      <c r="E18" s="35"/>
      <c r="F18" s="86"/>
      <c r="G18" s="35"/>
      <c r="H18" s="85"/>
      <c r="I18" s="85"/>
      <c r="J18" s="87" t="str">
        <f t="shared" si="1"/>
        <v/>
      </c>
      <c r="K18" s="35"/>
      <c r="L18" s="88"/>
      <c r="M18" s="89"/>
      <c r="N18" s="87" t="str">
        <f t="shared" si="2"/>
        <v/>
      </c>
      <c r="O18" s="35"/>
      <c r="P18" s="88"/>
      <c r="Q18" s="88"/>
      <c r="R18" s="87" t="str">
        <f t="shared" si="3"/>
        <v/>
      </c>
      <c r="S18" s="90" t="str">
        <f t="shared" si="4"/>
        <v/>
      </c>
      <c r="T18" s="91" t="str">
        <f t="shared" si="5"/>
        <v/>
      </c>
      <c r="U18" s="85">
        <f t="shared" si="6"/>
        <v>0</v>
      </c>
    </row>
    <row r="19">
      <c r="A19" s="85">
        <v>17.0</v>
      </c>
      <c r="B19" s="35"/>
      <c r="C19" s="35"/>
      <c r="D19" s="86"/>
      <c r="E19" s="35"/>
      <c r="F19" s="86"/>
      <c r="G19" s="35"/>
      <c r="H19" s="85"/>
      <c r="I19" s="85"/>
      <c r="J19" s="87" t="str">
        <f t="shared" si="1"/>
        <v/>
      </c>
      <c r="K19" s="35"/>
      <c r="L19" s="88"/>
      <c r="M19" s="89"/>
      <c r="N19" s="87" t="str">
        <f t="shared" si="2"/>
        <v/>
      </c>
      <c r="O19" s="35"/>
      <c r="P19" s="88"/>
      <c r="Q19" s="88"/>
      <c r="R19" s="87" t="str">
        <f t="shared" si="3"/>
        <v/>
      </c>
      <c r="S19" s="90" t="str">
        <f t="shared" si="4"/>
        <v/>
      </c>
      <c r="T19" s="91" t="str">
        <f t="shared" si="5"/>
        <v/>
      </c>
      <c r="U19" s="85">
        <f t="shared" si="6"/>
        <v>0</v>
      </c>
    </row>
    <row r="20">
      <c r="A20" s="85">
        <v>18.0</v>
      </c>
      <c r="B20" s="35"/>
      <c r="C20" s="35"/>
      <c r="D20" s="86"/>
      <c r="E20" s="35"/>
      <c r="F20" s="86"/>
      <c r="G20" s="35"/>
      <c r="H20" s="85"/>
      <c r="I20" s="85"/>
      <c r="J20" s="87" t="str">
        <f t="shared" si="1"/>
        <v/>
      </c>
      <c r="K20" s="35"/>
      <c r="L20" s="88"/>
      <c r="M20" s="89"/>
      <c r="N20" s="87" t="str">
        <f t="shared" si="2"/>
        <v/>
      </c>
      <c r="O20" s="35"/>
      <c r="P20" s="88"/>
      <c r="Q20" s="88"/>
      <c r="R20" s="87" t="str">
        <f t="shared" si="3"/>
        <v/>
      </c>
      <c r="S20" s="90" t="str">
        <f t="shared" si="4"/>
        <v/>
      </c>
      <c r="T20" s="91" t="str">
        <f t="shared" si="5"/>
        <v/>
      </c>
      <c r="U20" s="85">
        <f t="shared" si="6"/>
        <v>0</v>
      </c>
    </row>
    <row r="21">
      <c r="A21" s="85">
        <v>19.0</v>
      </c>
      <c r="B21" s="35"/>
      <c r="C21" s="35"/>
      <c r="D21" s="86"/>
      <c r="E21" s="35"/>
      <c r="F21" s="86"/>
      <c r="G21" s="35"/>
      <c r="H21" s="85"/>
      <c r="I21" s="85"/>
      <c r="J21" s="87" t="str">
        <f t="shared" si="1"/>
        <v/>
      </c>
      <c r="K21" s="35"/>
      <c r="L21" s="88"/>
      <c r="M21" s="89"/>
      <c r="N21" s="87" t="str">
        <f t="shared" si="2"/>
        <v/>
      </c>
      <c r="O21" s="35"/>
      <c r="P21" s="88"/>
      <c r="Q21" s="88"/>
      <c r="R21" s="87" t="str">
        <f t="shared" si="3"/>
        <v/>
      </c>
      <c r="S21" s="90" t="str">
        <f t="shared" si="4"/>
        <v/>
      </c>
      <c r="T21" s="91" t="str">
        <f t="shared" si="5"/>
        <v/>
      </c>
      <c r="U21" s="85">
        <f t="shared" si="6"/>
        <v>0</v>
      </c>
    </row>
    <row r="22">
      <c r="A22" s="85">
        <v>20.0</v>
      </c>
      <c r="B22" s="35"/>
      <c r="C22" s="35"/>
      <c r="D22" s="86"/>
      <c r="E22" s="35"/>
      <c r="F22" s="86"/>
      <c r="G22" s="35"/>
      <c r="H22" s="85"/>
      <c r="I22" s="85"/>
      <c r="J22" s="87" t="str">
        <f t="shared" si="1"/>
        <v/>
      </c>
      <c r="K22" s="35"/>
      <c r="L22" s="88"/>
      <c r="M22" s="89"/>
      <c r="N22" s="87" t="str">
        <f t="shared" si="2"/>
        <v/>
      </c>
      <c r="O22" s="35"/>
      <c r="P22" s="88"/>
      <c r="Q22" s="88"/>
      <c r="R22" s="87" t="str">
        <f t="shared" si="3"/>
        <v/>
      </c>
      <c r="S22" s="90" t="str">
        <f t="shared" si="4"/>
        <v/>
      </c>
      <c r="T22" s="91" t="str">
        <f t="shared" si="5"/>
        <v/>
      </c>
      <c r="U22" s="85">
        <f t="shared" si="6"/>
        <v>0</v>
      </c>
    </row>
    <row r="23">
      <c r="A23" s="85">
        <v>21.0</v>
      </c>
      <c r="B23" s="35"/>
      <c r="C23" s="35"/>
      <c r="D23" s="86"/>
      <c r="E23" s="35"/>
      <c r="F23" s="86"/>
      <c r="G23" s="35"/>
      <c r="H23" s="85"/>
      <c r="I23" s="85"/>
      <c r="J23" s="87" t="str">
        <f t="shared" si="1"/>
        <v/>
      </c>
      <c r="K23" s="35"/>
      <c r="L23" s="88"/>
      <c r="M23" s="89"/>
      <c r="N23" s="87" t="str">
        <f t="shared" si="2"/>
        <v/>
      </c>
      <c r="O23" s="35"/>
      <c r="P23" s="88"/>
      <c r="Q23" s="88"/>
      <c r="R23" s="87" t="str">
        <f t="shared" si="3"/>
        <v/>
      </c>
      <c r="S23" s="90" t="str">
        <f t="shared" si="4"/>
        <v/>
      </c>
      <c r="T23" s="91" t="str">
        <f t="shared" si="5"/>
        <v/>
      </c>
      <c r="U23" s="85">
        <f t="shared" si="6"/>
        <v>0</v>
      </c>
    </row>
    <row r="24">
      <c r="A24" s="85">
        <v>22.0</v>
      </c>
      <c r="B24" s="35"/>
      <c r="C24" s="35"/>
      <c r="D24" s="86"/>
      <c r="E24" s="35"/>
      <c r="F24" s="86"/>
      <c r="G24" s="35"/>
      <c r="H24" s="85"/>
      <c r="I24" s="85"/>
      <c r="J24" s="87" t="str">
        <f t="shared" si="1"/>
        <v/>
      </c>
      <c r="K24" s="35"/>
      <c r="L24" s="88"/>
      <c r="M24" s="89"/>
      <c r="N24" s="87" t="str">
        <f t="shared" si="2"/>
        <v/>
      </c>
      <c r="O24" s="35"/>
      <c r="P24" s="88"/>
      <c r="Q24" s="88"/>
      <c r="R24" s="87" t="str">
        <f t="shared" si="3"/>
        <v/>
      </c>
      <c r="S24" s="90" t="str">
        <f t="shared" si="4"/>
        <v/>
      </c>
      <c r="T24" s="91" t="str">
        <f t="shared" si="5"/>
        <v/>
      </c>
      <c r="U24" s="85">
        <f t="shared" si="6"/>
        <v>0</v>
      </c>
    </row>
    <row r="25">
      <c r="A25" s="85">
        <v>23.0</v>
      </c>
      <c r="B25" s="35"/>
      <c r="C25" s="35"/>
      <c r="D25" s="86"/>
      <c r="E25" s="35"/>
      <c r="F25" s="86"/>
      <c r="G25" s="35"/>
      <c r="H25" s="85"/>
      <c r="I25" s="85"/>
      <c r="J25" s="87" t="str">
        <f t="shared" si="1"/>
        <v/>
      </c>
      <c r="K25" s="35"/>
      <c r="L25" s="88"/>
      <c r="M25" s="89"/>
      <c r="N25" s="87" t="str">
        <f t="shared" si="2"/>
        <v/>
      </c>
      <c r="O25" s="35"/>
      <c r="P25" s="88"/>
      <c r="Q25" s="88"/>
      <c r="R25" s="87" t="str">
        <f t="shared" si="3"/>
        <v/>
      </c>
      <c r="S25" s="90" t="str">
        <f t="shared" si="4"/>
        <v/>
      </c>
      <c r="T25" s="91" t="str">
        <f t="shared" si="5"/>
        <v/>
      </c>
      <c r="U25" s="85">
        <f t="shared" si="6"/>
        <v>0</v>
      </c>
    </row>
    <row r="26">
      <c r="A26" s="85">
        <v>24.0</v>
      </c>
      <c r="B26" s="35"/>
      <c r="C26" s="65"/>
      <c r="D26" s="76"/>
      <c r="E26" s="93"/>
      <c r="F26" s="76"/>
      <c r="G26" s="35"/>
      <c r="H26" s="85"/>
      <c r="I26" s="85"/>
      <c r="J26" s="87" t="str">
        <f t="shared" si="1"/>
        <v/>
      </c>
      <c r="K26" s="35"/>
      <c r="L26" s="88"/>
      <c r="M26" s="89"/>
      <c r="N26" s="87" t="str">
        <f t="shared" si="2"/>
        <v/>
      </c>
      <c r="O26" s="35"/>
      <c r="P26" s="88"/>
      <c r="Q26" s="88"/>
      <c r="R26" s="87" t="str">
        <f t="shared" si="3"/>
        <v/>
      </c>
      <c r="S26" s="90" t="str">
        <f t="shared" si="4"/>
        <v/>
      </c>
      <c r="T26" s="91" t="str">
        <f t="shared" si="5"/>
        <v/>
      </c>
      <c r="U26" s="85">
        <f t="shared" si="6"/>
        <v>0</v>
      </c>
    </row>
    <row r="27">
      <c r="A27" s="85">
        <v>25.0</v>
      </c>
      <c r="B27" s="35"/>
      <c r="C27" s="65"/>
      <c r="D27" s="76"/>
      <c r="E27" s="93"/>
      <c r="F27" s="76"/>
      <c r="G27" s="35"/>
      <c r="H27" s="85"/>
      <c r="I27" s="85"/>
      <c r="J27" s="87" t="str">
        <f t="shared" si="1"/>
        <v/>
      </c>
      <c r="K27" s="35"/>
      <c r="L27" s="88"/>
      <c r="M27" s="89"/>
      <c r="N27" s="87" t="str">
        <f t="shared" si="2"/>
        <v/>
      </c>
      <c r="O27" s="35"/>
      <c r="P27" s="88"/>
      <c r="Q27" s="88"/>
      <c r="R27" s="87" t="str">
        <f t="shared" si="3"/>
        <v/>
      </c>
      <c r="S27" s="90" t="str">
        <f t="shared" si="4"/>
        <v/>
      </c>
      <c r="T27" s="91" t="str">
        <f t="shared" si="5"/>
        <v/>
      </c>
      <c r="U27" s="85">
        <f t="shared" si="6"/>
        <v>0</v>
      </c>
    </row>
    <row r="28">
      <c r="A28" s="85">
        <v>26.0</v>
      </c>
      <c r="B28" s="35"/>
      <c r="C28" s="65"/>
      <c r="D28" s="76"/>
      <c r="E28" s="93"/>
      <c r="F28" s="76"/>
      <c r="G28" s="35"/>
      <c r="H28" s="85"/>
      <c r="I28" s="85"/>
      <c r="J28" s="87" t="str">
        <f t="shared" si="1"/>
        <v/>
      </c>
      <c r="K28" s="35"/>
      <c r="L28" s="88"/>
      <c r="M28" s="89"/>
      <c r="N28" s="87" t="str">
        <f t="shared" si="2"/>
        <v/>
      </c>
      <c r="O28" s="35"/>
      <c r="P28" s="88"/>
      <c r="Q28" s="88"/>
      <c r="R28" s="87" t="str">
        <f t="shared" si="3"/>
        <v/>
      </c>
      <c r="S28" s="90" t="str">
        <f t="shared" si="4"/>
        <v/>
      </c>
      <c r="T28" s="91" t="str">
        <f t="shared" si="5"/>
        <v/>
      </c>
      <c r="U28" s="85">
        <f t="shared" si="6"/>
        <v>0</v>
      </c>
    </row>
    <row r="29">
      <c r="A29" s="85">
        <v>27.0</v>
      </c>
      <c r="B29" s="35"/>
      <c r="C29" s="65"/>
      <c r="D29" s="76"/>
      <c r="E29" s="93"/>
      <c r="F29" s="76"/>
      <c r="G29" s="35"/>
      <c r="H29" s="85"/>
      <c r="I29" s="85"/>
      <c r="J29" s="87" t="str">
        <f t="shared" si="1"/>
        <v/>
      </c>
      <c r="K29" s="35"/>
      <c r="L29" s="88"/>
      <c r="M29" s="89"/>
      <c r="N29" s="87" t="str">
        <f t="shared" si="2"/>
        <v/>
      </c>
      <c r="O29" s="35"/>
      <c r="P29" s="88"/>
      <c r="Q29" s="88"/>
      <c r="R29" s="87" t="str">
        <f t="shared" si="3"/>
        <v/>
      </c>
      <c r="S29" s="90" t="str">
        <f t="shared" si="4"/>
        <v/>
      </c>
      <c r="T29" s="91" t="str">
        <f t="shared" si="5"/>
        <v/>
      </c>
      <c r="U29" s="85">
        <f t="shared" si="6"/>
        <v>0</v>
      </c>
    </row>
    <row r="30">
      <c r="A30" s="85">
        <v>28.0</v>
      </c>
      <c r="B30" s="35"/>
      <c r="C30" s="65"/>
      <c r="D30" s="76"/>
      <c r="E30" s="93"/>
      <c r="F30" s="76"/>
      <c r="G30" s="35"/>
      <c r="H30" s="85"/>
      <c r="I30" s="85"/>
      <c r="J30" s="87" t="str">
        <f t="shared" si="1"/>
        <v/>
      </c>
      <c r="K30" s="35"/>
      <c r="L30" s="88"/>
      <c r="M30" s="89"/>
      <c r="N30" s="87" t="str">
        <f t="shared" si="2"/>
        <v/>
      </c>
      <c r="O30" s="35"/>
      <c r="P30" s="88"/>
      <c r="Q30" s="88"/>
      <c r="R30" s="87" t="str">
        <f t="shared" si="3"/>
        <v/>
      </c>
      <c r="S30" s="90" t="str">
        <f t="shared" si="4"/>
        <v/>
      </c>
      <c r="T30" s="91" t="str">
        <f t="shared" si="5"/>
        <v/>
      </c>
      <c r="U30" s="85">
        <f t="shared" si="6"/>
        <v>0</v>
      </c>
    </row>
    <row r="31">
      <c r="A31" s="85">
        <v>29.0</v>
      </c>
      <c r="B31" s="35"/>
      <c r="C31" s="65"/>
      <c r="D31" s="76"/>
      <c r="E31" s="93"/>
      <c r="F31" s="76"/>
      <c r="G31" s="35"/>
      <c r="H31" s="85"/>
      <c r="I31" s="85"/>
      <c r="J31" s="87" t="str">
        <f t="shared" si="1"/>
        <v/>
      </c>
      <c r="K31" s="35"/>
      <c r="L31" s="88"/>
      <c r="M31" s="89"/>
      <c r="N31" s="87" t="str">
        <f t="shared" si="2"/>
        <v/>
      </c>
      <c r="O31" s="35"/>
      <c r="P31" s="88"/>
      <c r="Q31" s="88"/>
      <c r="R31" s="87" t="str">
        <f t="shared" si="3"/>
        <v/>
      </c>
      <c r="S31" s="90" t="str">
        <f t="shared" si="4"/>
        <v/>
      </c>
      <c r="T31" s="91" t="str">
        <f t="shared" si="5"/>
        <v/>
      </c>
      <c r="U31" s="85">
        <f t="shared" si="6"/>
        <v>0</v>
      </c>
    </row>
    <row r="32">
      <c r="A32" s="85">
        <v>30.0</v>
      </c>
      <c r="B32" s="35"/>
      <c r="C32" s="65"/>
      <c r="D32" s="76"/>
      <c r="E32" s="93"/>
      <c r="F32" s="76"/>
      <c r="G32" s="35"/>
      <c r="H32" s="85"/>
      <c r="I32" s="85"/>
      <c r="J32" s="87" t="str">
        <f t="shared" si="1"/>
        <v/>
      </c>
      <c r="K32" s="35"/>
      <c r="L32" s="88"/>
      <c r="M32" s="89"/>
      <c r="N32" s="87" t="str">
        <f t="shared" si="2"/>
        <v/>
      </c>
      <c r="O32" s="35"/>
      <c r="P32" s="88"/>
      <c r="Q32" s="88"/>
      <c r="R32" s="87" t="str">
        <f t="shared" si="3"/>
        <v/>
      </c>
      <c r="S32" s="90" t="str">
        <f t="shared" si="4"/>
        <v/>
      </c>
      <c r="T32" s="91" t="str">
        <f t="shared" si="5"/>
        <v/>
      </c>
      <c r="U32" s="85">
        <f t="shared" si="6"/>
        <v>0</v>
      </c>
    </row>
    <row r="33">
      <c r="A33" s="85">
        <v>31.0</v>
      </c>
      <c r="B33" s="35"/>
      <c r="C33" s="65"/>
      <c r="D33" s="76"/>
      <c r="E33" s="93"/>
      <c r="F33" s="76"/>
      <c r="G33" s="35"/>
      <c r="H33" s="85"/>
      <c r="I33" s="85"/>
      <c r="J33" s="87" t="str">
        <f t="shared" si="1"/>
        <v/>
      </c>
      <c r="K33" s="35"/>
      <c r="L33" s="88"/>
      <c r="M33" s="89"/>
      <c r="N33" s="87" t="str">
        <f t="shared" si="2"/>
        <v/>
      </c>
      <c r="O33" s="35"/>
      <c r="P33" s="88"/>
      <c r="Q33" s="88"/>
      <c r="R33" s="87" t="str">
        <f t="shared" si="3"/>
        <v/>
      </c>
      <c r="S33" s="90" t="str">
        <f t="shared" si="4"/>
        <v/>
      </c>
      <c r="T33" s="91" t="str">
        <f t="shared" si="5"/>
        <v/>
      </c>
      <c r="U33" s="85">
        <f t="shared" si="6"/>
        <v>0</v>
      </c>
    </row>
    <row r="34">
      <c r="A34" s="85">
        <v>32.0</v>
      </c>
      <c r="B34" s="35"/>
      <c r="C34" s="65"/>
      <c r="D34" s="76"/>
      <c r="E34" s="93"/>
      <c r="F34" s="76"/>
      <c r="G34" s="35"/>
      <c r="H34" s="85"/>
      <c r="I34" s="85"/>
      <c r="J34" s="87" t="str">
        <f t="shared" si="1"/>
        <v/>
      </c>
      <c r="K34" s="35"/>
      <c r="L34" s="88"/>
      <c r="M34" s="89"/>
      <c r="N34" s="87" t="str">
        <f t="shared" si="2"/>
        <v/>
      </c>
      <c r="O34" s="35"/>
      <c r="P34" s="88"/>
      <c r="Q34" s="88"/>
      <c r="R34" s="87" t="str">
        <f t="shared" si="3"/>
        <v/>
      </c>
      <c r="S34" s="90" t="str">
        <f t="shared" si="4"/>
        <v/>
      </c>
      <c r="T34" s="91" t="str">
        <f t="shared" si="5"/>
        <v/>
      </c>
      <c r="U34" s="85">
        <f t="shared" si="6"/>
        <v>0</v>
      </c>
    </row>
    <row r="35">
      <c r="A35" s="85">
        <v>33.0</v>
      </c>
      <c r="B35" s="35"/>
      <c r="C35" s="65"/>
      <c r="D35" s="76"/>
      <c r="E35" s="93"/>
      <c r="F35" s="76"/>
      <c r="G35" s="35"/>
      <c r="H35" s="85"/>
      <c r="I35" s="85"/>
      <c r="J35" s="87" t="str">
        <f t="shared" si="1"/>
        <v/>
      </c>
      <c r="K35" s="35"/>
      <c r="L35" s="88"/>
      <c r="M35" s="89"/>
      <c r="N35" s="87" t="str">
        <f t="shared" si="2"/>
        <v/>
      </c>
      <c r="O35" s="35"/>
      <c r="P35" s="88"/>
      <c r="Q35" s="88"/>
      <c r="R35" s="87" t="str">
        <f t="shared" si="3"/>
        <v/>
      </c>
      <c r="S35" s="90" t="str">
        <f t="shared" si="4"/>
        <v/>
      </c>
      <c r="T35" s="91" t="str">
        <f t="shared" si="5"/>
        <v/>
      </c>
      <c r="U35" s="85">
        <f t="shared" si="6"/>
        <v>0</v>
      </c>
    </row>
    <row r="36">
      <c r="A36" s="85">
        <v>34.0</v>
      </c>
      <c r="B36" s="35"/>
      <c r="C36" s="65"/>
      <c r="D36" s="76"/>
      <c r="E36" s="93"/>
      <c r="F36" s="76"/>
      <c r="G36" s="35"/>
      <c r="H36" s="85"/>
      <c r="I36" s="85"/>
      <c r="J36" s="87" t="str">
        <f t="shared" si="1"/>
        <v/>
      </c>
      <c r="K36" s="35"/>
      <c r="L36" s="88"/>
      <c r="M36" s="89"/>
      <c r="N36" s="87" t="str">
        <f t="shared" si="2"/>
        <v/>
      </c>
      <c r="O36" s="35"/>
      <c r="P36" s="88"/>
      <c r="Q36" s="88"/>
      <c r="R36" s="87" t="str">
        <f t="shared" si="3"/>
        <v/>
      </c>
      <c r="S36" s="90" t="str">
        <f t="shared" si="4"/>
        <v/>
      </c>
      <c r="T36" s="91" t="str">
        <f t="shared" si="5"/>
        <v/>
      </c>
      <c r="U36" s="85">
        <f t="shared" si="6"/>
        <v>0</v>
      </c>
    </row>
    <row r="37">
      <c r="A37" s="85">
        <v>35.0</v>
      </c>
      <c r="B37" s="35"/>
      <c r="C37" s="65"/>
      <c r="D37" s="76"/>
      <c r="E37" s="93"/>
      <c r="F37" s="76"/>
      <c r="G37" s="35"/>
      <c r="H37" s="85"/>
      <c r="I37" s="85"/>
      <c r="J37" s="87" t="str">
        <f t="shared" si="1"/>
        <v/>
      </c>
      <c r="K37" s="35"/>
      <c r="L37" s="88"/>
      <c r="M37" s="89"/>
      <c r="N37" s="87" t="str">
        <f t="shared" si="2"/>
        <v/>
      </c>
      <c r="O37" s="35"/>
      <c r="P37" s="88"/>
      <c r="Q37" s="88"/>
      <c r="R37" s="87" t="str">
        <f t="shared" si="3"/>
        <v/>
      </c>
      <c r="S37" s="90" t="str">
        <f t="shared" si="4"/>
        <v/>
      </c>
      <c r="T37" s="91" t="str">
        <f t="shared" si="5"/>
        <v/>
      </c>
      <c r="U37" s="85">
        <f t="shared" si="6"/>
        <v>0</v>
      </c>
    </row>
    <row r="38">
      <c r="A38" s="85">
        <v>36.0</v>
      </c>
      <c r="B38" s="35"/>
      <c r="C38" s="65"/>
      <c r="D38" s="76"/>
      <c r="E38" s="93"/>
      <c r="F38" s="76"/>
      <c r="G38" s="35"/>
      <c r="H38" s="85"/>
      <c r="I38" s="85"/>
      <c r="J38" s="87" t="str">
        <f t="shared" si="1"/>
        <v/>
      </c>
      <c r="K38" s="35"/>
      <c r="L38" s="88"/>
      <c r="M38" s="89"/>
      <c r="N38" s="87" t="str">
        <f t="shared" si="2"/>
        <v/>
      </c>
      <c r="O38" s="35"/>
      <c r="P38" s="88"/>
      <c r="Q38" s="88"/>
      <c r="R38" s="87" t="str">
        <f t="shared" si="3"/>
        <v/>
      </c>
      <c r="S38" s="90" t="str">
        <f t="shared" si="4"/>
        <v/>
      </c>
      <c r="T38" s="91" t="str">
        <f t="shared" si="5"/>
        <v/>
      </c>
      <c r="U38" s="85">
        <f t="shared" si="6"/>
        <v>0</v>
      </c>
    </row>
    <row r="39">
      <c r="A39" s="85">
        <v>37.0</v>
      </c>
      <c r="B39" s="35"/>
      <c r="C39" s="65"/>
      <c r="D39" s="76"/>
      <c r="E39" s="93"/>
      <c r="F39" s="76"/>
      <c r="G39" s="35"/>
      <c r="H39" s="85"/>
      <c r="I39" s="85"/>
      <c r="J39" s="87" t="str">
        <f t="shared" si="1"/>
        <v/>
      </c>
      <c r="K39" s="35"/>
      <c r="L39" s="88"/>
      <c r="M39" s="89"/>
      <c r="N39" s="87" t="str">
        <f t="shared" si="2"/>
        <v/>
      </c>
      <c r="O39" s="35"/>
      <c r="P39" s="88"/>
      <c r="Q39" s="88"/>
      <c r="R39" s="87" t="str">
        <f t="shared" si="3"/>
        <v/>
      </c>
      <c r="S39" s="90" t="str">
        <f t="shared" si="4"/>
        <v/>
      </c>
      <c r="T39" s="91" t="str">
        <f t="shared" si="5"/>
        <v/>
      </c>
      <c r="U39" s="85">
        <f t="shared" si="6"/>
        <v>0</v>
      </c>
    </row>
    <row r="40">
      <c r="A40" s="85">
        <v>38.0</v>
      </c>
      <c r="B40" s="35"/>
      <c r="C40" s="65"/>
      <c r="D40" s="76"/>
      <c r="E40" s="93"/>
      <c r="F40" s="76"/>
      <c r="G40" s="35"/>
      <c r="H40" s="85"/>
      <c r="I40" s="85"/>
      <c r="J40" s="87" t="str">
        <f t="shared" si="1"/>
        <v/>
      </c>
      <c r="K40" s="35"/>
      <c r="L40" s="88"/>
      <c r="M40" s="89"/>
      <c r="N40" s="87" t="str">
        <f t="shared" si="2"/>
        <v/>
      </c>
      <c r="O40" s="35"/>
      <c r="P40" s="88"/>
      <c r="Q40" s="88"/>
      <c r="R40" s="87" t="str">
        <f t="shared" si="3"/>
        <v/>
      </c>
      <c r="S40" s="90" t="str">
        <f t="shared" si="4"/>
        <v/>
      </c>
      <c r="T40" s="91" t="str">
        <f t="shared" si="5"/>
        <v/>
      </c>
      <c r="U40" s="85">
        <f t="shared" si="6"/>
        <v>0</v>
      </c>
    </row>
    <row r="41">
      <c r="A41" s="85">
        <v>39.0</v>
      </c>
      <c r="B41" s="35"/>
      <c r="C41" s="65"/>
      <c r="D41" s="76"/>
      <c r="E41" s="93"/>
      <c r="F41" s="76"/>
      <c r="G41" s="35"/>
      <c r="H41" s="85"/>
      <c r="I41" s="85"/>
      <c r="J41" s="87" t="str">
        <f t="shared" si="1"/>
        <v/>
      </c>
      <c r="K41" s="35"/>
      <c r="L41" s="88"/>
      <c r="M41" s="89"/>
      <c r="N41" s="87" t="str">
        <f t="shared" si="2"/>
        <v/>
      </c>
      <c r="O41" s="35"/>
      <c r="P41" s="88"/>
      <c r="Q41" s="88"/>
      <c r="R41" s="87" t="str">
        <f t="shared" si="3"/>
        <v/>
      </c>
      <c r="S41" s="90" t="str">
        <f t="shared" si="4"/>
        <v/>
      </c>
      <c r="T41" s="91" t="str">
        <f t="shared" si="5"/>
        <v/>
      </c>
      <c r="U41" s="85">
        <f t="shared" si="6"/>
        <v>0</v>
      </c>
    </row>
    <row r="42">
      <c r="A42" s="85">
        <v>40.0</v>
      </c>
      <c r="B42" s="35"/>
      <c r="C42" s="65"/>
      <c r="D42" s="76"/>
      <c r="E42" s="93"/>
      <c r="F42" s="76"/>
      <c r="G42" s="35"/>
      <c r="H42" s="85"/>
      <c r="I42" s="85"/>
      <c r="J42" s="87" t="str">
        <f t="shared" si="1"/>
        <v/>
      </c>
      <c r="K42" s="35"/>
      <c r="L42" s="88"/>
      <c r="M42" s="89"/>
      <c r="N42" s="87" t="str">
        <f t="shared" si="2"/>
        <v/>
      </c>
      <c r="O42" s="35"/>
      <c r="P42" s="88"/>
      <c r="Q42" s="88"/>
      <c r="R42" s="87" t="str">
        <f t="shared" si="3"/>
        <v/>
      </c>
      <c r="S42" s="90" t="str">
        <f t="shared" si="4"/>
        <v/>
      </c>
      <c r="T42" s="91" t="str">
        <f t="shared" si="5"/>
        <v/>
      </c>
      <c r="U42" s="85">
        <f t="shared" si="6"/>
        <v>0</v>
      </c>
    </row>
    <row r="43">
      <c r="A43" s="85">
        <v>41.0</v>
      </c>
      <c r="B43" s="35"/>
      <c r="C43" s="65"/>
      <c r="D43" s="76"/>
      <c r="E43" s="93"/>
      <c r="F43" s="76"/>
      <c r="G43" s="35"/>
      <c r="H43" s="85"/>
      <c r="I43" s="85"/>
      <c r="J43" s="87" t="str">
        <f t="shared" si="1"/>
        <v/>
      </c>
      <c r="K43" s="35"/>
      <c r="L43" s="88"/>
      <c r="M43" s="89"/>
      <c r="N43" s="87" t="str">
        <f t="shared" si="2"/>
        <v/>
      </c>
      <c r="O43" s="35"/>
      <c r="P43" s="88"/>
      <c r="Q43" s="88"/>
      <c r="R43" s="87" t="str">
        <f t="shared" si="3"/>
        <v/>
      </c>
      <c r="S43" s="90" t="str">
        <f t="shared" si="4"/>
        <v/>
      </c>
      <c r="T43" s="91" t="str">
        <f t="shared" si="5"/>
        <v/>
      </c>
      <c r="U43" s="85">
        <f t="shared" si="6"/>
        <v>0</v>
      </c>
    </row>
    <row r="44">
      <c r="A44" s="85">
        <v>42.0</v>
      </c>
      <c r="B44" s="35"/>
      <c r="C44" s="65"/>
      <c r="D44" s="76"/>
      <c r="E44" s="93"/>
      <c r="F44" s="76"/>
      <c r="G44" s="35"/>
      <c r="H44" s="85"/>
      <c r="I44" s="85"/>
      <c r="J44" s="87" t="str">
        <f t="shared" si="1"/>
        <v/>
      </c>
      <c r="K44" s="35"/>
      <c r="L44" s="88"/>
      <c r="M44" s="89"/>
      <c r="N44" s="87" t="str">
        <f t="shared" si="2"/>
        <v/>
      </c>
      <c r="O44" s="35"/>
      <c r="P44" s="88"/>
      <c r="Q44" s="88"/>
      <c r="R44" s="87" t="str">
        <f t="shared" si="3"/>
        <v/>
      </c>
      <c r="S44" s="90" t="str">
        <f t="shared" si="4"/>
        <v/>
      </c>
      <c r="T44" s="91" t="str">
        <f t="shared" si="5"/>
        <v/>
      </c>
      <c r="U44" s="85">
        <f t="shared" si="6"/>
        <v>0</v>
      </c>
    </row>
    <row r="45">
      <c r="A45" s="85">
        <v>43.0</v>
      </c>
      <c r="B45" s="35"/>
      <c r="C45" s="65"/>
      <c r="D45" s="76"/>
      <c r="E45" s="93"/>
      <c r="F45" s="76"/>
      <c r="G45" s="35"/>
      <c r="H45" s="85"/>
      <c r="I45" s="85"/>
      <c r="J45" s="87" t="str">
        <f t="shared" si="1"/>
        <v/>
      </c>
      <c r="K45" s="35"/>
      <c r="L45" s="88"/>
      <c r="M45" s="89"/>
      <c r="N45" s="87" t="str">
        <f t="shared" si="2"/>
        <v/>
      </c>
      <c r="O45" s="35"/>
      <c r="P45" s="88"/>
      <c r="Q45" s="88"/>
      <c r="R45" s="87" t="str">
        <f t="shared" si="3"/>
        <v/>
      </c>
      <c r="S45" s="90" t="str">
        <f t="shared" si="4"/>
        <v/>
      </c>
      <c r="T45" s="91" t="str">
        <f t="shared" si="5"/>
        <v/>
      </c>
      <c r="U45" s="85">
        <f t="shared" si="6"/>
        <v>0</v>
      </c>
    </row>
    <row r="46">
      <c r="A46" s="85">
        <v>44.0</v>
      </c>
      <c r="B46" s="35"/>
      <c r="C46" s="65"/>
      <c r="D46" s="76"/>
      <c r="E46" s="93"/>
      <c r="F46" s="76"/>
      <c r="G46" s="35"/>
      <c r="H46" s="85"/>
      <c r="I46" s="85"/>
      <c r="J46" s="87" t="str">
        <f t="shared" si="1"/>
        <v/>
      </c>
      <c r="K46" s="35"/>
      <c r="L46" s="88"/>
      <c r="M46" s="89"/>
      <c r="N46" s="87" t="str">
        <f t="shared" si="2"/>
        <v/>
      </c>
      <c r="O46" s="35"/>
      <c r="P46" s="88"/>
      <c r="Q46" s="88"/>
      <c r="R46" s="87" t="str">
        <f t="shared" si="3"/>
        <v/>
      </c>
      <c r="S46" s="90" t="str">
        <f t="shared" si="4"/>
        <v/>
      </c>
      <c r="T46" s="91" t="str">
        <f t="shared" si="5"/>
        <v/>
      </c>
      <c r="U46" s="85">
        <f t="shared" si="6"/>
        <v>0</v>
      </c>
    </row>
    <row r="47">
      <c r="A47" s="85">
        <v>45.0</v>
      </c>
      <c r="B47" s="35"/>
      <c r="C47" s="65"/>
      <c r="D47" s="76"/>
      <c r="E47" s="93"/>
      <c r="F47" s="76"/>
      <c r="G47" s="35"/>
      <c r="H47" s="85"/>
      <c r="I47" s="85"/>
      <c r="J47" s="87" t="str">
        <f t="shared" si="1"/>
        <v/>
      </c>
      <c r="K47" s="35"/>
      <c r="L47" s="88"/>
      <c r="M47" s="89"/>
      <c r="N47" s="87" t="str">
        <f t="shared" si="2"/>
        <v/>
      </c>
      <c r="O47" s="35"/>
      <c r="P47" s="88"/>
      <c r="Q47" s="88"/>
      <c r="R47" s="87" t="str">
        <f t="shared" si="3"/>
        <v/>
      </c>
      <c r="S47" s="90" t="str">
        <f t="shared" si="4"/>
        <v/>
      </c>
      <c r="T47" s="91" t="str">
        <f t="shared" si="5"/>
        <v/>
      </c>
      <c r="U47" s="85">
        <f t="shared" si="6"/>
        <v>0</v>
      </c>
    </row>
    <row r="48">
      <c r="A48" s="85">
        <v>46.0</v>
      </c>
      <c r="B48" s="35"/>
      <c r="C48" s="65"/>
      <c r="D48" s="76"/>
      <c r="E48" s="93"/>
      <c r="F48" s="76"/>
      <c r="G48" s="35"/>
      <c r="H48" s="85"/>
      <c r="I48" s="85"/>
      <c r="J48" s="87" t="str">
        <f t="shared" si="1"/>
        <v/>
      </c>
      <c r="K48" s="35"/>
      <c r="L48" s="88"/>
      <c r="M48" s="89"/>
      <c r="N48" s="87" t="str">
        <f t="shared" si="2"/>
        <v/>
      </c>
      <c r="O48" s="35"/>
      <c r="P48" s="88"/>
      <c r="Q48" s="88"/>
      <c r="R48" s="87" t="str">
        <f t="shared" si="3"/>
        <v/>
      </c>
      <c r="S48" s="90" t="str">
        <f t="shared" si="4"/>
        <v/>
      </c>
      <c r="T48" s="91" t="str">
        <f t="shared" si="5"/>
        <v/>
      </c>
      <c r="U48" s="85">
        <f t="shared" si="6"/>
        <v>0</v>
      </c>
    </row>
    <row r="49">
      <c r="A49" s="85">
        <v>47.0</v>
      </c>
      <c r="B49" s="35"/>
      <c r="C49" s="65"/>
      <c r="D49" s="76"/>
      <c r="E49" s="93"/>
      <c r="F49" s="76"/>
      <c r="G49" s="35"/>
      <c r="H49" s="85"/>
      <c r="I49" s="85"/>
      <c r="J49" s="87" t="str">
        <f t="shared" si="1"/>
        <v/>
      </c>
      <c r="K49" s="35"/>
      <c r="L49" s="88"/>
      <c r="M49" s="89"/>
      <c r="N49" s="87" t="str">
        <f t="shared" si="2"/>
        <v/>
      </c>
      <c r="O49" s="35"/>
      <c r="P49" s="88"/>
      <c r="Q49" s="88"/>
      <c r="R49" s="87" t="str">
        <f t="shared" si="3"/>
        <v/>
      </c>
      <c r="S49" s="90" t="str">
        <f t="shared" si="4"/>
        <v/>
      </c>
      <c r="T49" s="91" t="str">
        <f t="shared" si="5"/>
        <v/>
      </c>
      <c r="U49" s="85">
        <f t="shared" si="6"/>
        <v>0</v>
      </c>
    </row>
    <row r="50">
      <c r="A50" s="85">
        <v>48.0</v>
      </c>
      <c r="B50" s="35"/>
      <c r="C50" s="65"/>
      <c r="D50" s="76"/>
      <c r="E50" s="93"/>
      <c r="F50" s="76"/>
      <c r="G50" s="35"/>
      <c r="H50" s="85"/>
      <c r="I50" s="85"/>
      <c r="J50" s="87" t="str">
        <f t="shared" si="1"/>
        <v/>
      </c>
      <c r="K50" s="35"/>
      <c r="L50" s="88"/>
      <c r="M50" s="89"/>
      <c r="N50" s="87" t="str">
        <f t="shared" si="2"/>
        <v/>
      </c>
      <c r="O50" s="35"/>
      <c r="P50" s="88"/>
      <c r="Q50" s="88"/>
      <c r="R50" s="87" t="str">
        <f t="shared" si="3"/>
        <v/>
      </c>
      <c r="S50" s="90" t="str">
        <f t="shared" si="4"/>
        <v/>
      </c>
      <c r="T50" s="91" t="str">
        <f t="shared" si="5"/>
        <v/>
      </c>
      <c r="U50" s="85">
        <f t="shared" si="6"/>
        <v>0</v>
      </c>
    </row>
    <row r="51">
      <c r="A51" s="85">
        <v>49.0</v>
      </c>
      <c r="B51" s="35"/>
      <c r="C51" s="65"/>
      <c r="D51" s="76"/>
      <c r="E51" s="93"/>
      <c r="F51" s="76"/>
      <c r="G51" s="35"/>
      <c r="H51" s="85"/>
      <c r="I51" s="85"/>
      <c r="J51" s="87" t="str">
        <f t="shared" si="1"/>
        <v/>
      </c>
      <c r="K51" s="35"/>
      <c r="L51" s="88"/>
      <c r="M51" s="89"/>
      <c r="N51" s="87" t="str">
        <f t="shared" si="2"/>
        <v/>
      </c>
      <c r="O51" s="35"/>
      <c r="P51" s="88"/>
      <c r="Q51" s="88"/>
      <c r="R51" s="87" t="str">
        <f t="shared" si="3"/>
        <v/>
      </c>
      <c r="S51" s="90" t="str">
        <f t="shared" si="4"/>
        <v/>
      </c>
      <c r="T51" s="91" t="str">
        <f t="shared" si="5"/>
        <v/>
      </c>
      <c r="U51" s="85">
        <f t="shared" si="6"/>
        <v>0</v>
      </c>
    </row>
    <row r="52">
      <c r="A52" s="85">
        <v>50.0</v>
      </c>
      <c r="B52" s="35"/>
      <c r="C52" s="65"/>
      <c r="D52" s="76"/>
      <c r="E52" s="93"/>
      <c r="F52" s="76"/>
      <c r="G52" s="35"/>
      <c r="H52" s="85"/>
      <c r="I52" s="85"/>
      <c r="J52" s="87" t="str">
        <f t="shared" si="1"/>
        <v/>
      </c>
      <c r="K52" s="35"/>
      <c r="L52" s="88"/>
      <c r="M52" s="89"/>
      <c r="N52" s="87" t="str">
        <f t="shared" si="2"/>
        <v/>
      </c>
      <c r="O52" s="35"/>
      <c r="P52" s="88"/>
      <c r="Q52" s="88"/>
      <c r="R52" s="87" t="str">
        <f t="shared" si="3"/>
        <v/>
      </c>
      <c r="S52" s="90" t="str">
        <f t="shared" si="4"/>
        <v/>
      </c>
      <c r="T52" s="91" t="str">
        <f t="shared" si="5"/>
        <v/>
      </c>
      <c r="U52" s="85">
        <f t="shared" si="6"/>
        <v>0</v>
      </c>
    </row>
    <row r="53">
      <c r="A53" s="85">
        <v>51.0</v>
      </c>
      <c r="B53" s="35"/>
      <c r="C53" s="65"/>
      <c r="D53" s="76"/>
      <c r="E53" s="93"/>
      <c r="F53" s="76"/>
      <c r="G53" s="35"/>
      <c r="H53" s="85"/>
      <c r="I53" s="85"/>
      <c r="J53" s="87" t="str">
        <f t="shared" si="1"/>
        <v/>
      </c>
      <c r="K53" s="35"/>
      <c r="L53" s="88"/>
      <c r="M53" s="89"/>
      <c r="N53" s="87" t="str">
        <f t="shared" si="2"/>
        <v/>
      </c>
      <c r="O53" s="35"/>
      <c r="P53" s="88"/>
      <c r="Q53" s="88"/>
      <c r="R53" s="87" t="str">
        <f t="shared" si="3"/>
        <v/>
      </c>
      <c r="S53" s="90" t="str">
        <f t="shared" si="4"/>
        <v/>
      </c>
      <c r="T53" s="91" t="str">
        <f t="shared" si="5"/>
        <v/>
      </c>
      <c r="U53" s="85">
        <f t="shared" si="6"/>
        <v>0</v>
      </c>
    </row>
    <row r="54">
      <c r="A54" s="85">
        <v>52.0</v>
      </c>
      <c r="B54" s="35"/>
      <c r="C54" s="65"/>
      <c r="D54" s="76"/>
      <c r="E54" s="93"/>
      <c r="F54" s="76"/>
      <c r="G54" s="35"/>
      <c r="H54" s="85"/>
      <c r="I54" s="85"/>
      <c r="J54" s="87" t="str">
        <f t="shared" si="1"/>
        <v/>
      </c>
      <c r="K54" s="35"/>
      <c r="L54" s="88"/>
      <c r="M54" s="89"/>
      <c r="N54" s="87" t="str">
        <f t="shared" si="2"/>
        <v/>
      </c>
      <c r="O54" s="35"/>
      <c r="P54" s="88"/>
      <c r="Q54" s="88"/>
      <c r="R54" s="87" t="str">
        <f t="shared" si="3"/>
        <v/>
      </c>
      <c r="S54" s="90" t="str">
        <f t="shared" si="4"/>
        <v/>
      </c>
      <c r="T54" s="91" t="str">
        <f t="shared" si="5"/>
        <v/>
      </c>
      <c r="U54" s="85">
        <f t="shared" si="6"/>
        <v>0</v>
      </c>
    </row>
    <row r="55">
      <c r="A55" s="85">
        <v>53.0</v>
      </c>
      <c r="B55" s="35"/>
      <c r="C55" s="65"/>
      <c r="D55" s="76"/>
      <c r="E55" s="93"/>
      <c r="F55" s="76"/>
      <c r="G55" s="35"/>
      <c r="H55" s="85"/>
      <c r="I55" s="85"/>
      <c r="J55" s="87" t="str">
        <f t="shared" si="1"/>
        <v/>
      </c>
      <c r="K55" s="35"/>
      <c r="L55" s="88"/>
      <c r="M55" s="89"/>
      <c r="N55" s="87" t="str">
        <f t="shared" si="2"/>
        <v/>
      </c>
      <c r="O55" s="35"/>
      <c r="P55" s="88"/>
      <c r="Q55" s="88"/>
      <c r="R55" s="87" t="str">
        <f t="shared" si="3"/>
        <v/>
      </c>
      <c r="S55" s="90" t="str">
        <f t="shared" si="4"/>
        <v/>
      </c>
      <c r="T55" s="91" t="str">
        <f t="shared" si="5"/>
        <v/>
      </c>
      <c r="U55" s="85">
        <f t="shared" si="6"/>
        <v>0</v>
      </c>
    </row>
    <row r="56">
      <c r="A56" s="85">
        <v>54.0</v>
      </c>
      <c r="B56" s="35"/>
      <c r="C56" s="65"/>
      <c r="D56" s="76"/>
      <c r="E56" s="93"/>
      <c r="F56" s="76"/>
      <c r="G56" s="35"/>
      <c r="H56" s="85"/>
      <c r="I56" s="85"/>
      <c r="J56" s="87" t="str">
        <f t="shared" si="1"/>
        <v/>
      </c>
      <c r="K56" s="35"/>
      <c r="L56" s="88"/>
      <c r="M56" s="89"/>
      <c r="N56" s="87" t="str">
        <f t="shared" si="2"/>
        <v/>
      </c>
      <c r="O56" s="35"/>
      <c r="P56" s="88"/>
      <c r="Q56" s="88"/>
      <c r="R56" s="87" t="str">
        <f t="shared" si="3"/>
        <v/>
      </c>
      <c r="S56" s="90" t="str">
        <f t="shared" si="4"/>
        <v/>
      </c>
      <c r="T56" s="91" t="str">
        <f t="shared" si="5"/>
        <v/>
      </c>
      <c r="U56" s="85">
        <f t="shared" si="6"/>
        <v>0</v>
      </c>
    </row>
    <row r="57">
      <c r="A57" s="85">
        <v>55.0</v>
      </c>
      <c r="B57" s="35"/>
      <c r="C57" s="65"/>
      <c r="D57" s="76"/>
      <c r="E57" s="93"/>
      <c r="F57" s="76"/>
      <c r="G57" s="35"/>
      <c r="H57" s="85"/>
      <c r="I57" s="85"/>
      <c r="J57" s="87" t="str">
        <f t="shared" si="1"/>
        <v/>
      </c>
      <c r="K57" s="35"/>
      <c r="L57" s="88"/>
      <c r="M57" s="89"/>
      <c r="N57" s="87" t="str">
        <f t="shared" si="2"/>
        <v/>
      </c>
      <c r="O57" s="35"/>
      <c r="P57" s="88"/>
      <c r="Q57" s="88"/>
      <c r="R57" s="87" t="str">
        <f t="shared" si="3"/>
        <v/>
      </c>
      <c r="S57" s="90" t="str">
        <f t="shared" si="4"/>
        <v/>
      </c>
      <c r="T57" s="91" t="str">
        <f t="shared" si="5"/>
        <v/>
      </c>
      <c r="U57" s="85">
        <f t="shared" si="6"/>
        <v>0</v>
      </c>
    </row>
    <row r="58">
      <c r="A58" s="85">
        <v>56.0</v>
      </c>
      <c r="B58" s="35"/>
      <c r="C58" s="65"/>
      <c r="D58" s="76"/>
      <c r="E58" s="93"/>
      <c r="F58" s="76"/>
      <c r="G58" s="35"/>
      <c r="H58" s="85"/>
      <c r="I58" s="85"/>
      <c r="J58" s="87" t="str">
        <f t="shared" si="1"/>
        <v/>
      </c>
      <c r="K58" s="35"/>
      <c r="L58" s="88"/>
      <c r="M58" s="89"/>
      <c r="N58" s="87" t="str">
        <f t="shared" si="2"/>
        <v/>
      </c>
      <c r="O58" s="35"/>
      <c r="P58" s="88"/>
      <c r="Q58" s="88"/>
      <c r="R58" s="87" t="str">
        <f t="shared" si="3"/>
        <v/>
      </c>
      <c r="S58" s="90" t="str">
        <f t="shared" si="4"/>
        <v/>
      </c>
      <c r="T58" s="91" t="str">
        <f t="shared" si="5"/>
        <v/>
      </c>
      <c r="U58" s="85">
        <f t="shared" si="6"/>
        <v>0</v>
      </c>
    </row>
    <row r="59">
      <c r="A59" s="85">
        <v>57.0</v>
      </c>
      <c r="B59" s="35"/>
      <c r="C59" s="65"/>
      <c r="D59" s="76"/>
      <c r="E59" s="93"/>
      <c r="F59" s="76"/>
      <c r="G59" s="35"/>
      <c r="H59" s="85"/>
      <c r="I59" s="85"/>
      <c r="J59" s="87" t="str">
        <f t="shared" si="1"/>
        <v/>
      </c>
      <c r="K59" s="35"/>
      <c r="L59" s="88"/>
      <c r="M59" s="89"/>
      <c r="N59" s="87" t="str">
        <f t="shared" si="2"/>
        <v/>
      </c>
      <c r="O59" s="35"/>
      <c r="P59" s="88"/>
      <c r="Q59" s="88"/>
      <c r="R59" s="87" t="str">
        <f t="shared" si="3"/>
        <v/>
      </c>
      <c r="S59" s="90" t="str">
        <f t="shared" si="4"/>
        <v/>
      </c>
      <c r="T59" s="91" t="str">
        <f t="shared" si="5"/>
        <v/>
      </c>
      <c r="U59" s="85">
        <f t="shared" si="6"/>
        <v>0</v>
      </c>
    </row>
    <row r="60">
      <c r="A60" s="85">
        <v>58.0</v>
      </c>
      <c r="B60" s="35"/>
      <c r="C60" s="65"/>
      <c r="D60" s="76"/>
      <c r="E60" s="93"/>
      <c r="F60" s="76"/>
      <c r="G60" s="35"/>
      <c r="H60" s="85"/>
      <c r="I60" s="85"/>
      <c r="J60" s="87" t="str">
        <f t="shared" si="1"/>
        <v/>
      </c>
      <c r="K60" s="35"/>
      <c r="L60" s="88"/>
      <c r="M60" s="89"/>
      <c r="N60" s="87" t="str">
        <f t="shared" si="2"/>
        <v/>
      </c>
      <c r="O60" s="35"/>
      <c r="P60" s="88"/>
      <c r="Q60" s="88"/>
      <c r="R60" s="87" t="str">
        <f t="shared" si="3"/>
        <v/>
      </c>
      <c r="S60" s="90" t="str">
        <f t="shared" si="4"/>
        <v/>
      </c>
      <c r="T60" s="91" t="str">
        <f t="shared" si="5"/>
        <v/>
      </c>
      <c r="U60" s="85">
        <f t="shared" si="6"/>
        <v>0</v>
      </c>
    </row>
    <row r="61">
      <c r="A61" s="85">
        <v>59.0</v>
      </c>
      <c r="B61" s="35"/>
      <c r="C61" s="65"/>
      <c r="D61" s="76"/>
      <c r="E61" s="93"/>
      <c r="F61" s="76"/>
      <c r="G61" s="35"/>
      <c r="H61" s="85"/>
      <c r="I61" s="85"/>
      <c r="J61" s="87" t="str">
        <f t="shared" si="1"/>
        <v/>
      </c>
      <c r="K61" s="35"/>
      <c r="L61" s="88"/>
      <c r="M61" s="89"/>
      <c r="N61" s="87" t="str">
        <f t="shared" si="2"/>
        <v/>
      </c>
      <c r="O61" s="35"/>
      <c r="P61" s="88"/>
      <c r="Q61" s="88"/>
      <c r="R61" s="87" t="str">
        <f t="shared" si="3"/>
        <v/>
      </c>
      <c r="S61" s="90" t="str">
        <f t="shared" si="4"/>
        <v/>
      </c>
      <c r="T61" s="91" t="str">
        <f t="shared" si="5"/>
        <v/>
      </c>
      <c r="U61" s="85">
        <f t="shared" si="6"/>
        <v>0</v>
      </c>
    </row>
    <row r="62">
      <c r="A62" s="85">
        <v>60.0</v>
      </c>
      <c r="B62" s="35"/>
      <c r="C62" s="65"/>
      <c r="D62" s="76"/>
      <c r="E62" s="93"/>
      <c r="F62" s="76"/>
      <c r="G62" s="35"/>
      <c r="H62" s="85"/>
      <c r="I62" s="85"/>
      <c r="J62" s="87" t="str">
        <f t="shared" si="1"/>
        <v/>
      </c>
      <c r="K62" s="35"/>
      <c r="L62" s="88"/>
      <c r="M62" s="89"/>
      <c r="N62" s="87" t="str">
        <f t="shared" si="2"/>
        <v/>
      </c>
      <c r="O62" s="35"/>
      <c r="P62" s="88"/>
      <c r="Q62" s="88"/>
      <c r="R62" s="87" t="str">
        <f t="shared" si="3"/>
        <v/>
      </c>
      <c r="S62" s="90" t="str">
        <f t="shared" si="4"/>
        <v/>
      </c>
      <c r="T62" s="91" t="str">
        <f t="shared" si="5"/>
        <v/>
      </c>
      <c r="U62" s="85">
        <f t="shared" si="6"/>
        <v>0</v>
      </c>
    </row>
    <row r="63">
      <c r="A63" s="85">
        <v>61.0</v>
      </c>
      <c r="B63" s="35"/>
      <c r="C63" s="65"/>
      <c r="D63" s="76"/>
      <c r="E63" s="93"/>
      <c r="F63" s="76"/>
      <c r="G63" s="35"/>
      <c r="H63" s="85"/>
      <c r="I63" s="85"/>
      <c r="J63" s="87" t="str">
        <f t="shared" si="1"/>
        <v/>
      </c>
      <c r="K63" s="35"/>
      <c r="L63" s="88"/>
      <c r="M63" s="89"/>
      <c r="N63" s="87" t="str">
        <f t="shared" si="2"/>
        <v/>
      </c>
      <c r="O63" s="35"/>
      <c r="P63" s="88"/>
      <c r="Q63" s="88"/>
      <c r="R63" s="87" t="str">
        <f t="shared" si="3"/>
        <v/>
      </c>
      <c r="S63" s="90" t="str">
        <f t="shared" si="4"/>
        <v/>
      </c>
      <c r="T63" s="91" t="str">
        <f t="shared" si="5"/>
        <v/>
      </c>
      <c r="U63" s="85">
        <f t="shared" si="6"/>
        <v>0</v>
      </c>
    </row>
    <row r="64">
      <c r="A64" s="85">
        <v>62.0</v>
      </c>
      <c r="B64" s="35"/>
      <c r="C64" s="65"/>
      <c r="D64" s="76"/>
      <c r="E64" s="93"/>
      <c r="F64" s="76"/>
      <c r="G64" s="35"/>
      <c r="H64" s="85"/>
      <c r="I64" s="85"/>
      <c r="J64" s="87" t="str">
        <f t="shared" si="1"/>
        <v/>
      </c>
      <c r="K64" s="35"/>
      <c r="L64" s="88"/>
      <c r="M64" s="89"/>
      <c r="N64" s="87" t="str">
        <f t="shared" si="2"/>
        <v/>
      </c>
      <c r="O64" s="35"/>
      <c r="P64" s="88"/>
      <c r="Q64" s="88"/>
      <c r="R64" s="87" t="str">
        <f t="shared" si="3"/>
        <v/>
      </c>
      <c r="S64" s="90" t="str">
        <f t="shared" si="4"/>
        <v/>
      </c>
      <c r="T64" s="91" t="str">
        <f t="shared" si="5"/>
        <v/>
      </c>
      <c r="U64" s="85">
        <f t="shared" si="6"/>
        <v>0</v>
      </c>
    </row>
    <row r="65">
      <c r="A65" s="85">
        <v>63.0</v>
      </c>
      <c r="B65" s="35"/>
      <c r="C65" s="65"/>
      <c r="D65" s="76"/>
      <c r="E65" s="93"/>
      <c r="F65" s="76"/>
      <c r="G65" s="35"/>
      <c r="H65" s="85"/>
      <c r="I65" s="85"/>
      <c r="J65" s="87" t="str">
        <f t="shared" si="1"/>
        <v/>
      </c>
      <c r="K65" s="35"/>
      <c r="L65" s="88"/>
      <c r="M65" s="89"/>
      <c r="N65" s="87" t="str">
        <f t="shared" si="2"/>
        <v/>
      </c>
      <c r="O65" s="35"/>
      <c r="P65" s="88"/>
      <c r="Q65" s="88"/>
      <c r="R65" s="87" t="str">
        <f t="shared" si="3"/>
        <v/>
      </c>
      <c r="S65" s="90" t="str">
        <f t="shared" si="4"/>
        <v/>
      </c>
      <c r="T65" s="91" t="str">
        <f t="shared" si="5"/>
        <v/>
      </c>
      <c r="U65" s="85">
        <f t="shared" si="6"/>
        <v>0</v>
      </c>
    </row>
    <row r="66">
      <c r="A66" s="85">
        <v>64.0</v>
      </c>
      <c r="B66" s="35"/>
      <c r="C66" s="65"/>
      <c r="D66" s="76"/>
      <c r="E66" s="93"/>
      <c r="F66" s="76"/>
      <c r="G66" s="35"/>
      <c r="H66" s="85"/>
      <c r="I66" s="85"/>
      <c r="J66" s="87" t="str">
        <f t="shared" si="1"/>
        <v/>
      </c>
      <c r="K66" s="35"/>
      <c r="L66" s="88"/>
      <c r="M66" s="89"/>
      <c r="N66" s="87" t="str">
        <f t="shared" si="2"/>
        <v/>
      </c>
      <c r="O66" s="35"/>
      <c r="P66" s="88"/>
      <c r="Q66" s="88"/>
      <c r="R66" s="87" t="str">
        <f t="shared" si="3"/>
        <v/>
      </c>
      <c r="S66" s="90" t="str">
        <f t="shared" si="4"/>
        <v/>
      </c>
      <c r="T66" s="91" t="str">
        <f t="shared" si="5"/>
        <v/>
      </c>
      <c r="U66" s="85">
        <f t="shared" si="6"/>
        <v>0</v>
      </c>
    </row>
    <row r="67">
      <c r="A67" s="85">
        <v>65.0</v>
      </c>
      <c r="B67" s="35"/>
      <c r="C67" s="65"/>
      <c r="D67" s="76"/>
      <c r="E67" s="93"/>
      <c r="F67" s="76"/>
      <c r="G67" s="35"/>
      <c r="H67" s="85"/>
      <c r="I67" s="85"/>
      <c r="J67" s="87" t="str">
        <f t="shared" si="1"/>
        <v/>
      </c>
      <c r="K67" s="35"/>
      <c r="L67" s="88"/>
      <c r="M67" s="89"/>
      <c r="N67" s="87" t="str">
        <f t="shared" si="2"/>
        <v/>
      </c>
      <c r="O67" s="35"/>
      <c r="P67" s="88"/>
      <c r="Q67" s="88"/>
      <c r="R67" s="87" t="str">
        <f t="shared" si="3"/>
        <v/>
      </c>
      <c r="S67" s="90" t="str">
        <f t="shared" si="4"/>
        <v/>
      </c>
      <c r="T67" s="91" t="str">
        <f t="shared" si="5"/>
        <v/>
      </c>
      <c r="U67" s="85">
        <f t="shared" si="6"/>
        <v>0</v>
      </c>
    </row>
    <row r="68">
      <c r="A68" s="85">
        <v>66.0</v>
      </c>
      <c r="B68" s="35"/>
      <c r="C68" s="65"/>
      <c r="D68" s="76"/>
      <c r="E68" s="93"/>
      <c r="F68" s="76"/>
      <c r="G68" s="35"/>
      <c r="H68" s="85"/>
      <c r="I68" s="85"/>
      <c r="J68" s="87" t="str">
        <f t="shared" si="1"/>
        <v/>
      </c>
      <c r="K68" s="35"/>
      <c r="L68" s="88"/>
      <c r="M68" s="89"/>
      <c r="N68" s="87" t="str">
        <f t="shared" si="2"/>
        <v/>
      </c>
      <c r="O68" s="35"/>
      <c r="P68" s="88"/>
      <c r="Q68" s="88"/>
      <c r="R68" s="87" t="str">
        <f t="shared" si="3"/>
        <v/>
      </c>
      <c r="S68" s="90" t="str">
        <f t="shared" si="4"/>
        <v/>
      </c>
      <c r="T68" s="91" t="str">
        <f t="shared" si="5"/>
        <v/>
      </c>
      <c r="U68" s="85">
        <f t="shared" si="6"/>
        <v>0</v>
      </c>
    </row>
    <row r="69">
      <c r="A69" s="85">
        <v>67.0</v>
      </c>
      <c r="B69" s="35"/>
      <c r="C69" s="65"/>
      <c r="D69" s="76"/>
      <c r="E69" s="93"/>
      <c r="F69" s="76"/>
      <c r="G69" s="35"/>
      <c r="H69" s="85"/>
      <c r="I69" s="85"/>
      <c r="J69" s="87" t="str">
        <f t="shared" si="1"/>
        <v/>
      </c>
      <c r="K69" s="35"/>
      <c r="L69" s="88"/>
      <c r="M69" s="89"/>
      <c r="N69" s="87" t="str">
        <f t="shared" si="2"/>
        <v/>
      </c>
      <c r="O69" s="35"/>
      <c r="P69" s="88"/>
      <c r="Q69" s="88"/>
      <c r="R69" s="87" t="str">
        <f t="shared" si="3"/>
        <v/>
      </c>
      <c r="S69" s="90" t="str">
        <f t="shared" si="4"/>
        <v/>
      </c>
      <c r="T69" s="91" t="str">
        <f t="shared" si="5"/>
        <v/>
      </c>
      <c r="U69" s="85">
        <f t="shared" si="6"/>
        <v>0</v>
      </c>
    </row>
    <row r="70">
      <c r="A70" s="85">
        <v>68.0</v>
      </c>
      <c r="B70" s="35"/>
      <c r="C70" s="65"/>
      <c r="D70" s="76"/>
      <c r="E70" s="93"/>
      <c r="F70" s="76"/>
      <c r="G70" s="35"/>
      <c r="H70" s="85"/>
      <c r="I70" s="85"/>
      <c r="J70" s="87" t="str">
        <f t="shared" si="1"/>
        <v/>
      </c>
      <c r="K70" s="35"/>
      <c r="L70" s="88"/>
      <c r="M70" s="89"/>
      <c r="N70" s="87" t="str">
        <f t="shared" si="2"/>
        <v/>
      </c>
      <c r="O70" s="35"/>
      <c r="P70" s="88"/>
      <c r="Q70" s="88"/>
      <c r="R70" s="87" t="str">
        <f t="shared" si="3"/>
        <v/>
      </c>
      <c r="S70" s="90" t="str">
        <f t="shared" si="4"/>
        <v/>
      </c>
      <c r="T70" s="91" t="str">
        <f t="shared" si="5"/>
        <v/>
      </c>
      <c r="U70" s="85">
        <f t="shared" si="6"/>
        <v>0</v>
      </c>
    </row>
    <row r="71">
      <c r="A71" s="85">
        <v>69.0</v>
      </c>
      <c r="B71" s="35"/>
      <c r="C71" s="65"/>
      <c r="D71" s="76"/>
      <c r="E71" s="93"/>
      <c r="F71" s="76"/>
      <c r="G71" s="35"/>
      <c r="H71" s="85"/>
      <c r="I71" s="85"/>
      <c r="J71" s="87" t="str">
        <f t="shared" si="1"/>
        <v/>
      </c>
      <c r="K71" s="35"/>
      <c r="L71" s="88"/>
      <c r="M71" s="89"/>
      <c r="N71" s="87" t="str">
        <f t="shared" si="2"/>
        <v/>
      </c>
      <c r="O71" s="35"/>
      <c r="P71" s="88"/>
      <c r="Q71" s="88"/>
      <c r="R71" s="87" t="str">
        <f t="shared" si="3"/>
        <v/>
      </c>
      <c r="S71" s="90" t="str">
        <f t="shared" si="4"/>
        <v/>
      </c>
      <c r="T71" s="91" t="str">
        <f t="shared" si="5"/>
        <v/>
      </c>
      <c r="U71" s="85">
        <f t="shared" si="6"/>
        <v>0</v>
      </c>
    </row>
    <row r="72">
      <c r="A72" s="85">
        <v>70.0</v>
      </c>
      <c r="B72" s="35"/>
      <c r="C72" s="65"/>
      <c r="D72" s="76"/>
      <c r="E72" s="93"/>
      <c r="F72" s="76"/>
      <c r="G72" s="35"/>
      <c r="H72" s="85"/>
      <c r="I72" s="85"/>
      <c r="J72" s="87" t="str">
        <f t="shared" si="1"/>
        <v/>
      </c>
      <c r="K72" s="35"/>
      <c r="L72" s="88"/>
      <c r="M72" s="89"/>
      <c r="N72" s="87" t="str">
        <f t="shared" si="2"/>
        <v/>
      </c>
      <c r="O72" s="35"/>
      <c r="P72" s="88"/>
      <c r="Q72" s="88"/>
      <c r="R72" s="87" t="str">
        <f t="shared" si="3"/>
        <v/>
      </c>
      <c r="S72" s="90" t="str">
        <f t="shared" si="4"/>
        <v/>
      </c>
      <c r="T72" s="91" t="str">
        <f t="shared" si="5"/>
        <v/>
      </c>
      <c r="U72" s="85">
        <f t="shared" si="6"/>
        <v>0</v>
      </c>
    </row>
    <row r="73">
      <c r="A73" s="85">
        <v>71.0</v>
      </c>
      <c r="B73" s="35"/>
      <c r="C73" s="65"/>
      <c r="D73" s="76"/>
      <c r="E73" s="93"/>
      <c r="F73" s="76"/>
      <c r="G73" s="35"/>
      <c r="H73" s="85"/>
      <c r="I73" s="85"/>
      <c r="J73" s="87" t="str">
        <f t="shared" si="1"/>
        <v/>
      </c>
      <c r="K73" s="35"/>
      <c r="L73" s="88"/>
      <c r="M73" s="89"/>
      <c r="N73" s="87" t="str">
        <f t="shared" si="2"/>
        <v/>
      </c>
      <c r="O73" s="35"/>
      <c r="P73" s="88"/>
      <c r="Q73" s="88"/>
      <c r="R73" s="87" t="str">
        <f t="shared" si="3"/>
        <v/>
      </c>
      <c r="S73" s="90" t="str">
        <f t="shared" si="4"/>
        <v/>
      </c>
      <c r="T73" s="91" t="str">
        <f t="shared" si="5"/>
        <v/>
      </c>
      <c r="U73" s="85">
        <f t="shared" si="6"/>
        <v>0</v>
      </c>
    </row>
    <row r="74">
      <c r="A74" s="85">
        <v>72.0</v>
      </c>
      <c r="B74" s="35"/>
      <c r="C74" s="65"/>
      <c r="D74" s="76"/>
      <c r="E74" s="93"/>
      <c r="F74" s="76"/>
      <c r="G74" s="35"/>
      <c r="H74" s="85"/>
      <c r="I74" s="85"/>
      <c r="J74" s="87" t="str">
        <f t="shared" si="1"/>
        <v/>
      </c>
      <c r="K74" s="35"/>
      <c r="L74" s="88"/>
      <c r="M74" s="89"/>
      <c r="N74" s="87" t="str">
        <f t="shared" si="2"/>
        <v/>
      </c>
      <c r="O74" s="35"/>
      <c r="P74" s="88"/>
      <c r="Q74" s="88"/>
      <c r="R74" s="87" t="str">
        <f t="shared" si="3"/>
        <v/>
      </c>
      <c r="S74" s="90" t="str">
        <f t="shared" si="4"/>
        <v/>
      </c>
      <c r="T74" s="91" t="str">
        <f t="shared" si="5"/>
        <v/>
      </c>
      <c r="U74" s="85">
        <f t="shared" si="6"/>
        <v>0</v>
      </c>
    </row>
    <row r="75">
      <c r="A75" s="85">
        <v>73.0</v>
      </c>
      <c r="B75" s="35"/>
      <c r="C75" s="65"/>
      <c r="D75" s="76"/>
      <c r="E75" s="93"/>
      <c r="F75" s="76"/>
      <c r="G75" s="35"/>
      <c r="H75" s="85"/>
      <c r="I75" s="85"/>
      <c r="J75" s="87" t="str">
        <f t="shared" si="1"/>
        <v/>
      </c>
      <c r="K75" s="35"/>
      <c r="L75" s="88"/>
      <c r="M75" s="89"/>
      <c r="N75" s="87" t="str">
        <f t="shared" si="2"/>
        <v/>
      </c>
      <c r="O75" s="35"/>
      <c r="P75" s="88"/>
      <c r="Q75" s="88"/>
      <c r="R75" s="87" t="str">
        <f t="shared" si="3"/>
        <v/>
      </c>
      <c r="S75" s="90" t="str">
        <f t="shared" si="4"/>
        <v/>
      </c>
      <c r="T75" s="91" t="str">
        <f t="shared" si="5"/>
        <v/>
      </c>
      <c r="U75" s="85">
        <f t="shared" si="6"/>
        <v>0</v>
      </c>
    </row>
    <row r="76">
      <c r="A76" s="85">
        <v>74.0</v>
      </c>
      <c r="B76" s="35"/>
      <c r="C76" s="65"/>
      <c r="D76" s="76"/>
      <c r="E76" s="93"/>
      <c r="F76" s="76"/>
      <c r="G76" s="35"/>
      <c r="H76" s="85"/>
      <c r="I76" s="85"/>
      <c r="J76" s="87" t="str">
        <f t="shared" si="1"/>
        <v/>
      </c>
      <c r="K76" s="35"/>
      <c r="L76" s="88"/>
      <c r="M76" s="89"/>
      <c r="N76" s="87" t="str">
        <f t="shared" si="2"/>
        <v/>
      </c>
      <c r="O76" s="35"/>
      <c r="P76" s="88"/>
      <c r="Q76" s="88"/>
      <c r="R76" s="87" t="str">
        <f t="shared" si="3"/>
        <v/>
      </c>
      <c r="S76" s="90" t="str">
        <f t="shared" si="4"/>
        <v/>
      </c>
      <c r="T76" s="91" t="str">
        <f t="shared" si="5"/>
        <v/>
      </c>
      <c r="U76" s="85">
        <f t="shared" si="6"/>
        <v>0</v>
      </c>
    </row>
    <row r="77">
      <c r="A77" s="85">
        <v>75.0</v>
      </c>
      <c r="B77" s="35"/>
      <c r="C77" s="65"/>
      <c r="D77" s="76"/>
      <c r="E77" s="93"/>
      <c r="F77" s="76"/>
      <c r="G77" s="35"/>
      <c r="H77" s="85"/>
      <c r="I77" s="85"/>
      <c r="J77" s="87" t="str">
        <f t="shared" si="1"/>
        <v/>
      </c>
      <c r="K77" s="35"/>
      <c r="L77" s="88"/>
      <c r="M77" s="89"/>
      <c r="N77" s="87" t="str">
        <f t="shared" si="2"/>
        <v/>
      </c>
      <c r="O77" s="35"/>
      <c r="P77" s="88"/>
      <c r="Q77" s="88"/>
      <c r="R77" s="87" t="str">
        <f t="shared" si="3"/>
        <v/>
      </c>
      <c r="S77" s="90" t="str">
        <f t="shared" si="4"/>
        <v/>
      </c>
      <c r="T77" s="91" t="str">
        <f t="shared" si="5"/>
        <v/>
      </c>
      <c r="U77" s="85">
        <f t="shared" si="6"/>
        <v>0</v>
      </c>
    </row>
  </sheetData>
  <autoFilter ref="$B$2:$T$77"/>
  <customSheetViews>
    <customSheetView guid="{B0C17AAF-6872-48F8-A58E-565BF6C8DB27}" filter="1" showAutoFilter="1">
      <autoFilter ref="$C$2:$T$52"/>
    </customSheetView>
  </customSheetViews>
  <mergeCells count="3">
    <mergeCell ref="K1:N1"/>
    <mergeCell ref="O1:R1"/>
    <mergeCell ref="G1:J1"/>
  </mergeCells>
  <conditionalFormatting sqref="G3:I77 K3:M77 O3:Q77">
    <cfRule type="endsWith" dxfId="2" priority="1" operator="endsWith" text="g">
      <formula>RIGHT((G3),LEN("g"))=("g")</formula>
    </cfRule>
  </conditionalFormatting>
  <conditionalFormatting sqref="G3:I77 K3:M77 O3:Q77">
    <cfRule type="endsWith" dxfId="1" priority="2" operator="endsWith" text="x">
      <formula>RIGHT((G3),LEN("x"))=("x")</formula>
    </cfRule>
  </conditionalFormatting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tabColor rgb="FF000000"/>
    <outlinePr summaryBelow="0" summaryRight="0"/>
  </sheetPr>
  <sheetViews>
    <sheetView workbookViewId="0">
      <pane xSplit="6.0" ySplit="2.0" topLeftCell="G3" activePane="bottomRight" state="frozen"/>
      <selection activeCell="G1" sqref="G1" pane="topRight"/>
      <selection activeCell="A3" sqref="A3" pane="bottomLeft"/>
      <selection activeCell="G3" sqref="G3" pane="bottomRight"/>
    </sheetView>
  </sheetViews>
  <sheetFormatPr customHeight="1" defaultColWidth="14.43" defaultRowHeight="15.75"/>
  <cols>
    <col customWidth="1" min="1" max="1" width="3.57"/>
    <col customWidth="1" min="2" max="2" width="10.57"/>
    <col customWidth="1" min="3" max="3" width="6.86"/>
    <col customWidth="1" min="4" max="4" width="14.71"/>
    <col customWidth="1" min="5" max="5" width="7.57"/>
    <col customWidth="1" min="6" max="6" width="18.29"/>
    <col customWidth="1" min="7" max="18" width="5.71"/>
    <col customWidth="1" min="19" max="19" width="9.86"/>
    <col customWidth="1" min="20" max="20" width="11.0"/>
    <col customWidth="1" hidden="1" min="21" max="21" width="11.0"/>
  </cols>
  <sheetData>
    <row r="1">
      <c r="A1" s="14"/>
      <c r="B1" s="16" t="s">
        <v>19</v>
      </c>
      <c r="C1" s="16" t="s">
        <v>135</v>
      </c>
      <c r="D1" s="57" t="s">
        <v>22</v>
      </c>
      <c r="E1" s="57" t="s">
        <v>23</v>
      </c>
      <c r="F1" s="57" t="s">
        <v>25</v>
      </c>
      <c r="G1" s="57" t="s">
        <v>115</v>
      </c>
      <c r="K1" s="57" t="s">
        <v>116</v>
      </c>
      <c r="O1" s="57" t="s">
        <v>117</v>
      </c>
      <c r="S1" s="57" t="s">
        <v>118</v>
      </c>
      <c r="T1" s="57" t="s">
        <v>119</v>
      </c>
      <c r="U1" s="57"/>
    </row>
    <row r="2">
      <c r="A2" s="81"/>
      <c r="B2" s="83" t="s">
        <v>19</v>
      </c>
      <c r="C2" s="83" t="s">
        <v>135</v>
      </c>
      <c r="D2" s="83" t="s">
        <v>22</v>
      </c>
      <c r="E2" s="84" t="s">
        <v>23</v>
      </c>
      <c r="F2" s="83" t="s">
        <v>25</v>
      </c>
      <c r="G2" s="83" t="s">
        <v>136</v>
      </c>
      <c r="H2" s="83" t="s">
        <v>137</v>
      </c>
      <c r="I2" s="83" t="s">
        <v>138</v>
      </c>
      <c r="J2" s="83" t="s">
        <v>139</v>
      </c>
      <c r="K2" s="83" t="s">
        <v>140</v>
      </c>
      <c r="L2" s="83" t="s">
        <v>141</v>
      </c>
      <c r="M2" s="83" t="s">
        <v>142</v>
      </c>
      <c r="N2" s="83" t="s">
        <v>143</v>
      </c>
      <c r="O2" s="83" t="s">
        <v>144</v>
      </c>
      <c r="P2" s="83" t="s">
        <v>145</v>
      </c>
      <c r="Q2" s="83" t="s">
        <v>146</v>
      </c>
      <c r="R2" s="83" t="s">
        <v>147</v>
      </c>
      <c r="S2" s="83"/>
      <c r="T2" s="84" t="s">
        <v>119</v>
      </c>
      <c r="U2" s="84"/>
    </row>
    <row r="3">
      <c r="A3" s="85">
        <v>1.0</v>
      </c>
      <c r="B3" s="35" t="s">
        <v>95</v>
      </c>
      <c r="C3" s="35" t="s">
        <v>109</v>
      </c>
      <c r="D3" s="86" t="s">
        <v>321</v>
      </c>
      <c r="E3" s="35">
        <v>235.8</v>
      </c>
      <c r="F3" s="86" t="s">
        <v>517</v>
      </c>
      <c r="G3" s="35" t="s">
        <v>162</v>
      </c>
      <c r="H3" s="85" t="s">
        <v>151</v>
      </c>
      <c r="I3" s="85" t="s">
        <v>182</v>
      </c>
      <c r="J3" s="87">
        <f t="shared" ref="J3:J77" si="1">IFERROR(__xludf.DUMMYFUNCTION("if(isblank(B3),,Max(if(right(G3,1)=""g"",split(G3,""g""),),if(right(H3,1)=""g"",split(H3,""g""),),if(right(I3,1)=""g"",split(I3,""g""),)))"),200.0)</f>
        <v>200</v>
      </c>
      <c r="K3" s="35" t="s">
        <v>193</v>
      </c>
      <c r="L3" s="88" t="s">
        <v>243</v>
      </c>
      <c r="M3" s="88" t="s">
        <v>243</v>
      </c>
      <c r="N3" s="87">
        <f t="shared" ref="N3:N77" si="2">IFERROR(__xludf.DUMMYFUNCTION("if(isblank($B3),,Max(if(right(K3,1)=""g"",split(K3,""g""),),if(right(L3,1)=""g"",split(L3,""g""),),if(right(M3,1)=""g"",split(M3,""g""),)))"),115.0)</f>
        <v>115</v>
      </c>
      <c r="O3" s="35" t="s">
        <v>182</v>
      </c>
      <c r="P3" s="88" t="s">
        <v>166</v>
      </c>
      <c r="Q3" s="88" t="s">
        <v>156</v>
      </c>
      <c r="R3" s="87">
        <f t="shared" ref="R3:R77" si="3">IFERROR(__xludf.DUMMYFUNCTION("if(isblank($B3),,Max(if(right(O3,1)=""g"",split(O3,""g""),),if(right(P3,1)=""g"",split(P3,""g""),),if(right(Q3,1)=""g"",split(Q3,""g""),)))"),225.0)</f>
        <v>225</v>
      </c>
      <c r="S3" s="90">
        <f t="shared" ref="S3:S77" si="4">if(isblank(F3),,if(or(and(right(G3,1)="x",right(H3,1)="x",right(I3,1)="x"),and(right(K3,1)="x",right(L3,1)="x",right(M3,1)="x"),and(right(O3,1)="x",right(P3,1)="x",right(Q3,1)="x")),0,J3+N3+R3))</f>
        <v>540</v>
      </c>
      <c r="T3" s="91">
        <f t="shared" ref="T3:T77" si="5">if(isblank(E3),,S3/E3)</f>
        <v>2.290076336</v>
      </c>
      <c r="U3" s="85">
        <f t="shared" ref="U3:U77" si="6">countif(G3:Q3,"*g")</f>
        <v>6</v>
      </c>
    </row>
    <row r="4">
      <c r="A4" s="85">
        <v>2.0</v>
      </c>
      <c r="B4" s="35" t="s">
        <v>99</v>
      </c>
      <c r="C4" s="35" t="s">
        <v>109</v>
      </c>
      <c r="D4" s="86" t="s">
        <v>260</v>
      </c>
      <c r="E4" s="35">
        <v>250.2</v>
      </c>
      <c r="F4" s="86" t="s">
        <v>518</v>
      </c>
      <c r="G4" s="35" t="s">
        <v>186</v>
      </c>
      <c r="H4" s="85" t="s">
        <v>316</v>
      </c>
      <c r="I4" s="85" t="s">
        <v>316</v>
      </c>
      <c r="J4" s="87">
        <f t="shared" si="1"/>
        <v>135</v>
      </c>
      <c r="K4" s="35" t="s">
        <v>216</v>
      </c>
      <c r="L4" s="88" t="s">
        <v>193</v>
      </c>
      <c r="M4" s="88" t="s">
        <v>155</v>
      </c>
      <c r="N4" s="87">
        <f t="shared" si="2"/>
        <v>115</v>
      </c>
      <c r="O4" s="35" t="s">
        <v>254</v>
      </c>
      <c r="P4" s="88" t="s">
        <v>190</v>
      </c>
      <c r="Q4" s="88" t="s">
        <v>156</v>
      </c>
      <c r="R4" s="87">
        <f t="shared" si="3"/>
        <v>225</v>
      </c>
      <c r="S4" s="90">
        <f t="shared" si="4"/>
        <v>475</v>
      </c>
      <c r="T4" s="91">
        <f t="shared" si="5"/>
        <v>1.898481215</v>
      </c>
      <c r="U4" s="85">
        <f t="shared" si="6"/>
        <v>6</v>
      </c>
    </row>
    <row r="5">
      <c r="A5" s="85">
        <v>3.0</v>
      </c>
      <c r="B5" s="35" t="s">
        <v>99</v>
      </c>
      <c r="C5" s="35" t="s">
        <v>109</v>
      </c>
      <c r="D5" s="86" t="s">
        <v>287</v>
      </c>
      <c r="E5" s="85">
        <v>313.2</v>
      </c>
      <c r="F5" s="86" t="s">
        <v>519</v>
      </c>
      <c r="G5" s="35" t="s">
        <v>235</v>
      </c>
      <c r="H5" s="85" t="s">
        <v>182</v>
      </c>
      <c r="I5" s="85" t="s">
        <v>301</v>
      </c>
      <c r="J5" s="87">
        <f t="shared" si="1"/>
        <v>200</v>
      </c>
      <c r="K5" s="35" t="s">
        <v>164</v>
      </c>
      <c r="L5" s="88" t="s">
        <v>165</v>
      </c>
      <c r="M5" s="88" t="s">
        <v>154</v>
      </c>
      <c r="N5" s="87">
        <f t="shared" si="2"/>
        <v>110</v>
      </c>
      <c r="O5" s="35" t="s">
        <v>254</v>
      </c>
      <c r="P5" s="88" t="s">
        <v>271</v>
      </c>
      <c r="Q5" s="88" t="s">
        <v>389</v>
      </c>
      <c r="R5" s="87">
        <f t="shared" si="3"/>
        <v>205</v>
      </c>
      <c r="S5" s="90">
        <f t="shared" si="4"/>
        <v>515</v>
      </c>
      <c r="T5" s="91">
        <f t="shared" si="5"/>
        <v>1.644316731</v>
      </c>
      <c r="U5" s="85">
        <f t="shared" si="6"/>
        <v>5</v>
      </c>
    </row>
    <row r="6" ht="16.5" customHeight="1">
      <c r="A6" s="85">
        <v>4.0</v>
      </c>
      <c r="B6" s="35" t="s">
        <v>99</v>
      </c>
      <c r="C6" s="35" t="s">
        <v>109</v>
      </c>
      <c r="D6" s="86" t="s">
        <v>268</v>
      </c>
      <c r="E6" s="35">
        <v>290.4</v>
      </c>
      <c r="F6" s="86" t="s">
        <v>520</v>
      </c>
      <c r="G6" s="35" t="s">
        <v>295</v>
      </c>
      <c r="H6" s="85" t="s">
        <v>328</v>
      </c>
      <c r="I6" s="85" t="s">
        <v>506</v>
      </c>
      <c r="J6" s="87">
        <f t="shared" si="1"/>
        <v>260</v>
      </c>
      <c r="K6" s="35" t="s">
        <v>154</v>
      </c>
      <c r="L6" s="88" t="s">
        <v>197</v>
      </c>
      <c r="M6" s="88" t="s">
        <v>198</v>
      </c>
      <c r="N6" s="87">
        <f t="shared" si="2"/>
        <v>120</v>
      </c>
      <c r="O6" s="35" t="s">
        <v>308</v>
      </c>
      <c r="P6" s="88" t="s">
        <v>157</v>
      </c>
      <c r="Q6" s="88" t="s">
        <v>389</v>
      </c>
      <c r="R6" s="87">
        <f t="shared" si="3"/>
        <v>230</v>
      </c>
      <c r="S6" s="90">
        <f t="shared" si="4"/>
        <v>610</v>
      </c>
      <c r="T6" s="91">
        <f t="shared" si="5"/>
        <v>2.100550964</v>
      </c>
      <c r="U6" s="85">
        <f t="shared" si="6"/>
        <v>4</v>
      </c>
    </row>
    <row r="7">
      <c r="A7" s="85">
        <v>5.0</v>
      </c>
      <c r="B7" s="35" t="s">
        <v>99</v>
      </c>
      <c r="C7" s="35" t="s">
        <v>109</v>
      </c>
      <c r="D7" s="86" t="s">
        <v>478</v>
      </c>
      <c r="E7" s="35">
        <v>277.0</v>
      </c>
      <c r="F7" s="86" t="s">
        <v>521</v>
      </c>
      <c r="G7" s="35" t="s">
        <v>211</v>
      </c>
      <c r="H7" s="85" t="s">
        <v>190</v>
      </c>
      <c r="I7" s="85" t="s">
        <v>271</v>
      </c>
      <c r="J7" s="87">
        <f t="shared" si="1"/>
        <v>215</v>
      </c>
      <c r="K7" s="35" t="s">
        <v>179</v>
      </c>
      <c r="L7" s="88" t="s">
        <v>170</v>
      </c>
      <c r="M7" s="88" t="s">
        <v>316</v>
      </c>
      <c r="N7" s="87">
        <f t="shared" si="2"/>
        <v>140</v>
      </c>
      <c r="O7" s="35" t="s">
        <v>190</v>
      </c>
      <c r="P7" s="88" t="s">
        <v>255</v>
      </c>
      <c r="Q7" s="88" t="s">
        <v>328</v>
      </c>
      <c r="R7" s="87">
        <f t="shared" si="3"/>
        <v>260</v>
      </c>
      <c r="S7" s="90">
        <f t="shared" si="4"/>
        <v>615</v>
      </c>
      <c r="T7" s="91">
        <f t="shared" si="5"/>
        <v>2.220216606</v>
      </c>
      <c r="U7" s="85">
        <f t="shared" si="6"/>
        <v>6</v>
      </c>
    </row>
    <row r="8">
      <c r="A8" s="85">
        <v>6.0</v>
      </c>
      <c r="B8" s="35" t="s">
        <v>99</v>
      </c>
      <c r="C8" s="35" t="s">
        <v>109</v>
      </c>
      <c r="D8" s="86" t="s">
        <v>375</v>
      </c>
      <c r="E8" s="35">
        <v>271.4</v>
      </c>
      <c r="F8" s="86" t="s">
        <v>522</v>
      </c>
      <c r="G8" s="35" t="s">
        <v>186</v>
      </c>
      <c r="H8" s="85" t="s">
        <v>203</v>
      </c>
      <c r="I8" s="85" t="s">
        <v>152</v>
      </c>
      <c r="J8" s="87">
        <f t="shared" si="1"/>
        <v>170</v>
      </c>
      <c r="K8" s="35" t="s">
        <v>193</v>
      </c>
      <c r="L8" s="88" t="s">
        <v>243</v>
      </c>
      <c r="M8" s="88" t="s">
        <v>243</v>
      </c>
      <c r="N8" s="87">
        <f t="shared" si="2"/>
        <v>115</v>
      </c>
      <c r="O8" s="35" t="s">
        <v>158</v>
      </c>
      <c r="P8" s="88" t="s">
        <v>449</v>
      </c>
      <c r="Q8" s="88" t="s">
        <v>449</v>
      </c>
      <c r="R8" s="87">
        <f t="shared" si="3"/>
        <v>240</v>
      </c>
      <c r="S8" s="90">
        <f t="shared" si="4"/>
        <v>525</v>
      </c>
      <c r="T8" s="91">
        <f t="shared" si="5"/>
        <v>1.934414149</v>
      </c>
      <c r="U8" s="85">
        <f t="shared" si="6"/>
        <v>4</v>
      </c>
    </row>
    <row r="9">
      <c r="A9" s="85">
        <v>7.0</v>
      </c>
      <c r="B9" s="35" t="s">
        <v>95</v>
      </c>
      <c r="C9" s="35" t="s">
        <v>109</v>
      </c>
      <c r="D9" s="86" t="s">
        <v>184</v>
      </c>
      <c r="E9" s="35">
        <v>229.6</v>
      </c>
      <c r="F9" s="86" t="s">
        <v>523</v>
      </c>
      <c r="G9" s="35" t="s">
        <v>166</v>
      </c>
      <c r="H9" s="85" t="s">
        <v>320</v>
      </c>
      <c r="I9" s="85" t="s">
        <v>191</v>
      </c>
      <c r="J9" s="87">
        <f t="shared" si="1"/>
        <v>210</v>
      </c>
      <c r="K9" s="35" t="s">
        <v>153</v>
      </c>
      <c r="L9" s="88" t="s">
        <v>154</v>
      </c>
      <c r="M9" s="88" t="s">
        <v>155</v>
      </c>
      <c r="N9" s="87">
        <f t="shared" si="2"/>
        <v>110</v>
      </c>
      <c r="O9" s="35" t="s">
        <v>308</v>
      </c>
      <c r="P9" s="88" t="s">
        <v>176</v>
      </c>
      <c r="Q9" s="88" t="s">
        <v>325</v>
      </c>
      <c r="R9" s="87">
        <f t="shared" si="3"/>
        <v>275</v>
      </c>
      <c r="S9" s="90">
        <f t="shared" si="4"/>
        <v>595</v>
      </c>
      <c r="T9" s="91">
        <f t="shared" si="5"/>
        <v>2.591463415</v>
      </c>
      <c r="U9" s="85">
        <f t="shared" si="6"/>
        <v>6</v>
      </c>
    </row>
    <row r="10">
      <c r="A10" s="85">
        <v>8.0</v>
      </c>
      <c r="B10" s="35" t="s">
        <v>99</v>
      </c>
      <c r="C10" s="35" t="s">
        <v>109</v>
      </c>
      <c r="D10" s="86" t="s">
        <v>251</v>
      </c>
      <c r="E10" s="35">
        <v>251.2</v>
      </c>
      <c r="F10" s="86" t="s">
        <v>524</v>
      </c>
      <c r="G10" s="35" t="s">
        <v>190</v>
      </c>
      <c r="H10" s="85" t="s">
        <v>158</v>
      </c>
      <c r="I10" s="85" t="s">
        <v>525</v>
      </c>
      <c r="J10" s="87">
        <f t="shared" si="1"/>
        <v>240</v>
      </c>
      <c r="K10" s="35" t="s">
        <v>179</v>
      </c>
      <c r="L10" s="88" t="s">
        <v>186</v>
      </c>
      <c r="M10" s="88" t="s">
        <v>316</v>
      </c>
      <c r="N10" s="87">
        <f t="shared" si="2"/>
        <v>135</v>
      </c>
      <c r="O10" s="35" t="s">
        <v>293</v>
      </c>
      <c r="P10" s="88" t="s">
        <v>510</v>
      </c>
      <c r="Q10" s="88" t="s">
        <v>510</v>
      </c>
      <c r="R10" s="87">
        <f t="shared" si="3"/>
        <v>265</v>
      </c>
      <c r="S10" s="90">
        <f t="shared" si="4"/>
        <v>640</v>
      </c>
      <c r="T10" s="91">
        <f t="shared" si="5"/>
        <v>2.547770701</v>
      </c>
      <c r="U10" s="85">
        <f t="shared" si="6"/>
        <v>5</v>
      </c>
    </row>
    <row r="11">
      <c r="A11" s="85">
        <v>9.0</v>
      </c>
      <c r="B11" s="35" t="s">
        <v>95</v>
      </c>
      <c r="C11" s="35" t="s">
        <v>109</v>
      </c>
      <c r="D11" s="86" t="s">
        <v>260</v>
      </c>
      <c r="E11" s="35">
        <v>227.6</v>
      </c>
      <c r="F11" s="86" t="s">
        <v>526</v>
      </c>
      <c r="G11" s="35" t="s">
        <v>151</v>
      </c>
      <c r="H11" s="85" t="s">
        <v>175</v>
      </c>
      <c r="I11" s="85" t="s">
        <v>254</v>
      </c>
      <c r="J11" s="87">
        <f t="shared" si="1"/>
        <v>205</v>
      </c>
      <c r="K11" s="35" t="s">
        <v>155</v>
      </c>
      <c r="L11" s="88" t="s">
        <v>155</v>
      </c>
      <c r="M11" s="88" t="s">
        <v>197</v>
      </c>
      <c r="N11" s="87">
        <f t="shared" si="2"/>
        <v>120</v>
      </c>
      <c r="O11" s="35" t="s">
        <v>297</v>
      </c>
      <c r="P11" s="88" t="s">
        <v>490</v>
      </c>
      <c r="Q11" s="88" t="s">
        <v>527</v>
      </c>
      <c r="R11" s="87">
        <f t="shared" si="3"/>
        <v>280</v>
      </c>
      <c r="S11" s="90">
        <f t="shared" si="4"/>
        <v>605</v>
      </c>
      <c r="T11" s="91">
        <f t="shared" si="5"/>
        <v>2.658172232</v>
      </c>
      <c r="U11" s="85">
        <f t="shared" si="6"/>
        <v>5</v>
      </c>
    </row>
    <row r="12">
      <c r="A12" s="85">
        <v>10.0</v>
      </c>
      <c r="B12" s="35" t="s">
        <v>95</v>
      </c>
      <c r="C12" s="35" t="s">
        <v>109</v>
      </c>
      <c r="D12" s="86" t="s">
        <v>251</v>
      </c>
      <c r="E12" s="35">
        <v>222.0</v>
      </c>
      <c r="F12" s="86" t="s">
        <v>528</v>
      </c>
      <c r="G12" s="35" t="s">
        <v>254</v>
      </c>
      <c r="H12" s="85" t="s">
        <v>183</v>
      </c>
      <c r="I12" s="85" t="s">
        <v>191</v>
      </c>
      <c r="J12" s="87">
        <f t="shared" si="1"/>
        <v>220</v>
      </c>
      <c r="K12" s="35" t="s">
        <v>153</v>
      </c>
      <c r="L12" s="88" t="s">
        <v>227</v>
      </c>
      <c r="M12" s="88" t="s">
        <v>227</v>
      </c>
      <c r="N12" s="87">
        <f t="shared" si="2"/>
        <v>105</v>
      </c>
      <c r="O12" s="35" t="s">
        <v>293</v>
      </c>
      <c r="P12" s="88" t="s">
        <v>527</v>
      </c>
      <c r="Q12" s="88" t="s">
        <v>527</v>
      </c>
      <c r="R12" s="87">
        <f t="shared" si="3"/>
        <v>265</v>
      </c>
      <c r="S12" s="90">
        <f t="shared" si="4"/>
        <v>590</v>
      </c>
      <c r="T12" s="91">
        <f t="shared" si="5"/>
        <v>2.657657658</v>
      </c>
      <c r="U12" s="85">
        <f t="shared" si="6"/>
        <v>4</v>
      </c>
    </row>
    <row r="13">
      <c r="A13" s="85">
        <v>11.0</v>
      </c>
      <c r="B13" s="35" t="s">
        <v>99</v>
      </c>
      <c r="C13" s="35" t="s">
        <v>109</v>
      </c>
      <c r="D13" s="86" t="s">
        <v>260</v>
      </c>
      <c r="E13" s="35">
        <v>290.0</v>
      </c>
      <c r="F13" s="86" t="s">
        <v>529</v>
      </c>
      <c r="G13" s="35" t="s">
        <v>254</v>
      </c>
      <c r="H13" s="85" t="s">
        <v>191</v>
      </c>
      <c r="I13" s="85" t="s">
        <v>156</v>
      </c>
      <c r="J13" s="87">
        <f t="shared" si="1"/>
        <v>225</v>
      </c>
      <c r="K13" s="35" t="s">
        <v>153</v>
      </c>
      <c r="L13" s="88" t="s">
        <v>154</v>
      </c>
      <c r="M13" s="88" t="s">
        <v>193</v>
      </c>
      <c r="N13" s="87">
        <f t="shared" si="2"/>
        <v>115</v>
      </c>
      <c r="O13" s="35" t="s">
        <v>490</v>
      </c>
      <c r="P13" s="88" t="s">
        <v>459</v>
      </c>
      <c r="Q13" s="88" t="s">
        <v>530</v>
      </c>
      <c r="R13" s="87">
        <f t="shared" si="3"/>
        <v>295</v>
      </c>
      <c r="S13" s="90">
        <f t="shared" si="4"/>
        <v>635</v>
      </c>
      <c r="T13" s="91">
        <f t="shared" si="5"/>
        <v>2.189655172</v>
      </c>
      <c r="U13" s="85">
        <f t="shared" si="6"/>
        <v>7</v>
      </c>
    </row>
    <row r="14">
      <c r="A14" s="85">
        <v>12.0</v>
      </c>
      <c r="B14" s="35" t="s">
        <v>95</v>
      </c>
      <c r="C14" s="35" t="s">
        <v>109</v>
      </c>
      <c r="D14" s="86" t="s">
        <v>177</v>
      </c>
      <c r="E14" s="35">
        <v>231.2</v>
      </c>
      <c r="F14" s="86" t="s">
        <v>531</v>
      </c>
      <c r="G14" s="35" t="s">
        <v>186</v>
      </c>
      <c r="H14" s="85" t="s">
        <v>224</v>
      </c>
      <c r="I14" s="85" t="s">
        <v>151</v>
      </c>
      <c r="J14" s="87">
        <f t="shared" si="1"/>
        <v>185</v>
      </c>
      <c r="K14" s="35" t="s">
        <v>216</v>
      </c>
      <c r="L14" s="88" t="s">
        <v>193</v>
      </c>
      <c r="M14" s="88" t="s">
        <v>243</v>
      </c>
      <c r="N14" s="87">
        <f t="shared" si="2"/>
        <v>115</v>
      </c>
      <c r="O14" s="35" t="s">
        <v>176</v>
      </c>
      <c r="P14" s="88" t="s">
        <v>399</v>
      </c>
      <c r="Q14" s="88" t="s">
        <v>469</v>
      </c>
      <c r="R14" s="87">
        <f t="shared" si="3"/>
        <v>305</v>
      </c>
      <c r="S14" s="90">
        <f t="shared" si="4"/>
        <v>605</v>
      </c>
      <c r="T14" s="91">
        <f t="shared" si="5"/>
        <v>2.616782007</v>
      </c>
      <c r="U14" s="85">
        <f t="shared" si="6"/>
        <v>8</v>
      </c>
    </row>
    <row r="15">
      <c r="A15" s="85">
        <v>13.0</v>
      </c>
      <c r="B15" s="35" t="s">
        <v>95</v>
      </c>
      <c r="C15" s="35" t="s">
        <v>109</v>
      </c>
      <c r="D15" s="86" t="s">
        <v>260</v>
      </c>
      <c r="E15" s="35">
        <v>227.8</v>
      </c>
      <c r="F15" s="86" t="s">
        <v>532</v>
      </c>
      <c r="G15" s="35" t="s">
        <v>151</v>
      </c>
      <c r="H15" s="85" t="s">
        <v>182</v>
      </c>
      <c r="I15" s="85" t="s">
        <v>191</v>
      </c>
      <c r="J15" s="87">
        <f t="shared" si="1"/>
        <v>200</v>
      </c>
      <c r="K15" s="35" t="s">
        <v>193</v>
      </c>
      <c r="L15" s="88" t="s">
        <v>179</v>
      </c>
      <c r="M15" s="88" t="s">
        <v>234</v>
      </c>
      <c r="N15" s="87">
        <f t="shared" si="2"/>
        <v>130</v>
      </c>
      <c r="O15" s="35" t="s">
        <v>328</v>
      </c>
      <c r="P15" s="88" t="s">
        <v>399</v>
      </c>
      <c r="Q15" s="88" t="s">
        <v>469</v>
      </c>
      <c r="R15" s="87">
        <f t="shared" si="3"/>
        <v>305</v>
      </c>
      <c r="S15" s="90">
        <f t="shared" si="4"/>
        <v>635</v>
      </c>
      <c r="T15" s="91">
        <f t="shared" si="5"/>
        <v>2.787532924</v>
      </c>
      <c r="U15" s="85">
        <f t="shared" si="6"/>
        <v>8</v>
      </c>
    </row>
    <row r="16">
      <c r="A16" s="85">
        <v>14.0</v>
      </c>
      <c r="B16" s="35" t="s">
        <v>95</v>
      </c>
      <c r="C16" s="35" t="s">
        <v>109</v>
      </c>
      <c r="D16" s="86" t="s">
        <v>287</v>
      </c>
      <c r="E16" s="35">
        <v>229.0</v>
      </c>
      <c r="F16" s="86" t="s">
        <v>533</v>
      </c>
      <c r="G16" s="35" t="s">
        <v>235</v>
      </c>
      <c r="H16" s="85" t="s">
        <v>254</v>
      </c>
      <c r="I16" s="85" t="s">
        <v>156</v>
      </c>
      <c r="J16" s="87">
        <f t="shared" si="1"/>
        <v>225</v>
      </c>
      <c r="K16" s="35" t="s">
        <v>164</v>
      </c>
      <c r="L16" s="88" t="s">
        <v>154</v>
      </c>
      <c r="M16" s="88" t="s">
        <v>243</v>
      </c>
      <c r="N16" s="87">
        <f t="shared" si="2"/>
        <v>110</v>
      </c>
      <c r="O16" s="35" t="s">
        <v>329</v>
      </c>
      <c r="P16" s="88" t="s">
        <v>406</v>
      </c>
      <c r="Q16" s="88" t="s">
        <v>514</v>
      </c>
      <c r="R16" s="87">
        <f t="shared" si="3"/>
        <v>310</v>
      </c>
      <c r="S16" s="90">
        <f t="shared" si="4"/>
        <v>645</v>
      </c>
      <c r="T16" s="91">
        <f t="shared" si="5"/>
        <v>2.816593886</v>
      </c>
      <c r="U16" s="85">
        <f t="shared" si="6"/>
        <v>8</v>
      </c>
    </row>
    <row r="17">
      <c r="A17" s="85">
        <v>15.0</v>
      </c>
      <c r="B17" s="35" t="s">
        <v>99</v>
      </c>
      <c r="C17" s="35" t="s">
        <v>109</v>
      </c>
      <c r="D17" s="86" t="s">
        <v>478</v>
      </c>
      <c r="E17" s="85">
        <v>270.4</v>
      </c>
      <c r="F17" s="86" t="s">
        <v>534</v>
      </c>
      <c r="G17" s="35" t="s">
        <v>405</v>
      </c>
      <c r="H17" s="85" t="s">
        <v>325</v>
      </c>
      <c r="I17" s="85" t="s">
        <v>516</v>
      </c>
      <c r="J17" s="87">
        <f t="shared" si="1"/>
        <v>275</v>
      </c>
      <c r="K17" s="35" t="s">
        <v>245</v>
      </c>
      <c r="L17" s="88" t="s">
        <v>202</v>
      </c>
      <c r="M17" s="88" t="s">
        <v>201</v>
      </c>
      <c r="N17" s="87">
        <f t="shared" si="2"/>
        <v>155</v>
      </c>
      <c r="O17" s="35" t="s">
        <v>399</v>
      </c>
      <c r="P17" s="88" t="s">
        <v>407</v>
      </c>
      <c r="Q17" s="88" t="s">
        <v>535</v>
      </c>
      <c r="R17" s="87">
        <f t="shared" si="3"/>
        <v>340</v>
      </c>
      <c r="S17" s="90">
        <f t="shared" si="4"/>
        <v>770</v>
      </c>
      <c r="T17" s="91">
        <f t="shared" si="5"/>
        <v>2.847633136</v>
      </c>
      <c r="U17" s="85">
        <f t="shared" si="6"/>
        <v>6</v>
      </c>
    </row>
    <row r="18">
      <c r="A18" s="85">
        <v>16.0</v>
      </c>
      <c r="B18" s="35"/>
      <c r="C18" s="35"/>
      <c r="D18" s="86"/>
      <c r="E18" s="35"/>
      <c r="F18" s="86"/>
      <c r="G18" s="35"/>
      <c r="H18" s="85"/>
      <c r="I18" s="85"/>
      <c r="J18" s="87" t="str">
        <f t="shared" si="1"/>
        <v/>
      </c>
      <c r="K18" s="35"/>
      <c r="L18" s="88"/>
      <c r="M18" s="88"/>
      <c r="N18" s="87" t="str">
        <f t="shared" si="2"/>
        <v/>
      </c>
      <c r="O18" s="35"/>
      <c r="P18" s="88"/>
      <c r="Q18" s="88"/>
      <c r="R18" s="87" t="str">
        <f t="shared" si="3"/>
        <v/>
      </c>
      <c r="S18" s="90" t="str">
        <f t="shared" si="4"/>
        <v/>
      </c>
      <c r="T18" s="91" t="str">
        <f t="shared" si="5"/>
        <v/>
      </c>
      <c r="U18" s="85">
        <f t="shared" si="6"/>
        <v>0</v>
      </c>
    </row>
    <row r="19">
      <c r="A19" s="85">
        <v>17.0</v>
      </c>
      <c r="B19" s="35"/>
      <c r="C19" s="35"/>
      <c r="D19" s="86"/>
      <c r="E19" s="35"/>
      <c r="F19" s="86"/>
      <c r="G19" s="35"/>
      <c r="H19" s="85"/>
      <c r="I19" s="85"/>
      <c r="J19" s="87" t="str">
        <f t="shared" si="1"/>
        <v/>
      </c>
      <c r="K19" s="35"/>
      <c r="L19" s="88"/>
      <c r="M19" s="88"/>
      <c r="N19" s="87" t="str">
        <f t="shared" si="2"/>
        <v/>
      </c>
      <c r="O19" s="35"/>
      <c r="P19" s="88"/>
      <c r="Q19" s="88"/>
      <c r="R19" s="87" t="str">
        <f t="shared" si="3"/>
        <v/>
      </c>
      <c r="S19" s="90" t="str">
        <f t="shared" si="4"/>
        <v/>
      </c>
      <c r="T19" s="91" t="str">
        <f t="shared" si="5"/>
        <v/>
      </c>
      <c r="U19" s="85">
        <f t="shared" si="6"/>
        <v>0</v>
      </c>
    </row>
    <row r="20">
      <c r="A20" s="85">
        <v>18.0</v>
      </c>
      <c r="B20" s="35"/>
      <c r="C20" s="35"/>
      <c r="D20" s="86"/>
      <c r="E20" s="35"/>
      <c r="F20" s="86"/>
      <c r="G20" s="35"/>
      <c r="H20" s="85"/>
      <c r="I20" s="85"/>
      <c r="J20" s="87" t="str">
        <f t="shared" si="1"/>
        <v/>
      </c>
      <c r="K20" s="35"/>
      <c r="L20" s="88"/>
      <c r="M20" s="88"/>
      <c r="N20" s="87" t="str">
        <f t="shared" si="2"/>
        <v/>
      </c>
      <c r="O20" s="35"/>
      <c r="P20" s="88"/>
      <c r="Q20" s="88"/>
      <c r="R20" s="87" t="str">
        <f t="shared" si="3"/>
        <v/>
      </c>
      <c r="S20" s="90" t="str">
        <f t="shared" si="4"/>
        <v/>
      </c>
      <c r="T20" s="91" t="str">
        <f t="shared" si="5"/>
        <v/>
      </c>
      <c r="U20" s="85">
        <f t="shared" si="6"/>
        <v>0</v>
      </c>
    </row>
    <row r="21">
      <c r="A21" s="85">
        <v>19.0</v>
      </c>
      <c r="B21" s="35"/>
      <c r="C21" s="35"/>
      <c r="D21" s="86"/>
      <c r="E21" s="35"/>
      <c r="F21" s="86"/>
      <c r="G21" s="35"/>
      <c r="H21" s="85"/>
      <c r="I21" s="85"/>
      <c r="J21" s="87" t="str">
        <f t="shared" si="1"/>
        <v/>
      </c>
      <c r="K21" s="35"/>
      <c r="L21" s="88"/>
      <c r="M21" s="88"/>
      <c r="N21" s="87" t="str">
        <f t="shared" si="2"/>
        <v/>
      </c>
      <c r="O21" s="35"/>
      <c r="P21" s="88"/>
      <c r="Q21" s="88"/>
      <c r="R21" s="87" t="str">
        <f t="shared" si="3"/>
        <v/>
      </c>
      <c r="S21" s="90" t="str">
        <f t="shared" si="4"/>
        <v/>
      </c>
      <c r="T21" s="91" t="str">
        <f t="shared" si="5"/>
        <v/>
      </c>
      <c r="U21" s="85">
        <f t="shared" si="6"/>
        <v>0</v>
      </c>
    </row>
    <row r="22">
      <c r="A22" s="85">
        <v>20.0</v>
      </c>
      <c r="B22" s="35"/>
      <c r="C22" s="35"/>
      <c r="D22" s="86"/>
      <c r="E22" s="35"/>
      <c r="F22" s="86"/>
      <c r="G22" s="35"/>
      <c r="H22" s="85"/>
      <c r="I22" s="85"/>
      <c r="J22" s="87" t="str">
        <f t="shared" si="1"/>
        <v/>
      </c>
      <c r="K22" s="35"/>
      <c r="L22" s="88"/>
      <c r="M22" s="88"/>
      <c r="N22" s="87" t="str">
        <f t="shared" si="2"/>
        <v/>
      </c>
      <c r="O22" s="35"/>
      <c r="P22" s="88"/>
      <c r="Q22" s="88"/>
      <c r="R22" s="87" t="str">
        <f t="shared" si="3"/>
        <v/>
      </c>
      <c r="S22" s="90" t="str">
        <f t="shared" si="4"/>
        <v/>
      </c>
      <c r="T22" s="91" t="str">
        <f t="shared" si="5"/>
        <v/>
      </c>
      <c r="U22" s="85">
        <f t="shared" si="6"/>
        <v>0</v>
      </c>
    </row>
    <row r="23">
      <c r="A23" s="85">
        <v>21.0</v>
      </c>
      <c r="B23" s="35"/>
      <c r="C23" s="35"/>
      <c r="D23" s="86"/>
      <c r="E23" s="35"/>
      <c r="F23" s="86"/>
      <c r="G23" s="35"/>
      <c r="H23" s="85"/>
      <c r="I23" s="85"/>
      <c r="J23" s="87" t="str">
        <f t="shared" si="1"/>
        <v/>
      </c>
      <c r="K23" s="35"/>
      <c r="L23" s="88"/>
      <c r="M23" s="88"/>
      <c r="N23" s="87" t="str">
        <f t="shared" si="2"/>
        <v/>
      </c>
      <c r="O23" s="35"/>
      <c r="P23" s="88"/>
      <c r="Q23" s="88"/>
      <c r="R23" s="87" t="str">
        <f t="shared" si="3"/>
        <v/>
      </c>
      <c r="S23" s="90" t="str">
        <f t="shared" si="4"/>
        <v/>
      </c>
      <c r="T23" s="91" t="str">
        <f t="shared" si="5"/>
        <v/>
      </c>
      <c r="U23" s="85">
        <f t="shared" si="6"/>
        <v>0</v>
      </c>
    </row>
    <row r="24">
      <c r="A24" s="85">
        <v>22.0</v>
      </c>
      <c r="B24" s="35"/>
      <c r="C24" s="35"/>
      <c r="D24" s="86"/>
      <c r="E24" s="85"/>
      <c r="F24" s="86"/>
      <c r="G24" s="35"/>
      <c r="H24" s="85"/>
      <c r="I24" s="85"/>
      <c r="J24" s="87" t="str">
        <f t="shared" si="1"/>
        <v/>
      </c>
      <c r="K24" s="35"/>
      <c r="L24" s="88"/>
      <c r="M24" s="88"/>
      <c r="N24" s="87" t="str">
        <f t="shared" si="2"/>
        <v/>
      </c>
      <c r="O24" s="35"/>
      <c r="P24" s="88"/>
      <c r="Q24" s="88"/>
      <c r="R24" s="87" t="str">
        <f t="shared" si="3"/>
        <v/>
      </c>
      <c r="S24" s="90" t="str">
        <f t="shared" si="4"/>
        <v/>
      </c>
      <c r="T24" s="91" t="str">
        <f t="shared" si="5"/>
        <v/>
      </c>
      <c r="U24" s="85">
        <f t="shared" si="6"/>
        <v>0</v>
      </c>
    </row>
    <row r="25">
      <c r="A25" s="85">
        <v>23.0</v>
      </c>
      <c r="B25" s="35"/>
      <c r="C25" s="35"/>
      <c r="D25" s="86"/>
      <c r="E25" s="35"/>
      <c r="F25" s="86"/>
      <c r="G25" s="35"/>
      <c r="H25" s="85"/>
      <c r="I25" s="85"/>
      <c r="J25" s="87" t="str">
        <f t="shared" si="1"/>
        <v/>
      </c>
      <c r="K25" s="35"/>
      <c r="L25" s="88"/>
      <c r="M25" s="88"/>
      <c r="N25" s="87" t="str">
        <f t="shared" si="2"/>
        <v/>
      </c>
      <c r="O25" s="35"/>
      <c r="P25" s="88"/>
      <c r="Q25" s="88"/>
      <c r="R25" s="87" t="str">
        <f t="shared" si="3"/>
        <v/>
      </c>
      <c r="S25" s="90" t="str">
        <f t="shared" si="4"/>
        <v/>
      </c>
      <c r="T25" s="91" t="str">
        <f t="shared" si="5"/>
        <v/>
      </c>
      <c r="U25" s="85">
        <f t="shared" si="6"/>
        <v>0</v>
      </c>
    </row>
    <row r="26">
      <c r="A26" s="85">
        <v>24.0</v>
      </c>
      <c r="B26" s="35"/>
      <c r="C26" s="35"/>
      <c r="D26" s="86"/>
      <c r="E26" s="35"/>
      <c r="F26" s="86"/>
      <c r="G26" s="35"/>
      <c r="H26" s="85"/>
      <c r="I26" s="85"/>
      <c r="J26" s="87" t="str">
        <f t="shared" si="1"/>
        <v/>
      </c>
      <c r="K26" s="35"/>
      <c r="L26" s="88"/>
      <c r="M26" s="88"/>
      <c r="N26" s="87" t="str">
        <f t="shared" si="2"/>
        <v/>
      </c>
      <c r="O26" s="35"/>
      <c r="P26" s="88"/>
      <c r="Q26" s="88"/>
      <c r="R26" s="87" t="str">
        <f t="shared" si="3"/>
        <v/>
      </c>
      <c r="S26" s="90" t="str">
        <f t="shared" si="4"/>
        <v/>
      </c>
      <c r="T26" s="91" t="str">
        <f t="shared" si="5"/>
        <v/>
      </c>
      <c r="U26" s="85">
        <f t="shared" si="6"/>
        <v>0</v>
      </c>
    </row>
    <row r="27">
      <c r="A27" s="85">
        <v>25.0</v>
      </c>
      <c r="B27" s="35"/>
      <c r="C27" s="65"/>
      <c r="D27" s="76"/>
      <c r="E27" s="93"/>
      <c r="F27" s="76"/>
      <c r="G27" s="35"/>
      <c r="H27" s="85"/>
      <c r="I27" s="85"/>
      <c r="J27" s="87" t="str">
        <f t="shared" si="1"/>
        <v/>
      </c>
      <c r="K27" s="35"/>
      <c r="L27" s="88"/>
      <c r="M27" s="88"/>
      <c r="N27" s="87" t="str">
        <f t="shared" si="2"/>
        <v/>
      </c>
      <c r="O27" s="35"/>
      <c r="P27" s="88"/>
      <c r="Q27" s="88"/>
      <c r="R27" s="87" t="str">
        <f t="shared" si="3"/>
        <v/>
      </c>
      <c r="S27" s="90" t="str">
        <f t="shared" si="4"/>
        <v/>
      </c>
      <c r="T27" s="91" t="str">
        <f t="shared" si="5"/>
        <v/>
      </c>
      <c r="U27" s="85">
        <f t="shared" si="6"/>
        <v>0</v>
      </c>
    </row>
    <row r="28">
      <c r="A28" s="85">
        <v>26.0</v>
      </c>
      <c r="B28" s="35"/>
      <c r="C28" s="65"/>
      <c r="D28" s="76"/>
      <c r="E28" s="93"/>
      <c r="F28" s="76"/>
      <c r="G28" s="35"/>
      <c r="H28" s="85"/>
      <c r="I28" s="85"/>
      <c r="J28" s="87" t="str">
        <f t="shared" si="1"/>
        <v/>
      </c>
      <c r="K28" s="35"/>
      <c r="L28" s="88"/>
      <c r="M28" s="88"/>
      <c r="N28" s="87" t="str">
        <f t="shared" si="2"/>
        <v/>
      </c>
      <c r="O28" s="35"/>
      <c r="P28" s="88"/>
      <c r="Q28" s="88"/>
      <c r="R28" s="87" t="str">
        <f t="shared" si="3"/>
        <v/>
      </c>
      <c r="S28" s="90" t="str">
        <f t="shared" si="4"/>
        <v/>
      </c>
      <c r="T28" s="91" t="str">
        <f t="shared" si="5"/>
        <v/>
      </c>
      <c r="U28" s="85">
        <f t="shared" si="6"/>
        <v>0</v>
      </c>
    </row>
    <row r="29">
      <c r="A29" s="85">
        <v>27.0</v>
      </c>
      <c r="B29" s="35"/>
      <c r="C29" s="65"/>
      <c r="D29" s="76"/>
      <c r="E29" s="93"/>
      <c r="F29" s="76"/>
      <c r="G29" s="35"/>
      <c r="H29" s="85"/>
      <c r="I29" s="85"/>
      <c r="J29" s="87" t="str">
        <f t="shared" si="1"/>
        <v/>
      </c>
      <c r="K29" s="35"/>
      <c r="L29" s="88"/>
      <c r="M29" s="88"/>
      <c r="N29" s="87" t="str">
        <f t="shared" si="2"/>
        <v/>
      </c>
      <c r="O29" s="35"/>
      <c r="P29" s="88"/>
      <c r="Q29" s="88"/>
      <c r="R29" s="87" t="str">
        <f t="shared" si="3"/>
        <v/>
      </c>
      <c r="S29" s="90" t="str">
        <f t="shared" si="4"/>
        <v/>
      </c>
      <c r="T29" s="91" t="str">
        <f t="shared" si="5"/>
        <v/>
      </c>
      <c r="U29" s="85">
        <f t="shared" si="6"/>
        <v>0</v>
      </c>
    </row>
    <row r="30">
      <c r="A30" s="85">
        <v>28.0</v>
      </c>
      <c r="B30" s="35"/>
      <c r="C30" s="65"/>
      <c r="D30" s="76"/>
      <c r="E30" s="93"/>
      <c r="F30" s="76"/>
      <c r="G30" s="35"/>
      <c r="H30" s="85"/>
      <c r="I30" s="85"/>
      <c r="J30" s="87" t="str">
        <f t="shared" si="1"/>
        <v/>
      </c>
      <c r="K30" s="35"/>
      <c r="L30" s="88"/>
      <c r="M30" s="88"/>
      <c r="N30" s="87" t="str">
        <f t="shared" si="2"/>
        <v/>
      </c>
      <c r="O30" s="35"/>
      <c r="P30" s="88"/>
      <c r="Q30" s="88"/>
      <c r="R30" s="87" t="str">
        <f t="shared" si="3"/>
        <v/>
      </c>
      <c r="S30" s="90" t="str">
        <f t="shared" si="4"/>
        <v/>
      </c>
      <c r="T30" s="91" t="str">
        <f t="shared" si="5"/>
        <v/>
      </c>
      <c r="U30" s="85">
        <f t="shared" si="6"/>
        <v>0</v>
      </c>
    </row>
    <row r="31">
      <c r="A31" s="85">
        <v>29.0</v>
      </c>
      <c r="B31" s="35"/>
      <c r="C31" s="65"/>
      <c r="D31" s="76"/>
      <c r="E31" s="93"/>
      <c r="F31" s="76"/>
      <c r="G31" s="35"/>
      <c r="H31" s="85"/>
      <c r="I31" s="85"/>
      <c r="J31" s="87" t="str">
        <f t="shared" si="1"/>
        <v/>
      </c>
      <c r="K31" s="35"/>
      <c r="L31" s="88"/>
      <c r="M31" s="88"/>
      <c r="N31" s="87" t="str">
        <f t="shared" si="2"/>
        <v/>
      </c>
      <c r="O31" s="35"/>
      <c r="P31" s="88"/>
      <c r="Q31" s="88"/>
      <c r="R31" s="87" t="str">
        <f t="shared" si="3"/>
        <v/>
      </c>
      <c r="S31" s="90" t="str">
        <f t="shared" si="4"/>
        <v/>
      </c>
      <c r="T31" s="91" t="str">
        <f t="shared" si="5"/>
        <v/>
      </c>
      <c r="U31" s="85">
        <f t="shared" si="6"/>
        <v>0</v>
      </c>
    </row>
    <row r="32">
      <c r="A32" s="85">
        <v>30.0</v>
      </c>
      <c r="B32" s="35"/>
      <c r="C32" s="65"/>
      <c r="D32" s="76"/>
      <c r="E32" s="93"/>
      <c r="F32" s="76"/>
      <c r="G32" s="35"/>
      <c r="H32" s="85"/>
      <c r="I32" s="85"/>
      <c r="J32" s="87" t="str">
        <f t="shared" si="1"/>
        <v/>
      </c>
      <c r="K32" s="35"/>
      <c r="L32" s="88"/>
      <c r="M32" s="88"/>
      <c r="N32" s="87" t="str">
        <f t="shared" si="2"/>
        <v/>
      </c>
      <c r="O32" s="35"/>
      <c r="P32" s="88"/>
      <c r="Q32" s="88"/>
      <c r="R32" s="87" t="str">
        <f t="shared" si="3"/>
        <v/>
      </c>
      <c r="S32" s="90" t="str">
        <f t="shared" si="4"/>
        <v/>
      </c>
      <c r="T32" s="91" t="str">
        <f t="shared" si="5"/>
        <v/>
      </c>
      <c r="U32" s="85">
        <f t="shared" si="6"/>
        <v>0</v>
      </c>
    </row>
    <row r="33">
      <c r="A33" s="85">
        <v>31.0</v>
      </c>
      <c r="B33" s="35"/>
      <c r="C33" s="65"/>
      <c r="D33" s="76"/>
      <c r="E33" s="93"/>
      <c r="F33" s="76"/>
      <c r="G33" s="35"/>
      <c r="H33" s="85"/>
      <c r="I33" s="85"/>
      <c r="J33" s="87" t="str">
        <f t="shared" si="1"/>
        <v/>
      </c>
      <c r="K33" s="35"/>
      <c r="L33" s="88"/>
      <c r="M33" s="88"/>
      <c r="N33" s="87" t="str">
        <f t="shared" si="2"/>
        <v/>
      </c>
      <c r="O33" s="35"/>
      <c r="P33" s="88"/>
      <c r="Q33" s="88"/>
      <c r="R33" s="87" t="str">
        <f t="shared" si="3"/>
        <v/>
      </c>
      <c r="S33" s="90" t="str">
        <f t="shared" si="4"/>
        <v/>
      </c>
      <c r="T33" s="91" t="str">
        <f t="shared" si="5"/>
        <v/>
      </c>
      <c r="U33" s="85">
        <f t="shared" si="6"/>
        <v>0</v>
      </c>
    </row>
    <row r="34">
      <c r="A34" s="85">
        <v>32.0</v>
      </c>
      <c r="B34" s="35"/>
      <c r="C34" s="65"/>
      <c r="D34" s="76"/>
      <c r="E34" s="93"/>
      <c r="F34" s="76"/>
      <c r="G34" s="35"/>
      <c r="H34" s="85"/>
      <c r="I34" s="85"/>
      <c r="J34" s="87" t="str">
        <f t="shared" si="1"/>
        <v/>
      </c>
      <c r="K34" s="35"/>
      <c r="L34" s="88"/>
      <c r="M34" s="88"/>
      <c r="N34" s="87" t="str">
        <f t="shared" si="2"/>
        <v/>
      </c>
      <c r="O34" s="35"/>
      <c r="P34" s="88"/>
      <c r="Q34" s="88"/>
      <c r="R34" s="87" t="str">
        <f t="shared" si="3"/>
        <v/>
      </c>
      <c r="S34" s="90" t="str">
        <f t="shared" si="4"/>
        <v/>
      </c>
      <c r="T34" s="91" t="str">
        <f t="shared" si="5"/>
        <v/>
      </c>
      <c r="U34" s="85">
        <f t="shared" si="6"/>
        <v>0</v>
      </c>
    </row>
    <row r="35">
      <c r="A35" s="85">
        <v>33.0</v>
      </c>
      <c r="B35" s="35"/>
      <c r="C35" s="65"/>
      <c r="D35" s="76"/>
      <c r="E35" s="93"/>
      <c r="F35" s="76"/>
      <c r="G35" s="35"/>
      <c r="H35" s="85"/>
      <c r="I35" s="85"/>
      <c r="J35" s="87" t="str">
        <f t="shared" si="1"/>
        <v/>
      </c>
      <c r="K35" s="35"/>
      <c r="L35" s="88"/>
      <c r="M35" s="88"/>
      <c r="N35" s="87" t="str">
        <f t="shared" si="2"/>
        <v/>
      </c>
      <c r="O35" s="35"/>
      <c r="P35" s="88"/>
      <c r="Q35" s="88"/>
      <c r="R35" s="87" t="str">
        <f t="shared" si="3"/>
        <v/>
      </c>
      <c r="S35" s="90" t="str">
        <f t="shared" si="4"/>
        <v/>
      </c>
      <c r="T35" s="91" t="str">
        <f t="shared" si="5"/>
        <v/>
      </c>
      <c r="U35" s="85">
        <f t="shared" si="6"/>
        <v>0</v>
      </c>
    </row>
    <row r="36">
      <c r="A36" s="85">
        <v>34.0</v>
      </c>
      <c r="B36" s="35"/>
      <c r="C36" s="65"/>
      <c r="D36" s="76"/>
      <c r="E36" s="93"/>
      <c r="F36" s="76"/>
      <c r="G36" s="35"/>
      <c r="H36" s="85"/>
      <c r="I36" s="85"/>
      <c r="J36" s="87" t="str">
        <f t="shared" si="1"/>
        <v/>
      </c>
      <c r="K36" s="35"/>
      <c r="L36" s="88"/>
      <c r="M36" s="88"/>
      <c r="N36" s="87" t="str">
        <f t="shared" si="2"/>
        <v/>
      </c>
      <c r="O36" s="35"/>
      <c r="P36" s="88"/>
      <c r="Q36" s="88"/>
      <c r="R36" s="87" t="str">
        <f t="shared" si="3"/>
        <v/>
      </c>
      <c r="S36" s="90" t="str">
        <f t="shared" si="4"/>
        <v/>
      </c>
      <c r="T36" s="91" t="str">
        <f t="shared" si="5"/>
        <v/>
      </c>
      <c r="U36" s="85">
        <f t="shared" si="6"/>
        <v>0</v>
      </c>
    </row>
    <row r="37">
      <c r="A37" s="85">
        <v>35.0</v>
      </c>
      <c r="B37" s="35"/>
      <c r="C37" s="65"/>
      <c r="D37" s="76"/>
      <c r="E37" s="93"/>
      <c r="F37" s="76"/>
      <c r="G37" s="35"/>
      <c r="H37" s="85"/>
      <c r="I37" s="85"/>
      <c r="J37" s="87" t="str">
        <f t="shared" si="1"/>
        <v/>
      </c>
      <c r="K37" s="35"/>
      <c r="L37" s="88"/>
      <c r="M37" s="88"/>
      <c r="N37" s="87" t="str">
        <f t="shared" si="2"/>
        <v/>
      </c>
      <c r="O37" s="35"/>
      <c r="P37" s="88"/>
      <c r="Q37" s="88"/>
      <c r="R37" s="87" t="str">
        <f t="shared" si="3"/>
        <v/>
      </c>
      <c r="S37" s="90" t="str">
        <f t="shared" si="4"/>
        <v/>
      </c>
      <c r="T37" s="91" t="str">
        <f t="shared" si="5"/>
        <v/>
      </c>
      <c r="U37" s="85">
        <f t="shared" si="6"/>
        <v>0</v>
      </c>
    </row>
    <row r="38">
      <c r="A38" s="85">
        <v>36.0</v>
      </c>
      <c r="B38" s="35"/>
      <c r="C38" s="65"/>
      <c r="D38" s="76"/>
      <c r="E38" s="93"/>
      <c r="F38" s="76"/>
      <c r="G38" s="35"/>
      <c r="H38" s="85"/>
      <c r="I38" s="85"/>
      <c r="J38" s="87" t="str">
        <f t="shared" si="1"/>
        <v/>
      </c>
      <c r="K38" s="35"/>
      <c r="L38" s="88"/>
      <c r="M38" s="88"/>
      <c r="N38" s="87" t="str">
        <f t="shared" si="2"/>
        <v/>
      </c>
      <c r="O38" s="35"/>
      <c r="P38" s="88"/>
      <c r="Q38" s="88"/>
      <c r="R38" s="87" t="str">
        <f t="shared" si="3"/>
        <v/>
      </c>
      <c r="S38" s="90" t="str">
        <f t="shared" si="4"/>
        <v/>
      </c>
      <c r="T38" s="91" t="str">
        <f t="shared" si="5"/>
        <v/>
      </c>
      <c r="U38" s="85">
        <f t="shared" si="6"/>
        <v>0</v>
      </c>
    </row>
    <row r="39">
      <c r="A39" s="85">
        <v>37.0</v>
      </c>
      <c r="B39" s="35"/>
      <c r="C39" s="65"/>
      <c r="D39" s="76"/>
      <c r="E39" s="93"/>
      <c r="F39" s="76"/>
      <c r="G39" s="35"/>
      <c r="H39" s="85"/>
      <c r="I39" s="85"/>
      <c r="J39" s="87" t="str">
        <f t="shared" si="1"/>
        <v/>
      </c>
      <c r="K39" s="35"/>
      <c r="L39" s="88"/>
      <c r="M39" s="88"/>
      <c r="N39" s="87" t="str">
        <f t="shared" si="2"/>
        <v/>
      </c>
      <c r="O39" s="35"/>
      <c r="P39" s="88"/>
      <c r="Q39" s="88"/>
      <c r="R39" s="87" t="str">
        <f t="shared" si="3"/>
        <v/>
      </c>
      <c r="S39" s="90" t="str">
        <f t="shared" si="4"/>
        <v/>
      </c>
      <c r="T39" s="91" t="str">
        <f t="shared" si="5"/>
        <v/>
      </c>
      <c r="U39" s="85">
        <f t="shared" si="6"/>
        <v>0</v>
      </c>
    </row>
    <row r="40">
      <c r="A40" s="85">
        <v>38.0</v>
      </c>
      <c r="B40" s="35"/>
      <c r="C40" s="65"/>
      <c r="D40" s="76"/>
      <c r="E40" s="93"/>
      <c r="F40" s="76"/>
      <c r="G40" s="35"/>
      <c r="H40" s="85"/>
      <c r="I40" s="85"/>
      <c r="J40" s="87" t="str">
        <f t="shared" si="1"/>
        <v/>
      </c>
      <c r="K40" s="35"/>
      <c r="L40" s="88"/>
      <c r="M40" s="88"/>
      <c r="N40" s="87" t="str">
        <f t="shared" si="2"/>
        <v/>
      </c>
      <c r="O40" s="35"/>
      <c r="P40" s="88"/>
      <c r="Q40" s="88"/>
      <c r="R40" s="87" t="str">
        <f t="shared" si="3"/>
        <v/>
      </c>
      <c r="S40" s="90" t="str">
        <f t="shared" si="4"/>
        <v/>
      </c>
      <c r="T40" s="91" t="str">
        <f t="shared" si="5"/>
        <v/>
      </c>
      <c r="U40" s="85">
        <f t="shared" si="6"/>
        <v>0</v>
      </c>
    </row>
    <row r="41">
      <c r="A41" s="85">
        <v>39.0</v>
      </c>
      <c r="B41" s="35"/>
      <c r="C41" s="65"/>
      <c r="D41" s="76"/>
      <c r="E41" s="93"/>
      <c r="F41" s="76"/>
      <c r="G41" s="35"/>
      <c r="H41" s="85"/>
      <c r="I41" s="85"/>
      <c r="J41" s="87" t="str">
        <f t="shared" si="1"/>
        <v/>
      </c>
      <c r="K41" s="35"/>
      <c r="L41" s="88"/>
      <c r="M41" s="88"/>
      <c r="N41" s="87" t="str">
        <f t="shared" si="2"/>
        <v/>
      </c>
      <c r="O41" s="35"/>
      <c r="P41" s="88"/>
      <c r="Q41" s="88"/>
      <c r="R41" s="87" t="str">
        <f t="shared" si="3"/>
        <v/>
      </c>
      <c r="S41" s="90" t="str">
        <f t="shared" si="4"/>
        <v/>
      </c>
      <c r="T41" s="91" t="str">
        <f t="shared" si="5"/>
        <v/>
      </c>
      <c r="U41" s="85">
        <f t="shared" si="6"/>
        <v>0</v>
      </c>
    </row>
    <row r="42">
      <c r="A42" s="85">
        <v>40.0</v>
      </c>
      <c r="B42" s="35"/>
      <c r="C42" s="65"/>
      <c r="D42" s="76"/>
      <c r="E42" s="93"/>
      <c r="F42" s="76"/>
      <c r="G42" s="35"/>
      <c r="H42" s="85"/>
      <c r="I42" s="85"/>
      <c r="J42" s="87" t="str">
        <f t="shared" si="1"/>
        <v/>
      </c>
      <c r="K42" s="35"/>
      <c r="L42" s="88"/>
      <c r="M42" s="88"/>
      <c r="N42" s="87" t="str">
        <f t="shared" si="2"/>
        <v/>
      </c>
      <c r="O42" s="35"/>
      <c r="P42" s="88"/>
      <c r="Q42" s="88"/>
      <c r="R42" s="87" t="str">
        <f t="shared" si="3"/>
        <v/>
      </c>
      <c r="S42" s="90" t="str">
        <f t="shared" si="4"/>
        <v/>
      </c>
      <c r="T42" s="91" t="str">
        <f t="shared" si="5"/>
        <v/>
      </c>
      <c r="U42" s="85">
        <f t="shared" si="6"/>
        <v>0</v>
      </c>
    </row>
    <row r="43">
      <c r="A43" s="85">
        <v>41.0</v>
      </c>
      <c r="B43" s="35"/>
      <c r="C43" s="65"/>
      <c r="D43" s="76"/>
      <c r="E43" s="93"/>
      <c r="F43" s="76"/>
      <c r="G43" s="35"/>
      <c r="H43" s="85"/>
      <c r="I43" s="85"/>
      <c r="J43" s="87" t="str">
        <f t="shared" si="1"/>
        <v/>
      </c>
      <c r="K43" s="35"/>
      <c r="L43" s="88"/>
      <c r="M43" s="88"/>
      <c r="N43" s="87" t="str">
        <f t="shared" si="2"/>
        <v/>
      </c>
      <c r="O43" s="35"/>
      <c r="P43" s="88"/>
      <c r="Q43" s="88"/>
      <c r="R43" s="87" t="str">
        <f t="shared" si="3"/>
        <v/>
      </c>
      <c r="S43" s="90" t="str">
        <f t="shared" si="4"/>
        <v/>
      </c>
      <c r="T43" s="91" t="str">
        <f t="shared" si="5"/>
        <v/>
      </c>
      <c r="U43" s="85">
        <f t="shared" si="6"/>
        <v>0</v>
      </c>
    </row>
    <row r="44">
      <c r="A44" s="85">
        <v>42.0</v>
      </c>
      <c r="B44" s="35"/>
      <c r="C44" s="65"/>
      <c r="D44" s="76"/>
      <c r="E44" s="93"/>
      <c r="F44" s="76"/>
      <c r="G44" s="35"/>
      <c r="H44" s="85"/>
      <c r="I44" s="85"/>
      <c r="J44" s="87" t="str">
        <f t="shared" si="1"/>
        <v/>
      </c>
      <c r="K44" s="35"/>
      <c r="L44" s="88"/>
      <c r="M44" s="88"/>
      <c r="N44" s="87" t="str">
        <f t="shared" si="2"/>
        <v/>
      </c>
      <c r="O44" s="35"/>
      <c r="P44" s="88"/>
      <c r="Q44" s="88"/>
      <c r="R44" s="87" t="str">
        <f t="shared" si="3"/>
        <v/>
      </c>
      <c r="S44" s="90" t="str">
        <f t="shared" si="4"/>
        <v/>
      </c>
      <c r="T44" s="91" t="str">
        <f t="shared" si="5"/>
        <v/>
      </c>
      <c r="U44" s="85">
        <f t="shared" si="6"/>
        <v>0</v>
      </c>
    </row>
    <row r="45">
      <c r="A45" s="85">
        <v>43.0</v>
      </c>
      <c r="B45" s="35"/>
      <c r="C45" s="65"/>
      <c r="D45" s="76"/>
      <c r="E45" s="93"/>
      <c r="F45" s="76"/>
      <c r="G45" s="35"/>
      <c r="H45" s="85"/>
      <c r="I45" s="85"/>
      <c r="J45" s="87" t="str">
        <f t="shared" si="1"/>
        <v/>
      </c>
      <c r="K45" s="35"/>
      <c r="L45" s="88"/>
      <c r="M45" s="88"/>
      <c r="N45" s="87" t="str">
        <f t="shared" si="2"/>
        <v/>
      </c>
      <c r="O45" s="35"/>
      <c r="P45" s="88"/>
      <c r="Q45" s="88"/>
      <c r="R45" s="87" t="str">
        <f t="shared" si="3"/>
        <v/>
      </c>
      <c r="S45" s="90" t="str">
        <f t="shared" si="4"/>
        <v/>
      </c>
      <c r="T45" s="91" t="str">
        <f t="shared" si="5"/>
        <v/>
      </c>
      <c r="U45" s="85">
        <f t="shared" si="6"/>
        <v>0</v>
      </c>
    </row>
    <row r="46">
      <c r="A46" s="85">
        <v>44.0</v>
      </c>
      <c r="B46" s="35"/>
      <c r="C46" s="65"/>
      <c r="D46" s="76"/>
      <c r="E46" s="93"/>
      <c r="F46" s="76"/>
      <c r="G46" s="35"/>
      <c r="H46" s="85"/>
      <c r="I46" s="85"/>
      <c r="J46" s="87" t="str">
        <f t="shared" si="1"/>
        <v/>
      </c>
      <c r="K46" s="35"/>
      <c r="L46" s="88"/>
      <c r="M46" s="88"/>
      <c r="N46" s="87" t="str">
        <f t="shared" si="2"/>
        <v/>
      </c>
      <c r="O46" s="35"/>
      <c r="P46" s="88"/>
      <c r="Q46" s="88"/>
      <c r="R46" s="87" t="str">
        <f t="shared" si="3"/>
        <v/>
      </c>
      <c r="S46" s="90" t="str">
        <f t="shared" si="4"/>
        <v/>
      </c>
      <c r="T46" s="91" t="str">
        <f t="shared" si="5"/>
        <v/>
      </c>
      <c r="U46" s="85">
        <f t="shared" si="6"/>
        <v>0</v>
      </c>
    </row>
    <row r="47">
      <c r="A47" s="85">
        <v>45.0</v>
      </c>
      <c r="B47" s="35"/>
      <c r="C47" s="65"/>
      <c r="D47" s="76"/>
      <c r="E47" s="93"/>
      <c r="F47" s="76"/>
      <c r="G47" s="35"/>
      <c r="H47" s="85"/>
      <c r="I47" s="85"/>
      <c r="J47" s="87" t="str">
        <f t="shared" si="1"/>
        <v/>
      </c>
      <c r="K47" s="35"/>
      <c r="L47" s="88"/>
      <c r="M47" s="88"/>
      <c r="N47" s="87" t="str">
        <f t="shared" si="2"/>
        <v/>
      </c>
      <c r="O47" s="35"/>
      <c r="P47" s="88"/>
      <c r="Q47" s="88"/>
      <c r="R47" s="87" t="str">
        <f t="shared" si="3"/>
        <v/>
      </c>
      <c r="S47" s="90" t="str">
        <f t="shared" si="4"/>
        <v/>
      </c>
      <c r="T47" s="91" t="str">
        <f t="shared" si="5"/>
        <v/>
      </c>
      <c r="U47" s="85">
        <f t="shared" si="6"/>
        <v>0</v>
      </c>
    </row>
    <row r="48">
      <c r="A48" s="85">
        <v>46.0</v>
      </c>
      <c r="B48" s="35"/>
      <c r="C48" s="65"/>
      <c r="D48" s="76"/>
      <c r="E48" s="93"/>
      <c r="F48" s="76"/>
      <c r="G48" s="35"/>
      <c r="H48" s="85"/>
      <c r="I48" s="85"/>
      <c r="J48" s="87" t="str">
        <f t="shared" si="1"/>
        <v/>
      </c>
      <c r="K48" s="35"/>
      <c r="L48" s="88"/>
      <c r="M48" s="88"/>
      <c r="N48" s="87" t="str">
        <f t="shared" si="2"/>
        <v/>
      </c>
      <c r="O48" s="35"/>
      <c r="P48" s="88"/>
      <c r="Q48" s="88"/>
      <c r="R48" s="87" t="str">
        <f t="shared" si="3"/>
        <v/>
      </c>
      <c r="S48" s="90" t="str">
        <f t="shared" si="4"/>
        <v/>
      </c>
      <c r="T48" s="91" t="str">
        <f t="shared" si="5"/>
        <v/>
      </c>
      <c r="U48" s="85">
        <f t="shared" si="6"/>
        <v>0</v>
      </c>
    </row>
    <row r="49">
      <c r="A49" s="85">
        <v>47.0</v>
      </c>
      <c r="B49" s="35"/>
      <c r="C49" s="65"/>
      <c r="D49" s="76"/>
      <c r="E49" s="93"/>
      <c r="F49" s="76"/>
      <c r="G49" s="35"/>
      <c r="H49" s="85"/>
      <c r="I49" s="85"/>
      <c r="J49" s="87" t="str">
        <f t="shared" si="1"/>
        <v/>
      </c>
      <c r="K49" s="35"/>
      <c r="L49" s="88"/>
      <c r="M49" s="88"/>
      <c r="N49" s="87" t="str">
        <f t="shared" si="2"/>
        <v/>
      </c>
      <c r="O49" s="35"/>
      <c r="P49" s="88"/>
      <c r="Q49" s="88"/>
      <c r="R49" s="87" t="str">
        <f t="shared" si="3"/>
        <v/>
      </c>
      <c r="S49" s="90" t="str">
        <f t="shared" si="4"/>
        <v/>
      </c>
      <c r="T49" s="91" t="str">
        <f t="shared" si="5"/>
        <v/>
      </c>
      <c r="U49" s="85">
        <f t="shared" si="6"/>
        <v>0</v>
      </c>
    </row>
    <row r="50">
      <c r="A50" s="85">
        <v>48.0</v>
      </c>
      <c r="B50" s="35"/>
      <c r="C50" s="65"/>
      <c r="D50" s="76"/>
      <c r="E50" s="93"/>
      <c r="F50" s="76"/>
      <c r="G50" s="35"/>
      <c r="H50" s="85"/>
      <c r="I50" s="85"/>
      <c r="J50" s="87" t="str">
        <f t="shared" si="1"/>
        <v/>
      </c>
      <c r="K50" s="35"/>
      <c r="L50" s="88"/>
      <c r="M50" s="88"/>
      <c r="N50" s="87" t="str">
        <f t="shared" si="2"/>
        <v/>
      </c>
      <c r="O50" s="35"/>
      <c r="P50" s="88"/>
      <c r="Q50" s="88"/>
      <c r="R50" s="87" t="str">
        <f t="shared" si="3"/>
        <v/>
      </c>
      <c r="S50" s="90" t="str">
        <f t="shared" si="4"/>
        <v/>
      </c>
      <c r="T50" s="91" t="str">
        <f t="shared" si="5"/>
        <v/>
      </c>
      <c r="U50" s="85">
        <f t="shared" si="6"/>
        <v>0</v>
      </c>
    </row>
    <row r="51">
      <c r="A51" s="85">
        <v>49.0</v>
      </c>
      <c r="B51" s="35"/>
      <c r="C51" s="65"/>
      <c r="D51" s="76"/>
      <c r="E51" s="93"/>
      <c r="F51" s="76"/>
      <c r="G51" s="35"/>
      <c r="H51" s="85"/>
      <c r="I51" s="85"/>
      <c r="J51" s="87" t="str">
        <f t="shared" si="1"/>
        <v/>
      </c>
      <c r="K51" s="35"/>
      <c r="L51" s="88"/>
      <c r="M51" s="88"/>
      <c r="N51" s="87" t="str">
        <f t="shared" si="2"/>
        <v/>
      </c>
      <c r="O51" s="35"/>
      <c r="P51" s="88"/>
      <c r="Q51" s="88"/>
      <c r="R51" s="87" t="str">
        <f t="shared" si="3"/>
        <v/>
      </c>
      <c r="S51" s="90" t="str">
        <f t="shared" si="4"/>
        <v/>
      </c>
      <c r="T51" s="91" t="str">
        <f t="shared" si="5"/>
        <v/>
      </c>
      <c r="U51" s="85">
        <f t="shared" si="6"/>
        <v>0</v>
      </c>
    </row>
    <row r="52">
      <c r="A52" s="85">
        <v>50.0</v>
      </c>
      <c r="B52" s="35"/>
      <c r="C52" s="65"/>
      <c r="D52" s="76"/>
      <c r="E52" s="93"/>
      <c r="F52" s="76"/>
      <c r="G52" s="35"/>
      <c r="H52" s="85"/>
      <c r="I52" s="85"/>
      <c r="J52" s="87" t="str">
        <f t="shared" si="1"/>
        <v/>
      </c>
      <c r="K52" s="35"/>
      <c r="L52" s="88"/>
      <c r="M52" s="88"/>
      <c r="N52" s="87" t="str">
        <f t="shared" si="2"/>
        <v/>
      </c>
      <c r="O52" s="35"/>
      <c r="P52" s="88"/>
      <c r="Q52" s="88"/>
      <c r="R52" s="87" t="str">
        <f t="shared" si="3"/>
        <v/>
      </c>
      <c r="S52" s="90" t="str">
        <f t="shared" si="4"/>
        <v/>
      </c>
      <c r="T52" s="91" t="str">
        <f t="shared" si="5"/>
        <v/>
      </c>
      <c r="U52" s="85">
        <f t="shared" si="6"/>
        <v>0</v>
      </c>
    </row>
    <row r="53">
      <c r="A53" s="85">
        <v>51.0</v>
      </c>
      <c r="B53" s="35"/>
      <c r="C53" s="65"/>
      <c r="D53" s="76"/>
      <c r="E53" s="93"/>
      <c r="F53" s="76"/>
      <c r="G53" s="35"/>
      <c r="H53" s="85"/>
      <c r="I53" s="85"/>
      <c r="J53" s="87" t="str">
        <f t="shared" si="1"/>
        <v/>
      </c>
      <c r="K53" s="35"/>
      <c r="L53" s="88"/>
      <c r="M53" s="88"/>
      <c r="N53" s="87" t="str">
        <f t="shared" si="2"/>
        <v/>
      </c>
      <c r="O53" s="35"/>
      <c r="P53" s="88"/>
      <c r="Q53" s="88"/>
      <c r="R53" s="87" t="str">
        <f t="shared" si="3"/>
        <v/>
      </c>
      <c r="S53" s="90" t="str">
        <f t="shared" si="4"/>
        <v/>
      </c>
      <c r="T53" s="91" t="str">
        <f t="shared" si="5"/>
        <v/>
      </c>
      <c r="U53" s="85">
        <f t="shared" si="6"/>
        <v>0</v>
      </c>
    </row>
    <row r="54">
      <c r="A54" s="85">
        <v>52.0</v>
      </c>
      <c r="B54" s="35"/>
      <c r="C54" s="65"/>
      <c r="D54" s="76"/>
      <c r="E54" s="93"/>
      <c r="F54" s="76"/>
      <c r="G54" s="35"/>
      <c r="H54" s="85"/>
      <c r="I54" s="85"/>
      <c r="J54" s="87" t="str">
        <f t="shared" si="1"/>
        <v/>
      </c>
      <c r="K54" s="35"/>
      <c r="L54" s="88"/>
      <c r="M54" s="88"/>
      <c r="N54" s="87" t="str">
        <f t="shared" si="2"/>
        <v/>
      </c>
      <c r="O54" s="35"/>
      <c r="P54" s="88"/>
      <c r="Q54" s="88"/>
      <c r="R54" s="87" t="str">
        <f t="shared" si="3"/>
        <v/>
      </c>
      <c r="S54" s="90" t="str">
        <f t="shared" si="4"/>
        <v/>
      </c>
      <c r="T54" s="91" t="str">
        <f t="shared" si="5"/>
        <v/>
      </c>
      <c r="U54" s="85">
        <f t="shared" si="6"/>
        <v>0</v>
      </c>
    </row>
    <row r="55">
      <c r="A55" s="85">
        <v>53.0</v>
      </c>
      <c r="B55" s="35"/>
      <c r="C55" s="65"/>
      <c r="D55" s="76"/>
      <c r="E55" s="93"/>
      <c r="F55" s="76"/>
      <c r="G55" s="35"/>
      <c r="H55" s="85"/>
      <c r="I55" s="85"/>
      <c r="J55" s="87" t="str">
        <f t="shared" si="1"/>
        <v/>
      </c>
      <c r="K55" s="35"/>
      <c r="L55" s="88"/>
      <c r="M55" s="88"/>
      <c r="N55" s="87" t="str">
        <f t="shared" si="2"/>
        <v/>
      </c>
      <c r="O55" s="35"/>
      <c r="P55" s="88"/>
      <c r="Q55" s="88"/>
      <c r="R55" s="87" t="str">
        <f t="shared" si="3"/>
        <v/>
      </c>
      <c r="S55" s="90" t="str">
        <f t="shared" si="4"/>
        <v/>
      </c>
      <c r="T55" s="91" t="str">
        <f t="shared" si="5"/>
        <v/>
      </c>
      <c r="U55" s="85">
        <f t="shared" si="6"/>
        <v>0</v>
      </c>
    </row>
    <row r="56">
      <c r="A56" s="85">
        <v>54.0</v>
      </c>
      <c r="B56" s="35"/>
      <c r="C56" s="65"/>
      <c r="D56" s="76"/>
      <c r="E56" s="93"/>
      <c r="F56" s="76"/>
      <c r="G56" s="35"/>
      <c r="H56" s="85"/>
      <c r="I56" s="85"/>
      <c r="J56" s="87" t="str">
        <f t="shared" si="1"/>
        <v/>
      </c>
      <c r="K56" s="35"/>
      <c r="L56" s="88"/>
      <c r="M56" s="88"/>
      <c r="N56" s="87" t="str">
        <f t="shared" si="2"/>
        <v/>
      </c>
      <c r="O56" s="35"/>
      <c r="P56" s="88"/>
      <c r="Q56" s="88"/>
      <c r="R56" s="87" t="str">
        <f t="shared" si="3"/>
        <v/>
      </c>
      <c r="S56" s="90" t="str">
        <f t="shared" si="4"/>
        <v/>
      </c>
      <c r="T56" s="91" t="str">
        <f t="shared" si="5"/>
        <v/>
      </c>
      <c r="U56" s="85">
        <f t="shared" si="6"/>
        <v>0</v>
      </c>
    </row>
    <row r="57">
      <c r="A57" s="85">
        <v>55.0</v>
      </c>
      <c r="B57" s="35"/>
      <c r="C57" s="65"/>
      <c r="D57" s="76"/>
      <c r="E57" s="93"/>
      <c r="F57" s="76"/>
      <c r="G57" s="35"/>
      <c r="H57" s="85"/>
      <c r="I57" s="85"/>
      <c r="J57" s="87" t="str">
        <f t="shared" si="1"/>
        <v/>
      </c>
      <c r="K57" s="35"/>
      <c r="L57" s="88"/>
      <c r="M57" s="88"/>
      <c r="N57" s="87" t="str">
        <f t="shared" si="2"/>
        <v/>
      </c>
      <c r="O57" s="35"/>
      <c r="P57" s="88"/>
      <c r="Q57" s="88"/>
      <c r="R57" s="87" t="str">
        <f t="shared" si="3"/>
        <v/>
      </c>
      <c r="S57" s="90" t="str">
        <f t="shared" si="4"/>
        <v/>
      </c>
      <c r="T57" s="91" t="str">
        <f t="shared" si="5"/>
        <v/>
      </c>
      <c r="U57" s="85">
        <f t="shared" si="6"/>
        <v>0</v>
      </c>
    </row>
    <row r="58">
      <c r="A58" s="85">
        <v>56.0</v>
      </c>
      <c r="B58" s="35"/>
      <c r="C58" s="65"/>
      <c r="D58" s="76"/>
      <c r="E58" s="93"/>
      <c r="F58" s="76"/>
      <c r="G58" s="35"/>
      <c r="H58" s="85"/>
      <c r="I58" s="85"/>
      <c r="J58" s="87" t="str">
        <f t="shared" si="1"/>
        <v/>
      </c>
      <c r="K58" s="35"/>
      <c r="L58" s="88"/>
      <c r="M58" s="88"/>
      <c r="N58" s="87" t="str">
        <f t="shared" si="2"/>
        <v/>
      </c>
      <c r="O58" s="35"/>
      <c r="P58" s="88"/>
      <c r="Q58" s="88"/>
      <c r="R58" s="87" t="str">
        <f t="shared" si="3"/>
        <v/>
      </c>
      <c r="S58" s="90" t="str">
        <f t="shared" si="4"/>
        <v/>
      </c>
      <c r="T58" s="91" t="str">
        <f t="shared" si="5"/>
        <v/>
      </c>
      <c r="U58" s="85">
        <f t="shared" si="6"/>
        <v>0</v>
      </c>
    </row>
    <row r="59">
      <c r="A59" s="85">
        <v>57.0</v>
      </c>
      <c r="B59" s="35"/>
      <c r="C59" s="65"/>
      <c r="D59" s="76"/>
      <c r="E59" s="93"/>
      <c r="F59" s="76"/>
      <c r="G59" s="35"/>
      <c r="H59" s="85"/>
      <c r="I59" s="85"/>
      <c r="J59" s="87" t="str">
        <f t="shared" si="1"/>
        <v/>
      </c>
      <c r="K59" s="35"/>
      <c r="L59" s="88"/>
      <c r="M59" s="88"/>
      <c r="N59" s="87" t="str">
        <f t="shared" si="2"/>
        <v/>
      </c>
      <c r="O59" s="35"/>
      <c r="P59" s="88"/>
      <c r="Q59" s="88"/>
      <c r="R59" s="87" t="str">
        <f t="shared" si="3"/>
        <v/>
      </c>
      <c r="S59" s="90" t="str">
        <f t="shared" si="4"/>
        <v/>
      </c>
      <c r="T59" s="91" t="str">
        <f t="shared" si="5"/>
        <v/>
      </c>
      <c r="U59" s="85">
        <f t="shared" si="6"/>
        <v>0</v>
      </c>
    </row>
    <row r="60">
      <c r="A60" s="85">
        <v>58.0</v>
      </c>
      <c r="B60" s="35"/>
      <c r="C60" s="65"/>
      <c r="D60" s="76"/>
      <c r="E60" s="93"/>
      <c r="F60" s="76"/>
      <c r="G60" s="35"/>
      <c r="H60" s="85"/>
      <c r="I60" s="85"/>
      <c r="J60" s="87" t="str">
        <f t="shared" si="1"/>
        <v/>
      </c>
      <c r="K60" s="35"/>
      <c r="L60" s="88"/>
      <c r="M60" s="88"/>
      <c r="N60" s="87" t="str">
        <f t="shared" si="2"/>
        <v/>
      </c>
      <c r="O60" s="35"/>
      <c r="P60" s="88"/>
      <c r="Q60" s="88"/>
      <c r="R60" s="87" t="str">
        <f t="shared" si="3"/>
        <v/>
      </c>
      <c r="S60" s="90" t="str">
        <f t="shared" si="4"/>
        <v/>
      </c>
      <c r="T60" s="91" t="str">
        <f t="shared" si="5"/>
        <v/>
      </c>
      <c r="U60" s="85">
        <f t="shared" si="6"/>
        <v>0</v>
      </c>
    </row>
    <row r="61">
      <c r="A61" s="85">
        <v>59.0</v>
      </c>
      <c r="B61" s="35"/>
      <c r="C61" s="65"/>
      <c r="D61" s="76"/>
      <c r="E61" s="93"/>
      <c r="F61" s="76"/>
      <c r="G61" s="35"/>
      <c r="H61" s="85"/>
      <c r="I61" s="85"/>
      <c r="J61" s="87" t="str">
        <f t="shared" si="1"/>
        <v/>
      </c>
      <c r="K61" s="35"/>
      <c r="L61" s="88"/>
      <c r="M61" s="88"/>
      <c r="N61" s="87" t="str">
        <f t="shared" si="2"/>
        <v/>
      </c>
      <c r="O61" s="35"/>
      <c r="P61" s="88"/>
      <c r="Q61" s="88"/>
      <c r="R61" s="87" t="str">
        <f t="shared" si="3"/>
        <v/>
      </c>
      <c r="S61" s="90" t="str">
        <f t="shared" si="4"/>
        <v/>
      </c>
      <c r="T61" s="91" t="str">
        <f t="shared" si="5"/>
        <v/>
      </c>
      <c r="U61" s="85">
        <f t="shared" si="6"/>
        <v>0</v>
      </c>
    </row>
    <row r="62">
      <c r="A62" s="85">
        <v>60.0</v>
      </c>
      <c r="B62" s="35"/>
      <c r="C62" s="65"/>
      <c r="D62" s="76"/>
      <c r="E62" s="93"/>
      <c r="F62" s="76"/>
      <c r="G62" s="35"/>
      <c r="H62" s="85"/>
      <c r="I62" s="85"/>
      <c r="J62" s="87" t="str">
        <f t="shared" si="1"/>
        <v/>
      </c>
      <c r="K62" s="35"/>
      <c r="L62" s="88"/>
      <c r="M62" s="88"/>
      <c r="N62" s="87" t="str">
        <f t="shared" si="2"/>
        <v/>
      </c>
      <c r="O62" s="35"/>
      <c r="P62" s="88"/>
      <c r="Q62" s="88"/>
      <c r="R62" s="87" t="str">
        <f t="shared" si="3"/>
        <v/>
      </c>
      <c r="S62" s="90" t="str">
        <f t="shared" si="4"/>
        <v/>
      </c>
      <c r="T62" s="91" t="str">
        <f t="shared" si="5"/>
        <v/>
      </c>
      <c r="U62" s="85">
        <f t="shared" si="6"/>
        <v>0</v>
      </c>
    </row>
    <row r="63">
      <c r="A63" s="85">
        <v>61.0</v>
      </c>
      <c r="B63" s="35"/>
      <c r="C63" s="65"/>
      <c r="D63" s="76"/>
      <c r="E63" s="93"/>
      <c r="F63" s="76"/>
      <c r="G63" s="35"/>
      <c r="H63" s="85"/>
      <c r="I63" s="85"/>
      <c r="J63" s="87" t="str">
        <f t="shared" si="1"/>
        <v/>
      </c>
      <c r="K63" s="35"/>
      <c r="L63" s="88"/>
      <c r="M63" s="88"/>
      <c r="N63" s="87" t="str">
        <f t="shared" si="2"/>
        <v/>
      </c>
      <c r="O63" s="35"/>
      <c r="P63" s="88"/>
      <c r="Q63" s="88"/>
      <c r="R63" s="87" t="str">
        <f t="shared" si="3"/>
        <v/>
      </c>
      <c r="S63" s="90" t="str">
        <f t="shared" si="4"/>
        <v/>
      </c>
      <c r="T63" s="91" t="str">
        <f t="shared" si="5"/>
        <v/>
      </c>
      <c r="U63" s="85">
        <f t="shared" si="6"/>
        <v>0</v>
      </c>
    </row>
    <row r="64">
      <c r="A64" s="85">
        <v>62.0</v>
      </c>
      <c r="B64" s="35"/>
      <c r="C64" s="65"/>
      <c r="D64" s="76"/>
      <c r="E64" s="93"/>
      <c r="F64" s="76"/>
      <c r="G64" s="35"/>
      <c r="H64" s="85"/>
      <c r="I64" s="85"/>
      <c r="J64" s="87" t="str">
        <f t="shared" si="1"/>
        <v/>
      </c>
      <c r="K64" s="35"/>
      <c r="L64" s="88"/>
      <c r="M64" s="88"/>
      <c r="N64" s="87" t="str">
        <f t="shared" si="2"/>
        <v/>
      </c>
      <c r="O64" s="35"/>
      <c r="P64" s="88"/>
      <c r="Q64" s="88"/>
      <c r="R64" s="87" t="str">
        <f t="shared" si="3"/>
        <v/>
      </c>
      <c r="S64" s="90" t="str">
        <f t="shared" si="4"/>
        <v/>
      </c>
      <c r="T64" s="91" t="str">
        <f t="shared" si="5"/>
        <v/>
      </c>
      <c r="U64" s="85">
        <f t="shared" si="6"/>
        <v>0</v>
      </c>
    </row>
    <row r="65">
      <c r="A65" s="85">
        <v>63.0</v>
      </c>
      <c r="B65" s="35"/>
      <c r="C65" s="65"/>
      <c r="D65" s="76"/>
      <c r="E65" s="93"/>
      <c r="F65" s="76"/>
      <c r="G65" s="35"/>
      <c r="H65" s="85"/>
      <c r="I65" s="85"/>
      <c r="J65" s="87" t="str">
        <f t="shared" si="1"/>
        <v/>
      </c>
      <c r="K65" s="35"/>
      <c r="L65" s="88"/>
      <c r="M65" s="88"/>
      <c r="N65" s="87" t="str">
        <f t="shared" si="2"/>
        <v/>
      </c>
      <c r="O65" s="35"/>
      <c r="P65" s="88"/>
      <c r="Q65" s="88"/>
      <c r="R65" s="87" t="str">
        <f t="shared" si="3"/>
        <v/>
      </c>
      <c r="S65" s="90" t="str">
        <f t="shared" si="4"/>
        <v/>
      </c>
      <c r="T65" s="91" t="str">
        <f t="shared" si="5"/>
        <v/>
      </c>
      <c r="U65" s="85">
        <f t="shared" si="6"/>
        <v>0</v>
      </c>
    </row>
    <row r="66">
      <c r="A66" s="85">
        <v>64.0</v>
      </c>
      <c r="B66" s="35"/>
      <c r="C66" s="65"/>
      <c r="D66" s="76"/>
      <c r="E66" s="93"/>
      <c r="F66" s="76"/>
      <c r="G66" s="35"/>
      <c r="H66" s="85"/>
      <c r="I66" s="85"/>
      <c r="J66" s="87" t="str">
        <f t="shared" si="1"/>
        <v/>
      </c>
      <c r="K66" s="35"/>
      <c r="L66" s="88"/>
      <c r="M66" s="88"/>
      <c r="N66" s="87" t="str">
        <f t="shared" si="2"/>
        <v/>
      </c>
      <c r="O66" s="35"/>
      <c r="P66" s="88"/>
      <c r="Q66" s="88"/>
      <c r="R66" s="87" t="str">
        <f t="shared" si="3"/>
        <v/>
      </c>
      <c r="S66" s="90" t="str">
        <f t="shared" si="4"/>
        <v/>
      </c>
      <c r="T66" s="91" t="str">
        <f t="shared" si="5"/>
        <v/>
      </c>
      <c r="U66" s="85">
        <f t="shared" si="6"/>
        <v>0</v>
      </c>
    </row>
    <row r="67">
      <c r="A67" s="85">
        <v>65.0</v>
      </c>
      <c r="B67" s="35"/>
      <c r="C67" s="65"/>
      <c r="D67" s="76"/>
      <c r="E67" s="93"/>
      <c r="F67" s="76"/>
      <c r="G67" s="35"/>
      <c r="H67" s="85"/>
      <c r="I67" s="85"/>
      <c r="J67" s="87" t="str">
        <f t="shared" si="1"/>
        <v/>
      </c>
      <c r="K67" s="35"/>
      <c r="L67" s="88"/>
      <c r="M67" s="88"/>
      <c r="N67" s="87" t="str">
        <f t="shared" si="2"/>
        <v/>
      </c>
      <c r="O67" s="35"/>
      <c r="P67" s="88"/>
      <c r="Q67" s="88"/>
      <c r="R67" s="87" t="str">
        <f t="shared" si="3"/>
        <v/>
      </c>
      <c r="S67" s="90" t="str">
        <f t="shared" si="4"/>
        <v/>
      </c>
      <c r="T67" s="91" t="str">
        <f t="shared" si="5"/>
        <v/>
      </c>
      <c r="U67" s="85">
        <f t="shared" si="6"/>
        <v>0</v>
      </c>
    </row>
    <row r="68">
      <c r="A68" s="85">
        <v>66.0</v>
      </c>
      <c r="B68" s="35"/>
      <c r="C68" s="65"/>
      <c r="D68" s="76"/>
      <c r="E68" s="93"/>
      <c r="F68" s="76"/>
      <c r="G68" s="35"/>
      <c r="H68" s="85"/>
      <c r="I68" s="85"/>
      <c r="J68" s="87" t="str">
        <f t="shared" si="1"/>
        <v/>
      </c>
      <c r="K68" s="35"/>
      <c r="L68" s="88"/>
      <c r="M68" s="88"/>
      <c r="N68" s="87" t="str">
        <f t="shared" si="2"/>
        <v/>
      </c>
      <c r="O68" s="35"/>
      <c r="P68" s="88"/>
      <c r="Q68" s="88"/>
      <c r="R68" s="87" t="str">
        <f t="shared" si="3"/>
        <v/>
      </c>
      <c r="S68" s="90" t="str">
        <f t="shared" si="4"/>
        <v/>
      </c>
      <c r="T68" s="91" t="str">
        <f t="shared" si="5"/>
        <v/>
      </c>
      <c r="U68" s="85">
        <f t="shared" si="6"/>
        <v>0</v>
      </c>
    </row>
    <row r="69">
      <c r="A69" s="85">
        <v>67.0</v>
      </c>
      <c r="B69" s="35"/>
      <c r="C69" s="65"/>
      <c r="D69" s="76"/>
      <c r="E69" s="93"/>
      <c r="F69" s="76"/>
      <c r="G69" s="35"/>
      <c r="H69" s="85"/>
      <c r="I69" s="85"/>
      <c r="J69" s="87" t="str">
        <f t="shared" si="1"/>
        <v/>
      </c>
      <c r="K69" s="35"/>
      <c r="L69" s="88"/>
      <c r="M69" s="88"/>
      <c r="N69" s="87" t="str">
        <f t="shared" si="2"/>
        <v/>
      </c>
      <c r="O69" s="35"/>
      <c r="P69" s="88"/>
      <c r="Q69" s="88"/>
      <c r="R69" s="87" t="str">
        <f t="shared" si="3"/>
        <v/>
      </c>
      <c r="S69" s="90" t="str">
        <f t="shared" si="4"/>
        <v/>
      </c>
      <c r="T69" s="91" t="str">
        <f t="shared" si="5"/>
        <v/>
      </c>
      <c r="U69" s="85">
        <f t="shared" si="6"/>
        <v>0</v>
      </c>
    </row>
    <row r="70">
      <c r="A70" s="85">
        <v>68.0</v>
      </c>
      <c r="B70" s="35"/>
      <c r="C70" s="65"/>
      <c r="D70" s="76"/>
      <c r="E70" s="93"/>
      <c r="F70" s="76"/>
      <c r="G70" s="35"/>
      <c r="H70" s="85"/>
      <c r="I70" s="85"/>
      <c r="J70" s="87" t="str">
        <f t="shared" si="1"/>
        <v/>
      </c>
      <c r="K70" s="35"/>
      <c r="L70" s="88"/>
      <c r="M70" s="88"/>
      <c r="N70" s="87" t="str">
        <f t="shared" si="2"/>
        <v/>
      </c>
      <c r="O70" s="35"/>
      <c r="P70" s="88"/>
      <c r="Q70" s="88"/>
      <c r="R70" s="87" t="str">
        <f t="shared" si="3"/>
        <v/>
      </c>
      <c r="S70" s="90" t="str">
        <f t="shared" si="4"/>
        <v/>
      </c>
      <c r="T70" s="91" t="str">
        <f t="shared" si="5"/>
        <v/>
      </c>
      <c r="U70" s="85">
        <f t="shared" si="6"/>
        <v>0</v>
      </c>
    </row>
    <row r="71">
      <c r="A71" s="85">
        <v>69.0</v>
      </c>
      <c r="B71" s="35"/>
      <c r="C71" s="65"/>
      <c r="D71" s="76"/>
      <c r="E71" s="93"/>
      <c r="F71" s="76"/>
      <c r="G71" s="35"/>
      <c r="H71" s="85"/>
      <c r="I71" s="85"/>
      <c r="J71" s="87" t="str">
        <f t="shared" si="1"/>
        <v/>
      </c>
      <c r="K71" s="35"/>
      <c r="L71" s="88"/>
      <c r="M71" s="88"/>
      <c r="N71" s="87" t="str">
        <f t="shared" si="2"/>
        <v/>
      </c>
      <c r="O71" s="35"/>
      <c r="P71" s="88"/>
      <c r="Q71" s="88"/>
      <c r="R71" s="87" t="str">
        <f t="shared" si="3"/>
        <v/>
      </c>
      <c r="S71" s="90" t="str">
        <f t="shared" si="4"/>
        <v/>
      </c>
      <c r="T71" s="91" t="str">
        <f t="shared" si="5"/>
        <v/>
      </c>
      <c r="U71" s="85">
        <f t="shared" si="6"/>
        <v>0</v>
      </c>
    </row>
    <row r="72">
      <c r="A72" s="85">
        <v>70.0</v>
      </c>
      <c r="B72" s="35"/>
      <c r="C72" s="65"/>
      <c r="D72" s="76"/>
      <c r="E72" s="93"/>
      <c r="F72" s="76"/>
      <c r="G72" s="35"/>
      <c r="H72" s="85"/>
      <c r="I72" s="85"/>
      <c r="J72" s="87" t="str">
        <f t="shared" si="1"/>
        <v/>
      </c>
      <c r="K72" s="35"/>
      <c r="L72" s="88"/>
      <c r="M72" s="88"/>
      <c r="N72" s="87" t="str">
        <f t="shared" si="2"/>
        <v/>
      </c>
      <c r="O72" s="35"/>
      <c r="P72" s="88"/>
      <c r="Q72" s="88"/>
      <c r="R72" s="87" t="str">
        <f t="shared" si="3"/>
        <v/>
      </c>
      <c r="S72" s="90" t="str">
        <f t="shared" si="4"/>
        <v/>
      </c>
      <c r="T72" s="91" t="str">
        <f t="shared" si="5"/>
        <v/>
      </c>
      <c r="U72" s="85">
        <f t="shared" si="6"/>
        <v>0</v>
      </c>
    </row>
    <row r="73">
      <c r="A73" s="85">
        <v>71.0</v>
      </c>
      <c r="B73" s="35"/>
      <c r="C73" s="65"/>
      <c r="D73" s="76"/>
      <c r="E73" s="93"/>
      <c r="F73" s="76"/>
      <c r="G73" s="35"/>
      <c r="H73" s="85"/>
      <c r="I73" s="85"/>
      <c r="J73" s="87" t="str">
        <f t="shared" si="1"/>
        <v/>
      </c>
      <c r="K73" s="35"/>
      <c r="L73" s="88"/>
      <c r="M73" s="88"/>
      <c r="N73" s="87" t="str">
        <f t="shared" si="2"/>
        <v/>
      </c>
      <c r="O73" s="35"/>
      <c r="P73" s="88"/>
      <c r="Q73" s="88"/>
      <c r="R73" s="87" t="str">
        <f t="shared" si="3"/>
        <v/>
      </c>
      <c r="S73" s="90" t="str">
        <f t="shared" si="4"/>
        <v/>
      </c>
      <c r="T73" s="91" t="str">
        <f t="shared" si="5"/>
        <v/>
      </c>
      <c r="U73" s="85">
        <f t="shared" si="6"/>
        <v>0</v>
      </c>
    </row>
    <row r="74">
      <c r="A74" s="85">
        <v>72.0</v>
      </c>
      <c r="B74" s="35"/>
      <c r="C74" s="65"/>
      <c r="D74" s="76"/>
      <c r="E74" s="93"/>
      <c r="F74" s="76"/>
      <c r="G74" s="35"/>
      <c r="H74" s="85"/>
      <c r="I74" s="85"/>
      <c r="J74" s="87" t="str">
        <f t="shared" si="1"/>
        <v/>
      </c>
      <c r="K74" s="35"/>
      <c r="L74" s="88"/>
      <c r="M74" s="88"/>
      <c r="N74" s="87" t="str">
        <f t="shared" si="2"/>
        <v/>
      </c>
      <c r="O74" s="35"/>
      <c r="P74" s="88"/>
      <c r="Q74" s="88"/>
      <c r="R74" s="87" t="str">
        <f t="shared" si="3"/>
        <v/>
      </c>
      <c r="S74" s="90" t="str">
        <f t="shared" si="4"/>
        <v/>
      </c>
      <c r="T74" s="91" t="str">
        <f t="shared" si="5"/>
        <v/>
      </c>
      <c r="U74" s="85">
        <f t="shared" si="6"/>
        <v>0</v>
      </c>
    </row>
    <row r="75">
      <c r="A75" s="85">
        <v>73.0</v>
      </c>
      <c r="B75" s="35"/>
      <c r="C75" s="65"/>
      <c r="D75" s="76"/>
      <c r="E75" s="93"/>
      <c r="F75" s="76"/>
      <c r="G75" s="35"/>
      <c r="H75" s="85"/>
      <c r="I75" s="85"/>
      <c r="J75" s="87" t="str">
        <f t="shared" si="1"/>
        <v/>
      </c>
      <c r="K75" s="35"/>
      <c r="L75" s="88"/>
      <c r="M75" s="88"/>
      <c r="N75" s="87" t="str">
        <f t="shared" si="2"/>
        <v/>
      </c>
      <c r="O75" s="35"/>
      <c r="P75" s="88"/>
      <c r="Q75" s="88"/>
      <c r="R75" s="87" t="str">
        <f t="shared" si="3"/>
        <v/>
      </c>
      <c r="S75" s="90" t="str">
        <f t="shared" si="4"/>
        <v/>
      </c>
      <c r="T75" s="91" t="str">
        <f t="shared" si="5"/>
        <v/>
      </c>
      <c r="U75" s="85">
        <f t="shared" si="6"/>
        <v>0</v>
      </c>
    </row>
    <row r="76">
      <c r="A76" s="85">
        <v>74.0</v>
      </c>
      <c r="B76" s="35"/>
      <c r="C76" s="65"/>
      <c r="D76" s="76"/>
      <c r="E76" s="93"/>
      <c r="F76" s="76"/>
      <c r="G76" s="35"/>
      <c r="H76" s="85"/>
      <c r="I76" s="85"/>
      <c r="J76" s="87" t="str">
        <f t="shared" si="1"/>
        <v/>
      </c>
      <c r="K76" s="35"/>
      <c r="L76" s="88"/>
      <c r="M76" s="88"/>
      <c r="N76" s="87" t="str">
        <f t="shared" si="2"/>
        <v/>
      </c>
      <c r="O76" s="35"/>
      <c r="P76" s="88"/>
      <c r="Q76" s="88"/>
      <c r="R76" s="87" t="str">
        <f t="shared" si="3"/>
        <v/>
      </c>
      <c r="S76" s="90" t="str">
        <f t="shared" si="4"/>
        <v/>
      </c>
      <c r="T76" s="91" t="str">
        <f t="shared" si="5"/>
        <v/>
      </c>
      <c r="U76" s="85">
        <f t="shared" si="6"/>
        <v>0</v>
      </c>
    </row>
    <row r="77">
      <c r="A77" s="85">
        <v>75.0</v>
      </c>
      <c r="B77" s="35"/>
      <c r="C77" s="65"/>
      <c r="D77" s="76"/>
      <c r="E77" s="93"/>
      <c r="F77" s="76"/>
      <c r="G77" s="35"/>
      <c r="H77" s="85"/>
      <c r="I77" s="85"/>
      <c r="J77" s="87" t="str">
        <f t="shared" si="1"/>
        <v/>
      </c>
      <c r="K77" s="35"/>
      <c r="L77" s="88"/>
      <c r="M77" s="88"/>
      <c r="N77" s="87" t="str">
        <f t="shared" si="2"/>
        <v/>
      </c>
      <c r="O77" s="35"/>
      <c r="P77" s="88"/>
      <c r="Q77" s="88"/>
      <c r="R77" s="87" t="str">
        <f t="shared" si="3"/>
        <v/>
      </c>
      <c r="S77" s="90" t="str">
        <f t="shared" si="4"/>
        <v/>
      </c>
      <c r="T77" s="91" t="str">
        <f t="shared" si="5"/>
        <v/>
      </c>
      <c r="U77" s="85">
        <f t="shared" si="6"/>
        <v>0</v>
      </c>
    </row>
  </sheetData>
  <autoFilter ref="$B$2:$T$77"/>
  <customSheetViews>
    <customSheetView guid="{B0C17AAF-6872-48F8-A58E-565BF6C8DB27}" filter="1" showAutoFilter="1">
      <autoFilter ref="$C$2:$T$52"/>
    </customSheetView>
  </customSheetViews>
  <mergeCells count="3">
    <mergeCell ref="K1:N1"/>
    <mergeCell ref="O1:R1"/>
    <mergeCell ref="G1:J1"/>
  </mergeCells>
  <conditionalFormatting sqref="G3:I77 K3:M77 O3:Q77">
    <cfRule type="endsWith" dxfId="2" priority="1" operator="endsWith" text="g">
      <formula>RIGHT((G3),LEN("g"))=("g")</formula>
    </cfRule>
  </conditionalFormatting>
  <conditionalFormatting sqref="G3:I77 K3:M77 O3:Q77">
    <cfRule type="endsWith" dxfId="1" priority="2" operator="endsWith" text="x">
      <formula>RIGHT((G3),LEN("x"))=("x")</formula>
    </cfRule>
  </conditionalFormatting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1" t="s">
        <v>0</v>
      </c>
      <c r="B1" s="1" t="s">
        <v>1</v>
      </c>
    </row>
    <row r="2">
      <c r="A2" s="4" t="s">
        <v>2</v>
      </c>
      <c r="B2" s="4" t="s">
        <v>3</v>
      </c>
    </row>
    <row r="3">
      <c r="A3" s="4" t="s">
        <v>4</v>
      </c>
      <c r="B3" s="4" t="s">
        <v>5</v>
      </c>
    </row>
    <row r="4">
      <c r="A4" s="4" t="s">
        <v>6</v>
      </c>
      <c r="B4" s="4" t="s">
        <v>7</v>
      </c>
    </row>
    <row r="5">
      <c r="A5" s="4" t="s">
        <v>8</v>
      </c>
      <c r="B5" s="4" t="s">
        <v>9</v>
      </c>
    </row>
    <row r="6">
      <c r="A6" s="4" t="s">
        <v>10</v>
      </c>
      <c r="B6" s="4" t="s">
        <v>5</v>
      </c>
    </row>
    <row r="7">
      <c r="A7" s="4" t="s">
        <v>11</v>
      </c>
      <c r="B7" s="4" t="s">
        <v>12</v>
      </c>
    </row>
  </sheetData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tabColor rgb="FF000000"/>
    <outlinePr summaryBelow="0" summaryRight="0"/>
  </sheetPr>
  <sheetViews>
    <sheetView workbookViewId="0">
      <pane xSplit="6.0" ySplit="2.0" topLeftCell="G3" activePane="bottomRight" state="frozen"/>
      <selection activeCell="G1" sqref="G1" pane="topRight"/>
      <selection activeCell="A3" sqref="A3" pane="bottomLeft"/>
      <selection activeCell="G3" sqref="G3" pane="bottomRight"/>
    </sheetView>
  </sheetViews>
  <sheetFormatPr customHeight="1" defaultColWidth="14.43" defaultRowHeight="15.75"/>
  <cols>
    <col customWidth="1" min="1" max="1" width="3.57"/>
    <col customWidth="1" min="2" max="2" width="10.29"/>
    <col customWidth="1" min="3" max="3" width="6.86"/>
    <col customWidth="1" min="4" max="4" width="14.71"/>
    <col customWidth="1" min="5" max="5" width="7.57"/>
    <col customWidth="1" min="6" max="6" width="18.29"/>
    <col customWidth="1" min="7" max="18" width="5.71"/>
    <col customWidth="1" min="19" max="19" width="9.86"/>
    <col customWidth="1" min="20" max="20" width="11.0"/>
    <col customWidth="1" hidden="1" min="21" max="21" width="11.0"/>
  </cols>
  <sheetData>
    <row r="1">
      <c r="A1" s="14"/>
      <c r="B1" s="16" t="s">
        <v>19</v>
      </c>
      <c r="C1" s="16" t="s">
        <v>135</v>
      </c>
      <c r="D1" s="57" t="s">
        <v>22</v>
      </c>
      <c r="E1" s="57" t="s">
        <v>23</v>
      </c>
      <c r="F1" s="57" t="s">
        <v>25</v>
      </c>
      <c r="G1" s="57" t="s">
        <v>115</v>
      </c>
      <c r="K1" s="57" t="s">
        <v>116</v>
      </c>
      <c r="O1" s="57" t="s">
        <v>117</v>
      </c>
      <c r="S1" s="57" t="s">
        <v>118</v>
      </c>
      <c r="T1" s="57" t="s">
        <v>119</v>
      </c>
      <c r="U1" s="57"/>
    </row>
    <row r="2">
      <c r="A2" s="81"/>
      <c r="B2" s="83" t="s">
        <v>19</v>
      </c>
      <c r="C2" s="83" t="s">
        <v>135</v>
      </c>
      <c r="D2" s="83" t="s">
        <v>22</v>
      </c>
      <c r="E2" s="84" t="s">
        <v>23</v>
      </c>
      <c r="F2" s="83" t="s">
        <v>25</v>
      </c>
      <c r="G2" s="83" t="s">
        <v>136</v>
      </c>
      <c r="H2" s="83" t="s">
        <v>137</v>
      </c>
      <c r="I2" s="83" t="s">
        <v>138</v>
      </c>
      <c r="J2" s="83" t="s">
        <v>139</v>
      </c>
      <c r="K2" s="83" t="s">
        <v>140</v>
      </c>
      <c r="L2" s="83" t="s">
        <v>141</v>
      </c>
      <c r="M2" s="83" t="s">
        <v>142</v>
      </c>
      <c r="N2" s="83" t="s">
        <v>143</v>
      </c>
      <c r="O2" s="83" t="s">
        <v>144</v>
      </c>
      <c r="P2" s="83" t="s">
        <v>145</v>
      </c>
      <c r="Q2" s="83" t="s">
        <v>146</v>
      </c>
      <c r="R2" s="83" t="s">
        <v>147</v>
      </c>
      <c r="S2" s="83"/>
      <c r="T2" s="84" t="s">
        <v>119</v>
      </c>
      <c r="U2" s="84"/>
    </row>
    <row r="3">
      <c r="A3" s="85">
        <v>1.0</v>
      </c>
      <c r="B3" s="35"/>
      <c r="C3" s="35"/>
      <c r="D3" s="86"/>
      <c r="E3" s="35"/>
      <c r="F3" s="86"/>
      <c r="G3" s="35"/>
      <c r="H3" s="85"/>
      <c r="I3" s="85"/>
      <c r="J3" s="87" t="str">
        <f t="shared" ref="J3:J77" si="1">IFERROR(__xludf.DUMMYFUNCTION("if(isblank(B3),,Max(if(right(G3,1)=""g"",split(G3,""g""),),if(right(H3,1)=""g"",split(H3,""g""),),if(right(I3,1)=""g"",split(I3,""g""),)))"),"")</f>
        <v/>
      </c>
      <c r="K3" s="35"/>
      <c r="L3" s="88"/>
      <c r="M3" s="88"/>
      <c r="N3" s="87" t="str">
        <f t="shared" ref="N3:N77" si="2">IFERROR(__xludf.DUMMYFUNCTION("if(isblank($B3),,Max(if(right(K3,1)=""g"",split(K3,""g""),),if(right(L3,1)=""g"",split(L3,""g""),),if(right(M3,1)=""g"",split(M3,""g""),)))"),"")</f>
        <v/>
      </c>
      <c r="O3" s="35"/>
      <c r="P3" s="88"/>
      <c r="Q3" s="88"/>
      <c r="R3" s="87" t="str">
        <f t="shared" ref="R3:R77" si="3">IFERROR(__xludf.DUMMYFUNCTION("if(isblank($B3),,Max(if(right(O3,1)=""g"",split(O3,""g""),),if(right(P3,1)=""g"",split(P3,""g""),),if(right(Q3,1)=""g"",split(Q3,""g""),)))"),"")</f>
        <v/>
      </c>
      <c r="S3" s="90" t="str">
        <f t="shared" ref="S3:S77" si="4">if(isblank(F3),,if(or(and(right(G3,1)="x",right(H3,1)="x",right(I3,1)="x"),and(right(K3,1)="x",right(L3,1)="x",right(M3,1)="x"),and(right(O3,1)="x",right(P3,1)="x",right(Q3,1)="x")),0,J3+N3+R3))</f>
        <v/>
      </c>
      <c r="T3" s="91" t="str">
        <f t="shared" ref="T3:T77" si="5">if(isblank(E3),,S3/E3)</f>
        <v/>
      </c>
      <c r="U3" s="85">
        <f t="shared" ref="U3:U77" si="6">countif(G3:Q3,"*g")</f>
        <v>0</v>
      </c>
    </row>
    <row r="4">
      <c r="A4" s="85">
        <v>2.0</v>
      </c>
      <c r="B4" s="35"/>
      <c r="C4" s="35"/>
      <c r="D4" s="86"/>
      <c r="E4" s="85"/>
      <c r="F4" s="86"/>
      <c r="G4" s="35"/>
      <c r="H4" s="85"/>
      <c r="I4" s="85"/>
      <c r="J4" s="87" t="str">
        <f t="shared" si="1"/>
        <v/>
      </c>
      <c r="K4" s="35"/>
      <c r="L4" s="88"/>
      <c r="M4" s="88"/>
      <c r="N4" s="87" t="str">
        <f t="shared" si="2"/>
        <v/>
      </c>
      <c r="O4" s="35"/>
      <c r="P4" s="88"/>
      <c r="Q4" s="88"/>
      <c r="R4" s="87" t="str">
        <f t="shared" si="3"/>
        <v/>
      </c>
      <c r="S4" s="90" t="str">
        <f t="shared" si="4"/>
        <v/>
      </c>
      <c r="T4" s="91" t="str">
        <f t="shared" si="5"/>
        <v/>
      </c>
      <c r="U4" s="85">
        <f t="shared" si="6"/>
        <v>0</v>
      </c>
    </row>
    <row r="5">
      <c r="A5" s="85">
        <v>3.0</v>
      </c>
      <c r="B5" s="35"/>
      <c r="C5" s="35"/>
      <c r="D5" s="86"/>
      <c r="E5" s="85"/>
      <c r="F5" s="86"/>
      <c r="G5" s="35"/>
      <c r="H5" s="85"/>
      <c r="I5" s="85"/>
      <c r="J5" s="87" t="str">
        <f t="shared" si="1"/>
        <v/>
      </c>
      <c r="K5" s="35"/>
      <c r="L5" s="88"/>
      <c r="M5" s="88"/>
      <c r="N5" s="87" t="str">
        <f t="shared" si="2"/>
        <v/>
      </c>
      <c r="O5" s="35"/>
      <c r="P5" s="88"/>
      <c r="Q5" s="88"/>
      <c r="R5" s="87" t="str">
        <f t="shared" si="3"/>
        <v/>
      </c>
      <c r="S5" s="90" t="str">
        <f t="shared" si="4"/>
        <v/>
      </c>
      <c r="T5" s="91" t="str">
        <f t="shared" si="5"/>
        <v/>
      </c>
      <c r="U5" s="85">
        <f t="shared" si="6"/>
        <v>0</v>
      </c>
    </row>
    <row r="6" ht="16.5" customHeight="1">
      <c r="A6" s="85">
        <v>4.0</v>
      </c>
      <c r="B6" s="35"/>
      <c r="C6" s="35"/>
      <c r="D6" s="86"/>
      <c r="E6" s="35"/>
      <c r="F6" s="86"/>
      <c r="G6" s="35"/>
      <c r="H6" s="85"/>
      <c r="I6" s="85"/>
      <c r="J6" s="87" t="str">
        <f t="shared" si="1"/>
        <v/>
      </c>
      <c r="K6" s="35"/>
      <c r="L6" s="88"/>
      <c r="M6" s="88"/>
      <c r="N6" s="87" t="str">
        <f t="shared" si="2"/>
        <v/>
      </c>
      <c r="O6" s="35"/>
      <c r="P6" s="88"/>
      <c r="Q6" s="88"/>
      <c r="R6" s="87" t="str">
        <f t="shared" si="3"/>
        <v/>
      </c>
      <c r="S6" s="90" t="str">
        <f t="shared" si="4"/>
        <v/>
      </c>
      <c r="T6" s="91" t="str">
        <f t="shared" si="5"/>
        <v/>
      </c>
      <c r="U6" s="85">
        <f t="shared" si="6"/>
        <v>0</v>
      </c>
    </row>
    <row r="7">
      <c r="A7" s="85">
        <v>5.0</v>
      </c>
      <c r="B7" s="35"/>
      <c r="C7" s="35"/>
      <c r="D7" s="86"/>
      <c r="E7" s="35"/>
      <c r="F7" s="86"/>
      <c r="G7" s="35"/>
      <c r="H7" s="85"/>
      <c r="I7" s="85"/>
      <c r="J7" s="87" t="str">
        <f t="shared" si="1"/>
        <v/>
      </c>
      <c r="K7" s="35"/>
      <c r="L7" s="88"/>
      <c r="M7" s="88"/>
      <c r="N7" s="87" t="str">
        <f t="shared" si="2"/>
        <v/>
      </c>
      <c r="O7" s="35"/>
      <c r="P7" s="88"/>
      <c r="Q7" s="88"/>
      <c r="R7" s="87" t="str">
        <f t="shared" si="3"/>
        <v/>
      </c>
      <c r="S7" s="90" t="str">
        <f t="shared" si="4"/>
        <v/>
      </c>
      <c r="T7" s="91" t="str">
        <f t="shared" si="5"/>
        <v/>
      </c>
      <c r="U7" s="85">
        <f t="shared" si="6"/>
        <v>0</v>
      </c>
    </row>
    <row r="8">
      <c r="A8" s="85">
        <v>6.0</v>
      </c>
      <c r="B8" s="35"/>
      <c r="C8" s="35"/>
      <c r="D8" s="86"/>
      <c r="E8" s="35"/>
      <c r="F8" s="86"/>
      <c r="G8" s="35"/>
      <c r="H8" s="85"/>
      <c r="I8" s="85"/>
      <c r="J8" s="87" t="str">
        <f t="shared" si="1"/>
        <v/>
      </c>
      <c r="K8" s="35"/>
      <c r="L8" s="88"/>
      <c r="M8" s="88"/>
      <c r="N8" s="87" t="str">
        <f t="shared" si="2"/>
        <v/>
      </c>
      <c r="O8" s="35"/>
      <c r="P8" s="88"/>
      <c r="Q8" s="88"/>
      <c r="R8" s="87" t="str">
        <f t="shared" si="3"/>
        <v/>
      </c>
      <c r="S8" s="90" t="str">
        <f t="shared" si="4"/>
        <v/>
      </c>
      <c r="T8" s="91" t="str">
        <f t="shared" si="5"/>
        <v/>
      </c>
      <c r="U8" s="85">
        <f t="shared" si="6"/>
        <v>0</v>
      </c>
    </row>
    <row r="9">
      <c r="A9" s="85">
        <v>7.0</v>
      </c>
      <c r="B9" s="35"/>
      <c r="C9" s="35"/>
      <c r="D9" s="86"/>
      <c r="E9" s="35"/>
      <c r="F9" s="86"/>
      <c r="G9" s="35"/>
      <c r="H9" s="85"/>
      <c r="I9" s="85"/>
      <c r="J9" s="87" t="str">
        <f t="shared" si="1"/>
        <v/>
      </c>
      <c r="K9" s="35"/>
      <c r="L9" s="88"/>
      <c r="M9" s="88"/>
      <c r="N9" s="87" t="str">
        <f t="shared" si="2"/>
        <v/>
      </c>
      <c r="O9" s="35"/>
      <c r="P9" s="88"/>
      <c r="Q9" s="88"/>
      <c r="R9" s="87" t="str">
        <f t="shared" si="3"/>
        <v/>
      </c>
      <c r="S9" s="90" t="str">
        <f t="shared" si="4"/>
        <v/>
      </c>
      <c r="T9" s="91" t="str">
        <f t="shared" si="5"/>
        <v/>
      </c>
      <c r="U9" s="85">
        <f t="shared" si="6"/>
        <v>0</v>
      </c>
    </row>
    <row r="10">
      <c r="A10" s="85">
        <v>8.0</v>
      </c>
      <c r="B10" s="35"/>
      <c r="C10" s="35"/>
      <c r="D10" s="86"/>
      <c r="E10" s="35"/>
      <c r="F10" s="86"/>
      <c r="G10" s="35"/>
      <c r="H10" s="85"/>
      <c r="I10" s="85"/>
      <c r="J10" s="87" t="str">
        <f t="shared" si="1"/>
        <v/>
      </c>
      <c r="K10" s="35"/>
      <c r="L10" s="88"/>
      <c r="M10" s="88"/>
      <c r="N10" s="87" t="str">
        <f t="shared" si="2"/>
        <v/>
      </c>
      <c r="O10" s="35"/>
      <c r="P10" s="88"/>
      <c r="Q10" s="88"/>
      <c r="R10" s="87" t="str">
        <f t="shared" si="3"/>
        <v/>
      </c>
      <c r="S10" s="90" t="str">
        <f t="shared" si="4"/>
        <v/>
      </c>
      <c r="T10" s="91" t="str">
        <f t="shared" si="5"/>
        <v/>
      </c>
      <c r="U10" s="85">
        <f t="shared" si="6"/>
        <v>0</v>
      </c>
    </row>
    <row r="11">
      <c r="A11" s="85">
        <v>9.0</v>
      </c>
      <c r="B11" s="35"/>
      <c r="C11" s="35"/>
      <c r="D11" s="86"/>
      <c r="E11" s="35"/>
      <c r="F11" s="86"/>
      <c r="G11" s="35"/>
      <c r="H11" s="85"/>
      <c r="I11" s="85"/>
      <c r="J11" s="87" t="str">
        <f t="shared" si="1"/>
        <v/>
      </c>
      <c r="K11" s="35"/>
      <c r="L11" s="88"/>
      <c r="M11" s="88"/>
      <c r="N11" s="87" t="str">
        <f t="shared" si="2"/>
        <v/>
      </c>
      <c r="O11" s="35"/>
      <c r="P11" s="88"/>
      <c r="Q11" s="88"/>
      <c r="R11" s="87" t="str">
        <f t="shared" si="3"/>
        <v/>
      </c>
      <c r="S11" s="90" t="str">
        <f t="shared" si="4"/>
        <v/>
      </c>
      <c r="T11" s="91" t="str">
        <f t="shared" si="5"/>
        <v/>
      </c>
      <c r="U11" s="85">
        <f t="shared" si="6"/>
        <v>0</v>
      </c>
    </row>
    <row r="12">
      <c r="A12" s="85">
        <v>10.0</v>
      </c>
      <c r="B12" s="35"/>
      <c r="C12" s="35"/>
      <c r="D12" s="86"/>
      <c r="E12" s="35"/>
      <c r="F12" s="86"/>
      <c r="G12" s="35"/>
      <c r="H12" s="85"/>
      <c r="I12" s="85"/>
      <c r="J12" s="87" t="str">
        <f t="shared" si="1"/>
        <v/>
      </c>
      <c r="K12" s="35"/>
      <c r="L12" s="88"/>
      <c r="M12" s="88"/>
      <c r="N12" s="87" t="str">
        <f t="shared" si="2"/>
        <v/>
      </c>
      <c r="O12" s="35"/>
      <c r="P12" s="88"/>
      <c r="Q12" s="88"/>
      <c r="R12" s="87" t="str">
        <f t="shared" si="3"/>
        <v/>
      </c>
      <c r="S12" s="90" t="str">
        <f t="shared" si="4"/>
        <v/>
      </c>
      <c r="T12" s="91" t="str">
        <f t="shared" si="5"/>
        <v/>
      </c>
      <c r="U12" s="85">
        <f t="shared" si="6"/>
        <v>0</v>
      </c>
    </row>
    <row r="13">
      <c r="A13" s="85">
        <v>11.0</v>
      </c>
      <c r="B13" s="35"/>
      <c r="C13" s="35"/>
      <c r="D13" s="86"/>
      <c r="E13" s="35"/>
      <c r="F13" s="86"/>
      <c r="G13" s="35"/>
      <c r="H13" s="85"/>
      <c r="I13" s="85"/>
      <c r="J13" s="87" t="str">
        <f t="shared" si="1"/>
        <v/>
      </c>
      <c r="K13" s="35"/>
      <c r="L13" s="88"/>
      <c r="M13" s="88"/>
      <c r="N13" s="87" t="str">
        <f t="shared" si="2"/>
        <v/>
      </c>
      <c r="O13" s="35"/>
      <c r="P13" s="88"/>
      <c r="Q13" s="88"/>
      <c r="R13" s="87" t="str">
        <f t="shared" si="3"/>
        <v/>
      </c>
      <c r="S13" s="90" t="str">
        <f t="shared" si="4"/>
        <v/>
      </c>
      <c r="T13" s="91" t="str">
        <f t="shared" si="5"/>
        <v/>
      </c>
      <c r="U13" s="85">
        <f t="shared" si="6"/>
        <v>0</v>
      </c>
    </row>
    <row r="14">
      <c r="A14" s="85">
        <v>12.0</v>
      </c>
      <c r="B14" s="35"/>
      <c r="C14" s="35"/>
      <c r="D14" s="86"/>
      <c r="E14" s="35"/>
      <c r="F14" s="86"/>
      <c r="G14" s="35"/>
      <c r="H14" s="85"/>
      <c r="I14" s="85"/>
      <c r="J14" s="87" t="str">
        <f t="shared" si="1"/>
        <v/>
      </c>
      <c r="K14" s="35"/>
      <c r="L14" s="88"/>
      <c r="M14" s="88"/>
      <c r="N14" s="87" t="str">
        <f t="shared" si="2"/>
        <v/>
      </c>
      <c r="O14" s="35"/>
      <c r="P14" s="88"/>
      <c r="Q14" s="88"/>
      <c r="R14" s="87" t="str">
        <f t="shared" si="3"/>
        <v/>
      </c>
      <c r="S14" s="90" t="str">
        <f t="shared" si="4"/>
        <v/>
      </c>
      <c r="T14" s="91" t="str">
        <f t="shared" si="5"/>
        <v/>
      </c>
      <c r="U14" s="85">
        <f t="shared" si="6"/>
        <v>0</v>
      </c>
    </row>
    <row r="15">
      <c r="A15" s="85">
        <v>13.0</v>
      </c>
      <c r="B15" s="35"/>
      <c r="C15" s="35"/>
      <c r="D15" s="86"/>
      <c r="E15" s="35"/>
      <c r="F15" s="86"/>
      <c r="G15" s="35"/>
      <c r="H15" s="85"/>
      <c r="I15" s="85"/>
      <c r="J15" s="87" t="str">
        <f t="shared" si="1"/>
        <v/>
      </c>
      <c r="K15" s="35"/>
      <c r="L15" s="88"/>
      <c r="M15" s="88"/>
      <c r="N15" s="87" t="str">
        <f t="shared" si="2"/>
        <v/>
      </c>
      <c r="O15" s="35"/>
      <c r="P15" s="88"/>
      <c r="Q15" s="88"/>
      <c r="R15" s="87" t="str">
        <f t="shared" si="3"/>
        <v/>
      </c>
      <c r="S15" s="90" t="str">
        <f t="shared" si="4"/>
        <v/>
      </c>
      <c r="T15" s="91" t="str">
        <f t="shared" si="5"/>
        <v/>
      </c>
      <c r="U15" s="85">
        <f t="shared" si="6"/>
        <v>0</v>
      </c>
    </row>
    <row r="16">
      <c r="A16" s="85">
        <v>14.0</v>
      </c>
      <c r="B16" s="35"/>
      <c r="C16" s="35"/>
      <c r="D16" s="86"/>
      <c r="E16" s="35"/>
      <c r="F16" s="86"/>
      <c r="G16" s="35"/>
      <c r="H16" s="85"/>
      <c r="I16" s="85"/>
      <c r="J16" s="87" t="str">
        <f t="shared" si="1"/>
        <v/>
      </c>
      <c r="K16" s="35"/>
      <c r="L16" s="88"/>
      <c r="M16" s="88"/>
      <c r="N16" s="87" t="str">
        <f t="shared" si="2"/>
        <v/>
      </c>
      <c r="O16" s="35"/>
      <c r="P16" s="88"/>
      <c r="Q16" s="88"/>
      <c r="R16" s="87" t="str">
        <f t="shared" si="3"/>
        <v/>
      </c>
      <c r="S16" s="90" t="str">
        <f t="shared" si="4"/>
        <v/>
      </c>
      <c r="T16" s="91" t="str">
        <f t="shared" si="5"/>
        <v/>
      </c>
      <c r="U16" s="85">
        <f t="shared" si="6"/>
        <v>0</v>
      </c>
    </row>
    <row r="17">
      <c r="A17" s="85">
        <v>15.0</v>
      </c>
      <c r="B17" s="35"/>
      <c r="C17" s="35"/>
      <c r="D17" s="86"/>
      <c r="E17" s="35"/>
      <c r="F17" s="86"/>
      <c r="G17" s="35"/>
      <c r="H17" s="85"/>
      <c r="I17" s="85"/>
      <c r="J17" s="87" t="str">
        <f t="shared" si="1"/>
        <v/>
      </c>
      <c r="K17" s="35"/>
      <c r="L17" s="88"/>
      <c r="M17" s="88"/>
      <c r="N17" s="87" t="str">
        <f t="shared" si="2"/>
        <v/>
      </c>
      <c r="O17" s="35"/>
      <c r="P17" s="88"/>
      <c r="Q17" s="88"/>
      <c r="R17" s="87" t="str">
        <f t="shared" si="3"/>
        <v/>
      </c>
      <c r="S17" s="90" t="str">
        <f t="shared" si="4"/>
        <v/>
      </c>
      <c r="T17" s="91" t="str">
        <f t="shared" si="5"/>
        <v/>
      </c>
      <c r="U17" s="85">
        <f t="shared" si="6"/>
        <v>0</v>
      </c>
    </row>
    <row r="18">
      <c r="A18" s="85">
        <v>16.0</v>
      </c>
      <c r="B18" s="35"/>
      <c r="C18" s="35"/>
      <c r="D18" s="86"/>
      <c r="E18" s="35"/>
      <c r="F18" s="86"/>
      <c r="G18" s="35"/>
      <c r="H18" s="85"/>
      <c r="I18" s="85"/>
      <c r="J18" s="87" t="str">
        <f t="shared" si="1"/>
        <v/>
      </c>
      <c r="K18" s="35"/>
      <c r="L18" s="88"/>
      <c r="M18" s="88"/>
      <c r="N18" s="87" t="str">
        <f t="shared" si="2"/>
        <v/>
      </c>
      <c r="O18" s="35"/>
      <c r="P18" s="88"/>
      <c r="Q18" s="88"/>
      <c r="R18" s="87" t="str">
        <f t="shared" si="3"/>
        <v/>
      </c>
      <c r="S18" s="90" t="str">
        <f t="shared" si="4"/>
        <v/>
      </c>
      <c r="T18" s="91" t="str">
        <f t="shared" si="5"/>
        <v/>
      </c>
      <c r="U18" s="85">
        <f t="shared" si="6"/>
        <v>0</v>
      </c>
    </row>
    <row r="19">
      <c r="A19" s="85">
        <v>17.0</v>
      </c>
      <c r="B19" s="35"/>
      <c r="C19" s="35"/>
      <c r="D19" s="86"/>
      <c r="E19" s="35"/>
      <c r="F19" s="86"/>
      <c r="G19" s="35"/>
      <c r="H19" s="85"/>
      <c r="I19" s="85"/>
      <c r="J19" s="87" t="str">
        <f t="shared" si="1"/>
        <v/>
      </c>
      <c r="K19" s="35"/>
      <c r="L19" s="88"/>
      <c r="M19" s="88"/>
      <c r="N19" s="87" t="str">
        <f t="shared" si="2"/>
        <v/>
      </c>
      <c r="O19" s="35"/>
      <c r="P19" s="88"/>
      <c r="Q19" s="88"/>
      <c r="R19" s="87" t="str">
        <f t="shared" si="3"/>
        <v/>
      </c>
      <c r="S19" s="90" t="str">
        <f t="shared" si="4"/>
        <v/>
      </c>
      <c r="T19" s="91" t="str">
        <f t="shared" si="5"/>
        <v/>
      </c>
      <c r="U19" s="85">
        <f t="shared" si="6"/>
        <v>0</v>
      </c>
    </row>
    <row r="20">
      <c r="A20" s="85">
        <v>18.0</v>
      </c>
      <c r="B20" s="35"/>
      <c r="C20" s="35"/>
      <c r="D20" s="86"/>
      <c r="E20" s="35"/>
      <c r="F20" s="86"/>
      <c r="G20" s="35"/>
      <c r="H20" s="85"/>
      <c r="I20" s="85"/>
      <c r="J20" s="87" t="str">
        <f t="shared" si="1"/>
        <v/>
      </c>
      <c r="K20" s="35"/>
      <c r="L20" s="88"/>
      <c r="M20" s="88"/>
      <c r="N20" s="87" t="str">
        <f t="shared" si="2"/>
        <v/>
      </c>
      <c r="O20" s="35"/>
      <c r="P20" s="88"/>
      <c r="Q20" s="88"/>
      <c r="R20" s="87" t="str">
        <f t="shared" si="3"/>
        <v/>
      </c>
      <c r="S20" s="90" t="str">
        <f t="shared" si="4"/>
        <v/>
      </c>
      <c r="T20" s="91" t="str">
        <f t="shared" si="5"/>
        <v/>
      </c>
      <c r="U20" s="85">
        <f t="shared" si="6"/>
        <v>0</v>
      </c>
    </row>
    <row r="21">
      <c r="A21" s="85">
        <v>19.0</v>
      </c>
      <c r="B21" s="35"/>
      <c r="C21" s="35"/>
      <c r="D21" s="86"/>
      <c r="E21" s="35"/>
      <c r="F21" s="86"/>
      <c r="G21" s="35"/>
      <c r="H21" s="85"/>
      <c r="I21" s="85"/>
      <c r="J21" s="87" t="str">
        <f t="shared" si="1"/>
        <v/>
      </c>
      <c r="K21" s="35"/>
      <c r="L21" s="88"/>
      <c r="M21" s="88"/>
      <c r="N21" s="87" t="str">
        <f t="shared" si="2"/>
        <v/>
      </c>
      <c r="O21" s="35"/>
      <c r="P21" s="88"/>
      <c r="Q21" s="88"/>
      <c r="R21" s="87" t="str">
        <f t="shared" si="3"/>
        <v/>
      </c>
      <c r="S21" s="90" t="str">
        <f t="shared" si="4"/>
        <v/>
      </c>
      <c r="T21" s="91" t="str">
        <f t="shared" si="5"/>
        <v/>
      </c>
      <c r="U21" s="85">
        <f t="shared" si="6"/>
        <v>0</v>
      </c>
    </row>
    <row r="22">
      <c r="A22" s="85">
        <v>20.0</v>
      </c>
      <c r="B22" s="35"/>
      <c r="C22" s="35"/>
      <c r="D22" s="86"/>
      <c r="E22" s="35"/>
      <c r="F22" s="86"/>
      <c r="G22" s="35"/>
      <c r="H22" s="85"/>
      <c r="I22" s="85"/>
      <c r="J22" s="87" t="str">
        <f t="shared" si="1"/>
        <v/>
      </c>
      <c r="K22" s="35"/>
      <c r="L22" s="88"/>
      <c r="M22" s="88"/>
      <c r="N22" s="87" t="str">
        <f t="shared" si="2"/>
        <v/>
      </c>
      <c r="O22" s="35"/>
      <c r="P22" s="88"/>
      <c r="Q22" s="88"/>
      <c r="R22" s="87" t="str">
        <f t="shared" si="3"/>
        <v/>
      </c>
      <c r="S22" s="90" t="str">
        <f t="shared" si="4"/>
        <v/>
      </c>
      <c r="T22" s="91" t="str">
        <f t="shared" si="5"/>
        <v/>
      </c>
      <c r="U22" s="85">
        <f t="shared" si="6"/>
        <v>0</v>
      </c>
    </row>
    <row r="23">
      <c r="A23" s="85">
        <v>21.0</v>
      </c>
      <c r="B23" s="35"/>
      <c r="C23" s="35"/>
      <c r="D23" s="86"/>
      <c r="E23" s="35"/>
      <c r="F23" s="86"/>
      <c r="G23" s="35"/>
      <c r="H23" s="85"/>
      <c r="I23" s="85"/>
      <c r="J23" s="87" t="str">
        <f t="shared" si="1"/>
        <v/>
      </c>
      <c r="K23" s="35"/>
      <c r="L23" s="88"/>
      <c r="M23" s="88"/>
      <c r="N23" s="87" t="str">
        <f t="shared" si="2"/>
        <v/>
      </c>
      <c r="O23" s="35"/>
      <c r="P23" s="88"/>
      <c r="Q23" s="88"/>
      <c r="R23" s="87" t="str">
        <f t="shared" si="3"/>
        <v/>
      </c>
      <c r="S23" s="90" t="str">
        <f t="shared" si="4"/>
        <v/>
      </c>
      <c r="T23" s="91" t="str">
        <f t="shared" si="5"/>
        <v/>
      </c>
      <c r="U23" s="85">
        <f t="shared" si="6"/>
        <v>0</v>
      </c>
    </row>
    <row r="24">
      <c r="A24" s="85">
        <v>22.0</v>
      </c>
      <c r="B24" s="35"/>
      <c r="C24" s="35"/>
      <c r="D24" s="86"/>
      <c r="E24" s="35"/>
      <c r="F24" s="86"/>
      <c r="G24" s="35"/>
      <c r="H24" s="85"/>
      <c r="I24" s="85"/>
      <c r="J24" s="87" t="str">
        <f t="shared" si="1"/>
        <v/>
      </c>
      <c r="K24" s="35"/>
      <c r="L24" s="88"/>
      <c r="M24" s="88"/>
      <c r="N24" s="87" t="str">
        <f t="shared" si="2"/>
        <v/>
      </c>
      <c r="O24" s="35"/>
      <c r="P24" s="88"/>
      <c r="Q24" s="88"/>
      <c r="R24" s="87" t="str">
        <f t="shared" si="3"/>
        <v/>
      </c>
      <c r="S24" s="90" t="str">
        <f t="shared" si="4"/>
        <v/>
      </c>
      <c r="T24" s="91" t="str">
        <f t="shared" si="5"/>
        <v/>
      </c>
      <c r="U24" s="85">
        <f t="shared" si="6"/>
        <v>0</v>
      </c>
    </row>
    <row r="25">
      <c r="A25" s="85">
        <v>23.0</v>
      </c>
      <c r="B25" s="35"/>
      <c r="C25" s="35"/>
      <c r="D25" s="86"/>
      <c r="E25" s="85"/>
      <c r="F25" s="86"/>
      <c r="G25" s="35"/>
      <c r="H25" s="85"/>
      <c r="I25" s="85"/>
      <c r="J25" s="87" t="str">
        <f t="shared" si="1"/>
        <v/>
      </c>
      <c r="K25" s="35"/>
      <c r="L25" s="88"/>
      <c r="M25" s="88"/>
      <c r="N25" s="87" t="str">
        <f t="shared" si="2"/>
        <v/>
      </c>
      <c r="O25" s="35"/>
      <c r="P25" s="88"/>
      <c r="Q25" s="88"/>
      <c r="R25" s="87" t="str">
        <f t="shared" si="3"/>
        <v/>
      </c>
      <c r="S25" s="90" t="str">
        <f t="shared" si="4"/>
        <v/>
      </c>
      <c r="T25" s="91" t="str">
        <f t="shared" si="5"/>
        <v/>
      </c>
      <c r="U25" s="85">
        <f t="shared" si="6"/>
        <v>0</v>
      </c>
    </row>
    <row r="26">
      <c r="A26" s="85">
        <v>24.0</v>
      </c>
      <c r="B26" s="35"/>
      <c r="C26" s="35"/>
      <c r="D26" s="86"/>
      <c r="E26" s="35"/>
      <c r="F26" s="86"/>
      <c r="G26" s="35"/>
      <c r="H26" s="85"/>
      <c r="I26" s="85"/>
      <c r="J26" s="87" t="str">
        <f t="shared" si="1"/>
        <v/>
      </c>
      <c r="K26" s="35"/>
      <c r="L26" s="88"/>
      <c r="M26" s="88"/>
      <c r="N26" s="87" t="str">
        <f t="shared" si="2"/>
        <v/>
      </c>
      <c r="O26" s="35"/>
      <c r="P26" s="88"/>
      <c r="Q26" s="88"/>
      <c r="R26" s="87" t="str">
        <f t="shared" si="3"/>
        <v/>
      </c>
      <c r="S26" s="90" t="str">
        <f t="shared" si="4"/>
        <v/>
      </c>
      <c r="T26" s="91" t="str">
        <f t="shared" si="5"/>
        <v/>
      </c>
      <c r="U26" s="85">
        <f t="shared" si="6"/>
        <v>0</v>
      </c>
    </row>
    <row r="27">
      <c r="A27" s="85">
        <v>25.0</v>
      </c>
      <c r="B27" s="35"/>
      <c r="C27" s="65"/>
      <c r="D27" s="76"/>
      <c r="E27" s="93"/>
      <c r="F27" s="76"/>
      <c r="G27" s="35"/>
      <c r="H27" s="85"/>
      <c r="I27" s="85"/>
      <c r="J27" s="87" t="str">
        <f t="shared" si="1"/>
        <v/>
      </c>
      <c r="K27" s="35"/>
      <c r="L27" s="88"/>
      <c r="M27" s="88"/>
      <c r="N27" s="87" t="str">
        <f t="shared" si="2"/>
        <v/>
      </c>
      <c r="O27" s="35"/>
      <c r="P27" s="88"/>
      <c r="Q27" s="88"/>
      <c r="R27" s="87" t="str">
        <f t="shared" si="3"/>
        <v/>
      </c>
      <c r="S27" s="90" t="str">
        <f t="shared" si="4"/>
        <v/>
      </c>
      <c r="T27" s="91" t="str">
        <f t="shared" si="5"/>
        <v/>
      </c>
      <c r="U27" s="85">
        <f t="shared" si="6"/>
        <v>0</v>
      </c>
    </row>
    <row r="28">
      <c r="A28" s="85">
        <v>26.0</v>
      </c>
      <c r="B28" s="35"/>
      <c r="C28" s="65"/>
      <c r="D28" s="76"/>
      <c r="E28" s="93"/>
      <c r="F28" s="76"/>
      <c r="G28" s="35"/>
      <c r="H28" s="85"/>
      <c r="I28" s="85"/>
      <c r="J28" s="87" t="str">
        <f t="shared" si="1"/>
        <v/>
      </c>
      <c r="K28" s="35"/>
      <c r="L28" s="88"/>
      <c r="M28" s="88"/>
      <c r="N28" s="87" t="str">
        <f t="shared" si="2"/>
        <v/>
      </c>
      <c r="O28" s="35"/>
      <c r="P28" s="88"/>
      <c r="Q28" s="88"/>
      <c r="R28" s="87" t="str">
        <f t="shared" si="3"/>
        <v/>
      </c>
      <c r="S28" s="90" t="str">
        <f t="shared" si="4"/>
        <v/>
      </c>
      <c r="T28" s="91" t="str">
        <f t="shared" si="5"/>
        <v/>
      </c>
      <c r="U28" s="85">
        <f t="shared" si="6"/>
        <v>0</v>
      </c>
    </row>
    <row r="29">
      <c r="A29" s="85">
        <v>27.0</v>
      </c>
      <c r="B29" s="35"/>
      <c r="C29" s="65"/>
      <c r="D29" s="76"/>
      <c r="E29" s="93"/>
      <c r="F29" s="76"/>
      <c r="G29" s="35"/>
      <c r="H29" s="85"/>
      <c r="I29" s="85"/>
      <c r="J29" s="87" t="str">
        <f t="shared" si="1"/>
        <v/>
      </c>
      <c r="K29" s="35"/>
      <c r="L29" s="88"/>
      <c r="M29" s="88"/>
      <c r="N29" s="87" t="str">
        <f t="shared" si="2"/>
        <v/>
      </c>
      <c r="O29" s="35"/>
      <c r="P29" s="88"/>
      <c r="Q29" s="88"/>
      <c r="R29" s="87" t="str">
        <f t="shared" si="3"/>
        <v/>
      </c>
      <c r="S29" s="90" t="str">
        <f t="shared" si="4"/>
        <v/>
      </c>
      <c r="T29" s="91" t="str">
        <f t="shared" si="5"/>
        <v/>
      </c>
      <c r="U29" s="85">
        <f t="shared" si="6"/>
        <v>0</v>
      </c>
    </row>
    <row r="30">
      <c r="A30" s="85">
        <v>28.0</v>
      </c>
      <c r="B30" s="35"/>
      <c r="C30" s="65"/>
      <c r="D30" s="76"/>
      <c r="E30" s="93"/>
      <c r="F30" s="76"/>
      <c r="G30" s="35"/>
      <c r="H30" s="85"/>
      <c r="I30" s="85"/>
      <c r="J30" s="87" t="str">
        <f t="shared" si="1"/>
        <v/>
      </c>
      <c r="K30" s="35"/>
      <c r="L30" s="88"/>
      <c r="M30" s="88"/>
      <c r="N30" s="87" t="str">
        <f t="shared" si="2"/>
        <v/>
      </c>
      <c r="O30" s="35"/>
      <c r="P30" s="88"/>
      <c r="Q30" s="88"/>
      <c r="R30" s="87" t="str">
        <f t="shared" si="3"/>
        <v/>
      </c>
      <c r="S30" s="90" t="str">
        <f t="shared" si="4"/>
        <v/>
      </c>
      <c r="T30" s="91" t="str">
        <f t="shared" si="5"/>
        <v/>
      </c>
      <c r="U30" s="85">
        <f t="shared" si="6"/>
        <v>0</v>
      </c>
    </row>
    <row r="31">
      <c r="A31" s="85">
        <v>29.0</v>
      </c>
      <c r="B31" s="35"/>
      <c r="C31" s="65"/>
      <c r="D31" s="76"/>
      <c r="E31" s="93"/>
      <c r="F31" s="76"/>
      <c r="G31" s="35"/>
      <c r="H31" s="85"/>
      <c r="I31" s="85"/>
      <c r="J31" s="87" t="str">
        <f t="shared" si="1"/>
        <v/>
      </c>
      <c r="K31" s="35"/>
      <c r="L31" s="88"/>
      <c r="M31" s="88"/>
      <c r="N31" s="87" t="str">
        <f t="shared" si="2"/>
        <v/>
      </c>
      <c r="O31" s="35"/>
      <c r="P31" s="88"/>
      <c r="Q31" s="88"/>
      <c r="R31" s="87" t="str">
        <f t="shared" si="3"/>
        <v/>
      </c>
      <c r="S31" s="90" t="str">
        <f t="shared" si="4"/>
        <v/>
      </c>
      <c r="T31" s="91" t="str">
        <f t="shared" si="5"/>
        <v/>
      </c>
      <c r="U31" s="85">
        <f t="shared" si="6"/>
        <v>0</v>
      </c>
    </row>
    <row r="32">
      <c r="A32" s="85">
        <v>30.0</v>
      </c>
      <c r="B32" s="35"/>
      <c r="C32" s="65"/>
      <c r="D32" s="76"/>
      <c r="E32" s="93"/>
      <c r="F32" s="76"/>
      <c r="G32" s="35"/>
      <c r="H32" s="85"/>
      <c r="I32" s="85"/>
      <c r="J32" s="87" t="str">
        <f t="shared" si="1"/>
        <v/>
      </c>
      <c r="K32" s="35"/>
      <c r="L32" s="88"/>
      <c r="M32" s="88"/>
      <c r="N32" s="87" t="str">
        <f t="shared" si="2"/>
        <v/>
      </c>
      <c r="O32" s="35"/>
      <c r="P32" s="88"/>
      <c r="Q32" s="88"/>
      <c r="R32" s="87" t="str">
        <f t="shared" si="3"/>
        <v/>
      </c>
      <c r="S32" s="90" t="str">
        <f t="shared" si="4"/>
        <v/>
      </c>
      <c r="T32" s="91" t="str">
        <f t="shared" si="5"/>
        <v/>
      </c>
      <c r="U32" s="85">
        <f t="shared" si="6"/>
        <v>0</v>
      </c>
    </row>
    <row r="33">
      <c r="A33" s="85">
        <v>31.0</v>
      </c>
      <c r="B33" s="35"/>
      <c r="C33" s="65"/>
      <c r="D33" s="76"/>
      <c r="E33" s="93"/>
      <c r="F33" s="76"/>
      <c r="G33" s="35"/>
      <c r="H33" s="85"/>
      <c r="I33" s="85"/>
      <c r="J33" s="87" t="str">
        <f t="shared" si="1"/>
        <v/>
      </c>
      <c r="K33" s="35"/>
      <c r="L33" s="88"/>
      <c r="M33" s="88"/>
      <c r="N33" s="87" t="str">
        <f t="shared" si="2"/>
        <v/>
      </c>
      <c r="O33" s="35"/>
      <c r="P33" s="88"/>
      <c r="Q33" s="88"/>
      <c r="R33" s="87" t="str">
        <f t="shared" si="3"/>
        <v/>
      </c>
      <c r="S33" s="90" t="str">
        <f t="shared" si="4"/>
        <v/>
      </c>
      <c r="T33" s="91" t="str">
        <f t="shared" si="5"/>
        <v/>
      </c>
      <c r="U33" s="85">
        <f t="shared" si="6"/>
        <v>0</v>
      </c>
    </row>
    <row r="34">
      <c r="A34" s="85">
        <v>32.0</v>
      </c>
      <c r="B34" s="35"/>
      <c r="C34" s="65"/>
      <c r="D34" s="76"/>
      <c r="E34" s="93"/>
      <c r="F34" s="76"/>
      <c r="G34" s="35"/>
      <c r="H34" s="85"/>
      <c r="I34" s="85"/>
      <c r="J34" s="87" t="str">
        <f t="shared" si="1"/>
        <v/>
      </c>
      <c r="K34" s="35"/>
      <c r="L34" s="88"/>
      <c r="M34" s="88"/>
      <c r="N34" s="87" t="str">
        <f t="shared" si="2"/>
        <v/>
      </c>
      <c r="O34" s="35"/>
      <c r="P34" s="88"/>
      <c r="Q34" s="88"/>
      <c r="R34" s="87" t="str">
        <f t="shared" si="3"/>
        <v/>
      </c>
      <c r="S34" s="90" t="str">
        <f t="shared" si="4"/>
        <v/>
      </c>
      <c r="T34" s="91" t="str">
        <f t="shared" si="5"/>
        <v/>
      </c>
      <c r="U34" s="85">
        <f t="shared" si="6"/>
        <v>0</v>
      </c>
    </row>
    <row r="35">
      <c r="A35" s="85">
        <v>33.0</v>
      </c>
      <c r="B35" s="35"/>
      <c r="C35" s="65"/>
      <c r="D35" s="76"/>
      <c r="E35" s="93"/>
      <c r="F35" s="76"/>
      <c r="G35" s="35"/>
      <c r="H35" s="85"/>
      <c r="I35" s="85"/>
      <c r="J35" s="87" t="str">
        <f t="shared" si="1"/>
        <v/>
      </c>
      <c r="K35" s="35"/>
      <c r="L35" s="88"/>
      <c r="M35" s="88"/>
      <c r="N35" s="87" t="str">
        <f t="shared" si="2"/>
        <v/>
      </c>
      <c r="O35" s="35"/>
      <c r="P35" s="88"/>
      <c r="Q35" s="88"/>
      <c r="R35" s="87" t="str">
        <f t="shared" si="3"/>
        <v/>
      </c>
      <c r="S35" s="90" t="str">
        <f t="shared" si="4"/>
        <v/>
      </c>
      <c r="T35" s="91" t="str">
        <f t="shared" si="5"/>
        <v/>
      </c>
      <c r="U35" s="85">
        <f t="shared" si="6"/>
        <v>0</v>
      </c>
    </row>
    <row r="36">
      <c r="A36" s="85">
        <v>34.0</v>
      </c>
      <c r="B36" s="35"/>
      <c r="C36" s="65"/>
      <c r="D36" s="76"/>
      <c r="E36" s="93"/>
      <c r="F36" s="76"/>
      <c r="G36" s="35"/>
      <c r="H36" s="85"/>
      <c r="I36" s="85"/>
      <c r="J36" s="87" t="str">
        <f t="shared" si="1"/>
        <v/>
      </c>
      <c r="K36" s="35"/>
      <c r="L36" s="88"/>
      <c r="M36" s="88"/>
      <c r="N36" s="87" t="str">
        <f t="shared" si="2"/>
        <v/>
      </c>
      <c r="O36" s="35"/>
      <c r="P36" s="88"/>
      <c r="Q36" s="88"/>
      <c r="R36" s="87" t="str">
        <f t="shared" si="3"/>
        <v/>
      </c>
      <c r="S36" s="90" t="str">
        <f t="shared" si="4"/>
        <v/>
      </c>
      <c r="T36" s="91" t="str">
        <f t="shared" si="5"/>
        <v/>
      </c>
      <c r="U36" s="85">
        <f t="shared" si="6"/>
        <v>0</v>
      </c>
    </row>
    <row r="37">
      <c r="A37" s="85">
        <v>35.0</v>
      </c>
      <c r="B37" s="35"/>
      <c r="C37" s="65"/>
      <c r="D37" s="76"/>
      <c r="E37" s="93"/>
      <c r="F37" s="76"/>
      <c r="G37" s="35"/>
      <c r="H37" s="85"/>
      <c r="I37" s="85"/>
      <c r="J37" s="87" t="str">
        <f t="shared" si="1"/>
        <v/>
      </c>
      <c r="K37" s="35"/>
      <c r="L37" s="88"/>
      <c r="M37" s="88"/>
      <c r="N37" s="87" t="str">
        <f t="shared" si="2"/>
        <v/>
      </c>
      <c r="O37" s="35"/>
      <c r="P37" s="88"/>
      <c r="Q37" s="88"/>
      <c r="R37" s="87" t="str">
        <f t="shared" si="3"/>
        <v/>
      </c>
      <c r="S37" s="90" t="str">
        <f t="shared" si="4"/>
        <v/>
      </c>
      <c r="T37" s="91" t="str">
        <f t="shared" si="5"/>
        <v/>
      </c>
      <c r="U37" s="85">
        <f t="shared" si="6"/>
        <v>0</v>
      </c>
    </row>
    <row r="38">
      <c r="A38" s="85">
        <v>36.0</v>
      </c>
      <c r="B38" s="35"/>
      <c r="C38" s="65"/>
      <c r="D38" s="76"/>
      <c r="E38" s="93"/>
      <c r="F38" s="76"/>
      <c r="G38" s="35"/>
      <c r="H38" s="85"/>
      <c r="I38" s="85"/>
      <c r="J38" s="87" t="str">
        <f t="shared" si="1"/>
        <v/>
      </c>
      <c r="K38" s="35"/>
      <c r="L38" s="88"/>
      <c r="M38" s="88"/>
      <c r="N38" s="87" t="str">
        <f t="shared" si="2"/>
        <v/>
      </c>
      <c r="O38" s="35"/>
      <c r="P38" s="88"/>
      <c r="Q38" s="88"/>
      <c r="R38" s="87" t="str">
        <f t="shared" si="3"/>
        <v/>
      </c>
      <c r="S38" s="90" t="str">
        <f t="shared" si="4"/>
        <v/>
      </c>
      <c r="T38" s="91" t="str">
        <f t="shared" si="5"/>
        <v/>
      </c>
      <c r="U38" s="85">
        <f t="shared" si="6"/>
        <v>0</v>
      </c>
    </row>
    <row r="39">
      <c r="A39" s="85">
        <v>37.0</v>
      </c>
      <c r="B39" s="35"/>
      <c r="C39" s="65"/>
      <c r="D39" s="76"/>
      <c r="E39" s="93"/>
      <c r="F39" s="76"/>
      <c r="G39" s="35"/>
      <c r="H39" s="85"/>
      <c r="I39" s="85"/>
      <c r="J39" s="87" t="str">
        <f t="shared" si="1"/>
        <v/>
      </c>
      <c r="K39" s="35"/>
      <c r="L39" s="88"/>
      <c r="M39" s="88"/>
      <c r="N39" s="87" t="str">
        <f t="shared" si="2"/>
        <v/>
      </c>
      <c r="O39" s="35"/>
      <c r="P39" s="88"/>
      <c r="Q39" s="88"/>
      <c r="R39" s="87" t="str">
        <f t="shared" si="3"/>
        <v/>
      </c>
      <c r="S39" s="90" t="str">
        <f t="shared" si="4"/>
        <v/>
      </c>
      <c r="T39" s="91" t="str">
        <f t="shared" si="5"/>
        <v/>
      </c>
      <c r="U39" s="85">
        <f t="shared" si="6"/>
        <v>0</v>
      </c>
    </row>
    <row r="40">
      <c r="A40" s="85">
        <v>38.0</v>
      </c>
      <c r="B40" s="35"/>
      <c r="C40" s="65"/>
      <c r="D40" s="76"/>
      <c r="E40" s="93"/>
      <c r="F40" s="76"/>
      <c r="G40" s="35"/>
      <c r="H40" s="85"/>
      <c r="I40" s="85"/>
      <c r="J40" s="87" t="str">
        <f t="shared" si="1"/>
        <v/>
      </c>
      <c r="K40" s="35"/>
      <c r="L40" s="88"/>
      <c r="M40" s="88"/>
      <c r="N40" s="87" t="str">
        <f t="shared" si="2"/>
        <v/>
      </c>
      <c r="O40" s="35"/>
      <c r="P40" s="88"/>
      <c r="Q40" s="88"/>
      <c r="R40" s="87" t="str">
        <f t="shared" si="3"/>
        <v/>
      </c>
      <c r="S40" s="90" t="str">
        <f t="shared" si="4"/>
        <v/>
      </c>
      <c r="T40" s="91" t="str">
        <f t="shared" si="5"/>
        <v/>
      </c>
      <c r="U40" s="85">
        <f t="shared" si="6"/>
        <v>0</v>
      </c>
    </row>
    <row r="41">
      <c r="A41" s="85">
        <v>39.0</v>
      </c>
      <c r="B41" s="35"/>
      <c r="C41" s="65"/>
      <c r="D41" s="76"/>
      <c r="E41" s="93"/>
      <c r="F41" s="76"/>
      <c r="G41" s="35"/>
      <c r="H41" s="85"/>
      <c r="I41" s="85"/>
      <c r="J41" s="87" t="str">
        <f t="shared" si="1"/>
        <v/>
      </c>
      <c r="K41" s="35"/>
      <c r="L41" s="88"/>
      <c r="M41" s="88"/>
      <c r="N41" s="87" t="str">
        <f t="shared" si="2"/>
        <v/>
      </c>
      <c r="O41" s="35"/>
      <c r="P41" s="88"/>
      <c r="Q41" s="88"/>
      <c r="R41" s="87" t="str">
        <f t="shared" si="3"/>
        <v/>
      </c>
      <c r="S41" s="90" t="str">
        <f t="shared" si="4"/>
        <v/>
      </c>
      <c r="T41" s="91" t="str">
        <f t="shared" si="5"/>
        <v/>
      </c>
      <c r="U41" s="85">
        <f t="shared" si="6"/>
        <v>0</v>
      </c>
    </row>
    <row r="42">
      <c r="A42" s="85">
        <v>40.0</v>
      </c>
      <c r="B42" s="35"/>
      <c r="C42" s="65"/>
      <c r="D42" s="76"/>
      <c r="E42" s="93"/>
      <c r="F42" s="76"/>
      <c r="G42" s="35"/>
      <c r="H42" s="85"/>
      <c r="I42" s="85"/>
      <c r="J42" s="87" t="str">
        <f t="shared" si="1"/>
        <v/>
      </c>
      <c r="K42" s="35"/>
      <c r="L42" s="88"/>
      <c r="M42" s="88"/>
      <c r="N42" s="87" t="str">
        <f t="shared" si="2"/>
        <v/>
      </c>
      <c r="O42" s="35"/>
      <c r="P42" s="88"/>
      <c r="Q42" s="88"/>
      <c r="R42" s="87" t="str">
        <f t="shared" si="3"/>
        <v/>
      </c>
      <c r="S42" s="90" t="str">
        <f t="shared" si="4"/>
        <v/>
      </c>
      <c r="T42" s="91" t="str">
        <f t="shared" si="5"/>
        <v/>
      </c>
      <c r="U42" s="85">
        <f t="shared" si="6"/>
        <v>0</v>
      </c>
    </row>
    <row r="43">
      <c r="A43" s="85">
        <v>41.0</v>
      </c>
      <c r="B43" s="35"/>
      <c r="C43" s="65"/>
      <c r="D43" s="76"/>
      <c r="E43" s="93"/>
      <c r="F43" s="76"/>
      <c r="G43" s="35"/>
      <c r="H43" s="85"/>
      <c r="I43" s="85"/>
      <c r="J43" s="87" t="str">
        <f t="shared" si="1"/>
        <v/>
      </c>
      <c r="K43" s="35"/>
      <c r="L43" s="88"/>
      <c r="M43" s="88"/>
      <c r="N43" s="87" t="str">
        <f t="shared" si="2"/>
        <v/>
      </c>
      <c r="O43" s="35"/>
      <c r="P43" s="88"/>
      <c r="Q43" s="88"/>
      <c r="R43" s="87" t="str">
        <f t="shared" si="3"/>
        <v/>
      </c>
      <c r="S43" s="90" t="str">
        <f t="shared" si="4"/>
        <v/>
      </c>
      <c r="T43" s="91" t="str">
        <f t="shared" si="5"/>
        <v/>
      </c>
      <c r="U43" s="85">
        <f t="shared" si="6"/>
        <v>0</v>
      </c>
    </row>
    <row r="44">
      <c r="A44" s="85">
        <v>42.0</v>
      </c>
      <c r="B44" s="35"/>
      <c r="C44" s="65"/>
      <c r="D44" s="76"/>
      <c r="E44" s="93"/>
      <c r="F44" s="76"/>
      <c r="G44" s="35"/>
      <c r="H44" s="85"/>
      <c r="I44" s="85"/>
      <c r="J44" s="87" t="str">
        <f t="shared" si="1"/>
        <v/>
      </c>
      <c r="K44" s="35"/>
      <c r="L44" s="88"/>
      <c r="M44" s="88"/>
      <c r="N44" s="87" t="str">
        <f t="shared" si="2"/>
        <v/>
      </c>
      <c r="O44" s="35"/>
      <c r="P44" s="88"/>
      <c r="Q44" s="88"/>
      <c r="R44" s="87" t="str">
        <f t="shared" si="3"/>
        <v/>
      </c>
      <c r="S44" s="90" t="str">
        <f t="shared" si="4"/>
        <v/>
      </c>
      <c r="T44" s="91" t="str">
        <f t="shared" si="5"/>
        <v/>
      </c>
      <c r="U44" s="85">
        <f t="shared" si="6"/>
        <v>0</v>
      </c>
    </row>
    <row r="45">
      <c r="A45" s="85">
        <v>43.0</v>
      </c>
      <c r="B45" s="35"/>
      <c r="C45" s="65"/>
      <c r="D45" s="76"/>
      <c r="E45" s="93"/>
      <c r="F45" s="76"/>
      <c r="G45" s="35"/>
      <c r="H45" s="85"/>
      <c r="I45" s="85"/>
      <c r="J45" s="87" t="str">
        <f t="shared" si="1"/>
        <v/>
      </c>
      <c r="K45" s="35"/>
      <c r="L45" s="88"/>
      <c r="M45" s="88"/>
      <c r="N45" s="87" t="str">
        <f t="shared" si="2"/>
        <v/>
      </c>
      <c r="O45" s="35"/>
      <c r="P45" s="88"/>
      <c r="Q45" s="88"/>
      <c r="R45" s="87" t="str">
        <f t="shared" si="3"/>
        <v/>
      </c>
      <c r="S45" s="90" t="str">
        <f t="shared" si="4"/>
        <v/>
      </c>
      <c r="T45" s="91" t="str">
        <f t="shared" si="5"/>
        <v/>
      </c>
      <c r="U45" s="85">
        <f t="shared" si="6"/>
        <v>0</v>
      </c>
    </row>
    <row r="46">
      <c r="A46" s="85">
        <v>44.0</v>
      </c>
      <c r="B46" s="35"/>
      <c r="C46" s="65"/>
      <c r="D46" s="76"/>
      <c r="E46" s="93"/>
      <c r="F46" s="76"/>
      <c r="G46" s="35"/>
      <c r="H46" s="85"/>
      <c r="I46" s="85"/>
      <c r="J46" s="87" t="str">
        <f t="shared" si="1"/>
        <v/>
      </c>
      <c r="K46" s="35"/>
      <c r="L46" s="88"/>
      <c r="M46" s="88"/>
      <c r="N46" s="87" t="str">
        <f t="shared" si="2"/>
        <v/>
      </c>
      <c r="O46" s="35"/>
      <c r="P46" s="88"/>
      <c r="Q46" s="88"/>
      <c r="R46" s="87" t="str">
        <f t="shared" si="3"/>
        <v/>
      </c>
      <c r="S46" s="90" t="str">
        <f t="shared" si="4"/>
        <v/>
      </c>
      <c r="T46" s="91" t="str">
        <f t="shared" si="5"/>
        <v/>
      </c>
      <c r="U46" s="85">
        <f t="shared" si="6"/>
        <v>0</v>
      </c>
    </row>
    <row r="47">
      <c r="A47" s="85">
        <v>45.0</v>
      </c>
      <c r="B47" s="35"/>
      <c r="C47" s="65"/>
      <c r="D47" s="76"/>
      <c r="E47" s="93"/>
      <c r="F47" s="76"/>
      <c r="G47" s="35"/>
      <c r="H47" s="85"/>
      <c r="I47" s="85"/>
      <c r="J47" s="87" t="str">
        <f t="shared" si="1"/>
        <v/>
      </c>
      <c r="K47" s="35"/>
      <c r="L47" s="88"/>
      <c r="M47" s="88"/>
      <c r="N47" s="87" t="str">
        <f t="shared" si="2"/>
        <v/>
      </c>
      <c r="O47" s="35"/>
      <c r="P47" s="88"/>
      <c r="Q47" s="88"/>
      <c r="R47" s="87" t="str">
        <f t="shared" si="3"/>
        <v/>
      </c>
      <c r="S47" s="90" t="str">
        <f t="shared" si="4"/>
        <v/>
      </c>
      <c r="T47" s="91" t="str">
        <f t="shared" si="5"/>
        <v/>
      </c>
      <c r="U47" s="85">
        <f t="shared" si="6"/>
        <v>0</v>
      </c>
    </row>
    <row r="48">
      <c r="A48" s="85">
        <v>46.0</v>
      </c>
      <c r="B48" s="35"/>
      <c r="C48" s="65"/>
      <c r="D48" s="76"/>
      <c r="E48" s="93"/>
      <c r="F48" s="76"/>
      <c r="G48" s="35"/>
      <c r="H48" s="85"/>
      <c r="I48" s="85"/>
      <c r="J48" s="87" t="str">
        <f t="shared" si="1"/>
        <v/>
      </c>
      <c r="K48" s="35"/>
      <c r="L48" s="88"/>
      <c r="M48" s="88"/>
      <c r="N48" s="87" t="str">
        <f t="shared" si="2"/>
        <v/>
      </c>
      <c r="O48" s="35"/>
      <c r="P48" s="88"/>
      <c r="Q48" s="88"/>
      <c r="R48" s="87" t="str">
        <f t="shared" si="3"/>
        <v/>
      </c>
      <c r="S48" s="90" t="str">
        <f t="shared" si="4"/>
        <v/>
      </c>
      <c r="T48" s="91" t="str">
        <f t="shared" si="5"/>
        <v/>
      </c>
      <c r="U48" s="85">
        <f t="shared" si="6"/>
        <v>0</v>
      </c>
    </row>
    <row r="49">
      <c r="A49" s="85">
        <v>47.0</v>
      </c>
      <c r="B49" s="35"/>
      <c r="C49" s="65"/>
      <c r="D49" s="76"/>
      <c r="E49" s="93"/>
      <c r="F49" s="76"/>
      <c r="G49" s="35"/>
      <c r="H49" s="85"/>
      <c r="I49" s="85"/>
      <c r="J49" s="87" t="str">
        <f t="shared" si="1"/>
        <v/>
      </c>
      <c r="K49" s="35"/>
      <c r="L49" s="88"/>
      <c r="M49" s="88"/>
      <c r="N49" s="87" t="str">
        <f t="shared" si="2"/>
        <v/>
      </c>
      <c r="O49" s="35"/>
      <c r="P49" s="88"/>
      <c r="Q49" s="88"/>
      <c r="R49" s="87" t="str">
        <f t="shared" si="3"/>
        <v/>
      </c>
      <c r="S49" s="90" t="str">
        <f t="shared" si="4"/>
        <v/>
      </c>
      <c r="T49" s="91" t="str">
        <f t="shared" si="5"/>
        <v/>
      </c>
      <c r="U49" s="85">
        <f t="shared" si="6"/>
        <v>0</v>
      </c>
    </row>
    <row r="50">
      <c r="A50" s="85">
        <v>48.0</v>
      </c>
      <c r="B50" s="35"/>
      <c r="C50" s="65"/>
      <c r="D50" s="76"/>
      <c r="E50" s="93"/>
      <c r="F50" s="76"/>
      <c r="G50" s="35"/>
      <c r="H50" s="85"/>
      <c r="I50" s="85"/>
      <c r="J50" s="87" t="str">
        <f t="shared" si="1"/>
        <v/>
      </c>
      <c r="K50" s="35"/>
      <c r="L50" s="88"/>
      <c r="M50" s="88"/>
      <c r="N50" s="87" t="str">
        <f t="shared" si="2"/>
        <v/>
      </c>
      <c r="O50" s="35"/>
      <c r="P50" s="88"/>
      <c r="Q50" s="88"/>
      <c r="R50" s="87" t="str">
        <f t="shared" si="3"/>
        <v/>
      </c>
      <c r="S50" s="90" t="str">
        <f t="shared" si="4"/>
        <v/>
      </c>
      <c r="T50" s="91" t="str">
        <f t="shared" si="5"/>
        <v/>
      </c>
      <c r="U50" s="85">
        <f t="shared" si="6"/>
        <v>0</v>
      </c>
    </row>
    <row r="51">
      <c r="A51" s="85">
        <v>49.0</v>
      </c>
      <c r="B51" s="35"/>
      <c r="C51" s="65"/>
      <c r="D51" s="76"/>
      <c r="E51" s="93"/>
      <c r="F51" s="76"/>
      <c r="G51" s="35"/>
      <c r="H51" s="85"/>
      <c r="I51" s="85"/>
      <c r="J51" s="87" t="str">
        <f t="shared" si="1"/>
        <v/>
      </c>
      <c r="K51" s="35"/>
      <c r="L51" s="88"/>
      <c r="M51" s="88"/>
      <c r="N51" s="87" t="str">
        <f t="shared" si="2"/>
        <v/>
      </c>
      <c r="O51" s="35"/>
      <c r="P51" s="88"/>
      <c r="Q51" s="88"/>
      <c r="R51" s="87" t="str">
        <f t="shared" si="3"/>
        <v/>
      </c>
      <c r="S51" s="90" t="str">
        <f t="shared" si="4"/>
        <v/>
      </c>
      <c r="T51" s="91" t="str">
        <f t="shared" si="5"/>
        <v/>
      </c>
      <c r="U51" s="85">
        <f t="shared" si="6"/>
        <v>0</v>
      </c>
    </row>
    <row r="52">
      <c r="A52" s="85">
        <v>50.0</v>
      </c>
      <c r="B52" s="35"/>
      <c r="C52" s="65"/>
      <c r="D52" s="76"/>
      <c r="E52" s="93"/>
      <c r="F52" s="76"/>
      <c r="G52" s="35"/>
      <c r="H52" s="85"/>
      <c r="I52" s="85"/>
      <c r="J52" s="87" t="str">
        <f t="shared" si="1"/>
        <v/>
      </c>
      <c r="K52" s="35"/>
      <c r="L52" s="88"/>
      <c r="M52" s="88"/>
      <c r="N52" s="87" t="str">
        <f t="shared" si="2"/>
        <v/>
      </c>
      <c r="O52" s="35"/>
      <c r="P52" s="88"/>
      <c r="Q52" s="88"/>
      <c r="R52" s="87" t="str">
        <f t="shared" si="3"/>
        <v/>
      </c>
      <c r="S52" s="90" t="str">
        <f t="shared" si="4"/>
        <v/>
      </c>
      <c r="T52" s="91" t="str">
        <f t="shared" si="5"/>
        <v/>
      </c>
      <c r="U52" s="85">
        <f t="shared" si="6"/>
        <v>0</v>
      </c>
    </row>
    <row r="53">
      <c r="A53" s="85">
        <v>51.0</v>
      </c>
      <c r="B53" s="35"/>
      <c r="C53" s="65"/>
      <c r="D53" s="76"/>
      <c r="E53" s="93"/>
      <c r="F53" s="76"/>
      <c r="G53" s="35"/>
      <c r="H53" s="85"/>
      <c r="I53" s="85"/>
      <c r="J53" s="87" t="str">
        <f t="shared" si="1"/>
        <v/>
      </c>
      <c r="K53" s="35"/>
      <c r="L53" s="88"/>
      <c r="M53" s="88"/>
      <c r="N53" s="87" t="str">
        <f t="shared" si="2"/>
        <v/>
      </c>
      <c r="O53" s="35"/>
      <c r="P53" s="88"/>
      <c r="Q53" s="88"/>
      <c r="R53" s="87" t="str">
        <f t="shared" si="3"/>
        <v/>
      </c>
      <c r="S53" s="90" t="str">
        <f t="shared" si="4"/>
        <v/>
      </c>
      <c r="T53" s="91" t="str">
        <f t="shared" si="5"/>
        <v/>
      </c>
      <c r="U53" s="85">
        <f t="shared" si="6"/>
        <v>0</v>
      </c>
    </row>
    <row r="54">
      <c r="A54" s="85">
        <v>52.0</v>
      </c>
      <c r="B54" s="35"/>
      <c r="C54" s="65"/>
      <c r="D54" s="76"/>
      <c r="E54" s="93"/>
      <c r="F54" s="76"/>
      <c r="G54" s="35"/>
      <c r="H54" s="85"/>
      <c r="I54" s="85"/>
      <c r="J54" s="87" t="str">
        <f t="shared" si="1"/>
        <v/>
      </c>
      <c r="K54" s="35"/>
      <c r="L54" s="88"/>
      <c r="M54" s="88"/>
      <c r="N54" s="87" t="str">
        <f t="shared" si="2"/>
        <v/>
      </c>
      <c r="O54" s="35"/>
      <c r="P54" s="88"/>
      <c r="Q54" s="88"/>
      <c r="R54" s="87" t="str">
        <f t="shared" si="3"/>
        <v/>
      </c>
      <c r="S54" s="90" t="str">
        <f t="shared" si="4"/>
        <v/>
      </c>
      <c r="T54" s="91" t="str">
        <f t="shared" si="5"/>
        <v/>
      </c>
      <c r="U54" s="85">
        <f t="shared" si="6"/>
        <v>0</v>
      </c>
    </row>
    <row r="55">
      <c r="A55" s="85">
        <v>53.0</v>
      </c>
      <c r="B55" s="35"/>
      <c r="C55" s="65"/>
      <c r="D55" s="76"/>
      <c r="E55" s="93"/>
      <c r="F55" s="76"/>
      <c r="G55" s="35"/>
      <c r="H55" s="85"/>
      <c r="I55" s="85"/>
      <c r="J55" s="87" t="str">
        <f t="shared" si="1"/>
        <v/>
      </c>
      <c r="K55" s="35"/>
      <c r="L55" s="88"/>
      <c r="M55" s="88"/>
      <c r="N55" s="87" t="str">
        <f t="shared" si="2"/>
        <v/>
      </c>
      <c r="O55" s="35"/>
      <c r="P55" s="88"/>
      <c r="Q55" s="88"/>
      <c r="R55" s="87" t="str">
        <f t="shared" si="3"/>
        <v/>
      </c>
      <c r="S55" s="90" t="str">
        <f t="shared" si="4"/>
        <v/>
      </c>
      <c r="T55" s="91" t="str">
        <f t="shared" si="5"/>
        <v/>
      </c>
      <c r="U55" s="85">
        <f t="shared" si="6"/>
        <v>0</v>
      </c>
    </row>
    <row r="56">
      <c r="A56" s="85">
        <v>54.0</v>
      </c>
      <c r="B56" s="35"/>
      <c r="C56" s="65"/>
      <c r="D56" s="76"/>
      <c r="E56" s="93"/>
      <c r="F56" s="76"/>
      <c r="G56" s="35"/>
      <c r="H56" s="85"/>
      <c r="I56" s="85"/>
      <c r="J56" s="87" t="str">
        <f t="shared" si="1"/>
        <v/>
      </c>
      <c r="K56" s="35"/>
      <c r="L56" s="88"/>
      <c r="M56" s="88"/>
      <c r="N56" s="87" t="str">
        <f t="shared" si="2"/>
        <v/>
      </c>
      <c r="O56" s="35"/>
      <c r="P56" s="88"/>
      <c r="Q56" s="88"/>
      <c r="R56" s="87" t="str">
        <f t="shared" si="3"/>
        <v/>
      </c>
      <c r="S56" s="90" t="str">
        <f t="shared" si="4"/>
        <v/>
      </c>
      <c r="T56" s="91" t="str">
        <f t="shared" si="5"/>
        <v/>
      </c>
      <c r="U56" s="85">
        <f t="shared" si="6"/>
        <v>0</v>
      </c>
    </row>
    <row r="57">
      <c r="A57" s="85">
        <v>55.0</v>
      </c>
      <c r="B57" s="35"/>
      <c r="C57" s="65"/>
      <c r="D57" s="76"/>
      <c r="E57" s="93"/>
      <c r="F57" s="76"/>
      <c r="G57" s="35"/>
      <c r="H57" s="85"/>
      <c r="I57" s="85"/>
      <c r="J57" s="87" t="str">
        <f t="shared" si="1"/>
        <v/>
      </c>
      <c r="K57" s="35"/>
      <c r="L57" s="88"/>
      <c r="M57" s="88"/>
      <c r="N57" s="87" t="str">
        <f t="shared" si="2"/>
        <v/>
      </c>
      <c r="O57" s="35"/>
      <c r="P57" s="88"/>
      <c r="Q57" s="88"/>
      <c r="R57" s="87" t="str">
        <f t="shared" si="3"/>
        <v/>
      </c>
      <c r="S57" s="90" t="str">
        <f t="shared" si="4"/>
        <v/>
      </c>
      <c r="T57" s="91" t="str">
        <f t="shared" si="5"/>
        <v/>
      </c>
      <c r="U57" s="85">
        <f t="shared" si="6"/>
        <v>0</v>
      </c>
    </row>
    <row r="58">
      <c r="A58" s="85">
        <v>56.0</v>
      </c>
      <c r="B58" s="35"/>
      <c r="C58" s="65"/>
      <c r="D58" s="76"/>
      <c r="E58" s="93"/>
      <c r="F58" s="76"/>
      <c r="G58" s="35"/>
      <c r="H58" s="85"/>
      <c r="I58" s="85"/>
      <c r="J58" s="87" t="str">
        <f t="shared" si="1"/>
        <v/>
      </c>
      <c r="K58" s="35"/>
      <c r="L58" s="88"/>
      <c r="M58" s="88"/>
      <c r="N58" s="87" t="str">
        <f t="shared" si="2"/>
        <v/>
      </c>
      <c r="O58" s="35"/>
      <c r="P58" s="88"/>
      <c r="Q58" s="88"/>
      <c r="R58" s="87" t="str">
        <f t="shared" si="3"/>
        <v/>
      </c>
      <c r="S58" s="90" t="str">
        <f t="shared" si="4"/>
        <v/>
      </c>
      <c r="T58" s="91" t="str">
        <f t="shared" si="5"/>
        <v/>
      </c>
      <c r="U58" s="85">
        <f t="shared" si="6"/>
        <v>0</v>
      </c>
    </row>
    <row r="59">
      <c r="A59" s="85">
        <v>57.0</v>
      </c>
      <c r="B59" s="35"/>
      <c r="C59" s="65"/>
      <c r="D59" s="76"/>
      <c r="E59" s="93"/>
      <c r="F59" s="76"/>
      <c r="G59" s="35"/>
      <c r="H59" s="85"/>
      <c r="I59" s="85"/>
      <c r="J59" s="87" t="str">
        <f t="shared" si="1"/>
        <v/>
      </c>
      <c r="K59" s="35"/>
      <c r="L59" s="88"/>
      <c r="M59" s="88"/>
      <c r="N59" s="87" t="str">
        <f t="shared" si="2"/>
        <v/>
      </c>
      <c r="O59" s="35"/>
      <c r="P59" s="88"/>
      <c r="Q59" s="88"/>
      <c r="R59" s="87" t="str">
        <f t="shared" si="3"/>
        <v/>
      </c>
      <c r="S59" s="90" t="str">
        <f t="shared" si="4"/>
        <v/>
      </c>
      <c r="T59" s="91" t="str">
        <f t="shared" si="5"/>
        <v/>
      </c>
      <c r="U59" s="85">
        <f t="shared" si="6"/>
        <v>0</v>
      </c>
    </row>
    <row r="60">
      <c r="A60" s="85">
        <v>58.0</v>
      </c>
      <c r="B60" s="35"/>
      <c r="C60" s="65"/>
      <c r="D60" s="76"/>
      <c r="E60" s="93"/>
      <c r="F60" s="76"/>
      <c r="G60" s="35"/>
      <c r="H60" s="85"/>
      <c r="I60" s="85"/>
      <c r="J60" s="87" t="str">
        <f t="shared" si="1"/>
        <v/>
      </c>
      <c r="K60" s="35"/>
      <c r="L60" s="88"/>
      <c r="M60" s="88"/>
      <c r="N60" s="87" t="str">
        <f t="shared" si="2"/>
        <v/>
      </c>
      <c r="O60" s="35"/>
      <c r="P60" s="88"/>
      <c r="Q60" s="88"/>
      <c r="R60" s="87" t="str">
        <f t="shared" si="3"/>
        <v/>
      </c>
      <c r="S60" s="90" t="str">
        <f t="shared" si="4"/>
        <v/>
      </c>
      <c r="T60" s="91" t="str">
        <f t="shared" si="5"/>
        <v/>
      </c>
      <c r="U60" s="85">
        <f t="shared" si="6"/>
        <v>0</v>
      </c>
    </row>
    <row r="61">
      <c r="A61" s="85">
        <v>59.0</v>
      </c>
      <c r="B61" s="35"/>
      <c r="C61" s="65"/>
      <c r="D61" s="76"/>
      <c r="E61" s="93"/>
      <c r="F61" s="76"/>
      <c r="G61" s="35"/>
      <c r="H61" s="85"/>
      <c r="I61" s="85"/>
      <c r="J61" s="87" t="str">
        <f t="shared" si="1"/>
        <v/>
      </c>
      <c r="K61" s="35"/>
      <c r="L61" s="88"/>
      <c r="M61" s="88"/>
      <c r="N61" s="87" t="str">
        <f t="shared" si="2"/>
        <v/>
      </c>
      <c r="O61" s="35"/>
      <c r="P61" s="88"/>
      <c r="Q61" s="88"/>
      <c r="R61" s="87" t="str">
        <f t="shared" si="3"/>
        <v/>
      </c>
      <c r="S61" s="90" t="str">
        <f t="shared" si="4"/>
        <v/>
      </c>
      <c r="T61" s="91" t="str">
        <f t="shared" si="5"/>
        <v/>
      </c>
      <c r="U61" s="85">
        <f t="shared" si="6"/>
        <v>0</v>
      </c>
    </row>
    <row r="62">
      <c r="A62" s="85">
        <v>60.0</v>
      </c>
      <c r="B62" s="35"/>
      <c r="C62" s="65"/>
      <c r="D62" s="76"/>
      <c r="E62" s="93"/>
      <c r="F62" s="76"/>
      <c r="G62" s="35"/>
      <c r="H62" s="85"/>
      <c r="I62" s="85"/>
      <c r="J62" s="87" t="str">
        <f t="shared" si="1"/>
        <v/>
      </c>
      <c r="K62" s="35"/>
      <c r="L62" s="88"/>
      <c r="M62" s="88"/>
      <c r="N62" s="87" t="str">
        <f t="shared" si="2"/>
        <v/>
      </c>
      <c r="O62" s="35"/>
      <c r="P62" s="88"/>
      <c r="Q62" s="88"/>
      <c r="R62" s="87" t="str">
        <f t="shared" si="3"/>
        <v/>
      </c>
      <c r="S62" s="90" t="str">
        <f t="shared" si="4"/>
        <v/>
      </c>
      <c r="T62" s="91" t="str">
        <f t="shared" si="5"/>
        <v/>
      </c>
      <c r="U62" s="85">
        <f t="shared" si="6"/>
        <v>0</v>
      </c>
    </row>
    <row r="63">
      <c r="A63" s="85">
        <v>61.0</v>
      </c>
      <c r="B63" s="35"/>
      <c r="C63" s="65"/>
      <c r="D63" s="76"/>
      <c r="E63" s="93"/>
      <c r="F63" s="76"/>
      <c r="G63" s="35"/>
      <c r="H63" s="85"/>
      <c r="I63" s="85"/>
      <c r="J63" s="87" t="str">
        <f t="shared" si="1"/>
        <v/>
      </c>
      <c r="K63" s="35"/>
      <c r="L63" s="88"/>
      <c r="M63" s="88"/>
      <c r="N63" s="87" t="str">
        <f t="shared" si="2"/>
        <v/>
      </c>
      <c r="O63" s="35"/>
      <c r="P63" s="88"/>
      <c r="Q63" s="88"/>
      <c r="R63" s="87" t="str">
        <f t="shared" si="3"/>
        <v/>
      </c>
      <c r="S63" s="90" t="str">
        <f t="shared" si="4"/>
        <v/>
      </c>
      <c r="T63" s="91" t="str">
        <f t="shared" si="5"/>
        <v/>
      </c>
      <c r="U63" s="85">
        <f t="shared" si="6"/>
        <v>0</v>
      </c>
    </row>
    <row r="64">
      <c r="A64" s="85">
        <v>62.0</v>
      </c>
      <c r="B64" s="35"/>
      <c r="C64" s="65"/>
      <c r="D64" s="76"/>
      <c r="E64" s="93"/>
      <c r="F64" s="76"/>
      <c r="G64" s="35"/>
      <c r="H64" s="85"/>
      <c r="I64" s="85"/>
      <c r="J64" s="87" t="str">
        <f t="shared" si="1"/>
        <v/>
      </c>
      <c r="K64" s="35"/>
      <c r="L64" s="88"/>
      <c r="M64" s="88"/>
      <c r="N64" s="87" t="str">
        <f t="shared" si="2"/>
        <v/>
      </c>
      <c r="O64" s="35"/>
      <c r="P64" s="88"/>
      <c r="Q64" s="88"/>
      <c r="R64" s="87" t="str">
        <f t="shared" si="3"/>
        <v/>
      </c>
      <c r="S64" s="90" t="str">
        <f t="shared" si="4"/>
        <v/>
      </c>
      <c r="T64" s="91" t="str">
        <f t="shared" si="5"/>
        <v/>
      </c>
      <c r="U64" s="85">
        <f t="shared" si="6"/>
        <v>0</v>
      </c>
    </row>
    <row r="65">
      <c r="A65" s="85">
        <v>63.0</v>
      </c>
      <c r="B65" s="35"/>
      <c r="C65" s="65"/>
      <c r="D65" s="76"/>
      <c r="E65" s="93"/>
      <c r="F65" s="76"/>
      <c r="G65" s="35"/>
      <c r="H65" s="85"/>
      <c r="I65" s="85"/>
      <c r="J65" s="87" t="str">
        <f t="shared" si="1"/>
        <v/>
      </c>
      <c r="K65" s="35"/>
      <c r="L65" s="88"/>
      <c r="M65" s="88"/>
      <c r="N65" s="87" t="str">
        <f t="shared" si="2"/>
        <v/>
      </c>
      <c r="O65" s="35"/>
      <c r="P65" s="88"/>
      <c r="Q65" s="88"/>
      <c r="R65" s="87" t="str">
        <f t="shared" si="3"/>
        <v/>
      </c>
      <c r="S65" s="90" t="str">
        <f t="shared" si="4"/>
        <v/>
      </c>
      <c r="T65" s="91" t="str">
        <f t="shared" si="5"/>
        <v/>
      </c>
      <c r="U65" s="85">
        <f t="shared" si="6"/>
        <v>0</v>
      </c>
    </row>
    <row r="66">
      <c r="A66" s="85">
        <v>64.0</v>
      </c>
      <c r="B66" s="35"/>
      <c r="C66" s="65"/>
      <c r="D66" s="76"/>
      <c r="E66" s="93"/>
      <c r="F66" s="76"/>
      <c r="G66" s="35"/>
      <c r="H66" s="85"/>
      <c r="I66" s="85"/>
      <c r="J66" s="87" t="str">
        <f t="shared" si="1"/>
        <v/>
      </c>
      <c r="K66" s="35"/>
      <c r="L66" s="88"/>
      <c r="M66" s="88"/>
      <c r="N66" s="87" t="str">
        <f t="shared" si="2"/>
        <v/>
      </c>
      <c r="O66" s="35"/>
      <c r="P66" s="88"/>
      <c r="Q66" s="88"/>
      <c r="R66" s="87" t="str">
        <f t="shared" si="3"/>
        <v/>
      </c>
      <c r="S66" s="90" t="str">
        <f t="shared" si="4"/>
        <v/>
      </c>
      <c r="T66" s="91" t="str">
        <f t="shared" si="5"/>
        <v/>
      </c>
      <c r="U66" s="85">
        <f t="shared" si="6"/>
        <v>0</v>
      </c>
    </row>
    <row r="67">
      <c r="A67" s="85">
        <v>65.0</v>
      </c>
      <c r="B67" s="35"/>
      <c r="C67" s="65"/>
      <c r="D67" s="76"/>
      <c r="E67" s="93"/>
      <c r="F67" s="76"/>
      <c r="G67" s="35"/>
      <c r="H67" s="85"/>
      <c r="I67" s="85"/>
      <c r="J67" s="87" t="str">
        <f t="shared" si="1"/>
        <v/>
      </c>
      <c r="K67" s="35"/>
      <c r="L67" s="88"/>
      <c r="M67" s="88"/>
      <c r="N67" s="87" t="str">
        <f t="shared" si="2"/>
        <v/>
      </c>
      <c r="O67" s="35"/>
      <c r="P67" s="88"/>
      <c r="Q67" s="88"/>
      <c r="R67" s="87" t="str">
        <f t="shared" si="3"/>
        <v/>
      </c>
      <c r="S67" s="90" t="str">
        <f t="shared" si="4"/>
        <v/>
      </c>
      <c r="T67" s="91" t="str">
        <f t="shared" si="5"/>
        <v/>
      </c>
      <c r="U67" s="85">
        <f t="shared" si="6"/>
        <v>0</v>
      </c>
    </row>
    <row r="68">
      <c r="A68" s="85">
        <v>66.0</v>
      </c>
      <c r="B68" s="35"/>
      <c r="C68" s="65"/>
      <c r="D68" s="76"/>
      <c r="E68" s="93"/>
      <c r="F68" s="76"/>
      <c r="G68" s="35"/>
      <c r="H68" s="85"/>
      <c r="I68" s="85"/>
      <c r="J68" s="87" t="str">
        <f t="shared" si="1"/>
        <v/>
      </c>
      <c r="K68" s="35"/>
      <c r="L68" s="88"/>
      <c r="M68" s="88"/>
      <c r="N68" s="87" t="str">
        <f t="shared" si="2"/>
        <v/>
      </c>
      <c r="O68" s="35"/>
      <c r="P68" s="88"/>
      <c r="Q68" s="88"/>
      <c r="R68" s="87" t="str">
        <f t="shared" si="3"/>
        <v/>
      </c>
      <c r="S68" s="90" t="str">
        <f t="shared" si="4"/>
        <v/>
      </c>
      <c r="T68" s="91" t="str">
        <f t="shared" si="5"/>
        <v/>
      </c>
      <c r="U68" s="85">
        <f t="shared" si="6"/>
        <v>0</v>
      </c>
    </row>
    <row r="69">
      <c r="A69" s="85">
        <v>67.0</v>
      </c>
      <c r="B69" s="35"/>
      <c r="C69" s="65"/>
      <c r="D69" s="76"/>
      <c r="E69" s="93"/>
      <c r="F69" s="76"/>
      <c r="G69" s="35"/>
      <c r="H69" s="85"/>
      <c r="I69" s="85"/>
      <c r="J69" s="87" t="str">
        <f t="shared" si="1"/>
        <v/>
      </c>
      <c r="K69" s="35"/>
      <c r="L69" s="88"/>
      <c r="M69" s="88"/>
      <c r="N69" s="87" t="str">
        <f t="shared" si="2"/>
        <v/>
      </c>
      <c r="O69" s="35"/>
      <c r="P69" s="88"/>
      <c r="Q69" s="88"/>
      <c r="R69" s="87" t="str">
        <f t="shared" si="3"/>
        <v/>
      </c>
      <c r="S69" s="90" t="str">
        <f t="shared" si="4"/>
        <v/>
      </c>
      <c r="T69" s="91" t="str">
        <f t="shared" si="5"/>
        <v/>
      </c>
      <c r="U69" s="85">
        <f t="shared" si="6"/>
        <v>0</v>
      </c>
    </row>
    <row r="70">
      <c r="A70" s="85">
        <v>68.0</v>
      </c>
      <c r="B70" s="35"/>
      <c r="C70" s="65"/>
      <c r="D70" s="76"/>
      <c r="E70" s="93"/>
      <c r="F70" s="76"/>
      <c r="G70" s="35"/>
      <c r="H70" s="85"/>
      <c r="I70" s="85"/>
      <c r="J70" s="87" t="str">
        <f t="shared" si="1"/>
        <v/>
      </c>
      <c r="K70" s="35"/>
      <c r="L70" s="88"/>
      <c r="M70" s="88"/>
      <c r="N70" s="87" t="str">
        <f t="shared" si="2"/>
        <v/>
      </c>
      <c r="O70" s="35"/>
      <c r="P70" s="88"/>
      <c r="Q70" s="88"/>
      <c r="R70" s="87" t="str">
        <f t="shared" si="3"/>
        <v/>
      </c>
      <c r="S70" s="90" t="str">
        <f t="shared" si="4"/>
        <v/>
      </c>
      <c r="T70" s="91" t="str">
        <f t="shared" si="5"/>
        <v/>
      </c>
      <c r="U70" s="85">
        <f t="shared" si="6"/>
        <v>0</v>
      </c>
    </row>
    <row r="71">
      <c r="A71" s="85">
        <v>69.0</v>
      </c>
      <c r="B71" s="35"/>
      <c r="C71" s="65"/>
      <c r="D71" s="76"/>
      <c r="E71" s="93"/>
      <c r="F71" s="76"/>
      <c r="G71" s="35"/>
      <c r="H71" s="85"/>
      <c r="I71" s="85"/>
      <c r="J71" s="87" t="str">
        <f t="shared" si="1"/>
        <v/>
      </c>
      <c r="K71" s="35"/>
      <c r="L71" s="88"/>
      <c r="M71" s="88"/>
      <c r="N71" s="87" t="str">
        <f t="shared" si="2"/>
        <v/>
      </c>
      <c r="O71" s="35"/>
      <c r="P71" s="88"/>
      <c r="Q71" s="88"/>
      <c r="R71" s="87" t="str">
        <f t="shared" si="3"/>
        <v/>
      </c>
      <c r="S71" s="90" t="str">
        <f t="shared" si="4"/>
        <v/>
      </c>
      <c r="T71" s="91" t="str">
        <f t="shared" si="5"/>
        <v/>
      </c>
      <c r="U71" s="85">
        <f t="shared" si="6"/>
        <v>0</v>
      </c>
    </row>
    <row r="72">
      <c r="A72" s="85">
        <v>70.0</v>
      </c>
      <c r="B72" s="35"/>
      <c r="C72" s="65"/>
      <c r="D72" s="76"/>
      <c r="E72" s="93"/>
      <c r="F72" s="76"/>
      <c r="G72" s="35"/>
      <c r="H72" s="85"/>
      <c r="I72" s="85"/>
      <c r="J72" s="87" t="str">
        <f t="shared" si="1"/>
        <v/>
      </c>
      <c r="K72" s="35"/>
      <c r="L72" s="88"/>
      <c r="M72" s="88"/>
      <c r="N72" s="87" t="str">
        <f t="shared" si="2"/>
        <v/>
      </c>
      <c r="O72" s="35"/>
      <c r="P72" s="88"/>
      <c r="Q72" s="88"/>
      <c r="R72" s="87" t="str">
        <f t="shared" si="3"/>
        <v/>
      </c>
      <c r="S72" s="90" t="str">
        <f t="shared" si="4"/>
        <v/>
      </c>
      <c r="T72" s="91" t="str">
        <f t="shared" si="5"/>
        <v/>
      </c>
      <c r="U72" s="85">
        <f t="shared" si="6"/>
        <v>0</v>
      </c>
    </row>
    <row r="73">
      <c r="A73" s="85">
        <v>71.0</v>
      </c>
      <c r="B73" s="35"/>
      <c r="C73" s="65"/>
      <c r="D73" s="76"/>
      <c r="E73" s="93"/>
      <c r="F73" s="76"/>
      <c r="G73" s="35"/>
      <c r="H73" s="85"/>
      <c r="I73" s="85"/>
      <c r="J73" s="87" t="str">
        <f t="shared" si="1"/>
        <v/>
      </c>
      <c r="K73" s="35"/>
      <c r="L73" s="88"/>
      <c r="M73" s="88"/>
      <c r="N73" s="87" t="str">
        <f t="shared" si="2"/>
        <v/>
      </c>
      <c r="O73" s="35"/>
      <c r="P73" s="88"/>
      <c r="Q73" s="88"/>
      <c r="R73" s="87" t="str">
        <f t="shared" si="3"/>
        <v/>
      </c>
      <c r="S73" s="90" t="str">
        <f t="shared" si="4"/>
        <v/>
      </c>
      <c r="T73" s="91" t="str">
        <f t="shared" si="5"/>
        <v/>
      </c>
      <c r="U73" s="85">
        <f t="shared" si="6"/>
        <v>0</v>
      </c>
    </row>
    <row r="74">
      <c r="A74" s="85">
        <v>72.0</v>
      </c>
      <c r="B74" s="35"/>
      <c r="C74" s="65"/>
      <c r="D74" s="76"/>
      <c r="E74" s="93"/>
      <c r="F74" s="76"/>
      <c r="G74" s="35"/>
      <c r="H74" s="85"/>
      <c r="I74" s="85"/>
      <c r="J74" s="87" t="str">
        <f t="shared" si="1"/>
        <v/>
      </c>
      <c r="K74" s="35"/>
      <c r="L74" s="88"/>
      <c r="M74" s="88"/>
      <c r="N74" s="87" t="str">
        <f t="shared" si="2"/>
        <v/>
      </c>
      <c r="O74" s="35"/>
      <c r="P74" s="88"/>
      <c r="Q74" s="88"/>
      <c r="R74" s="87" t="str">
        <f t="shared" si="3"/>
        <v/>
      </c>
      <c r="S74" s="90" t="str">
        <f t="shared" si="4"/>
        <v/>
      </c>
      <c r="T74" s="91" t="str">
        <f t="shared" si="5"/>
        <v/>
      </c>
      <c r="U74" s="85">
        <f t="shared" si="6"/>
        <v>0</v>
      </c>
    </row>
    <row r="75">
      <c r="A75" s="85">
        <v>73.0</v>
      </c>
      <c r="B75" s="35"/>
      <c r="C75" s="65"/>
      <c r="D75" s="76"/>
      <c r="E75" s="93"/>
      <c r="F75" s="76"/>
      <c r="G75" s="35"/>
      <c r="H75" s="85"/>
      <c r="I75" s="85"/>
      <c r="J75" s="87" t="str">
        <f t="shared" si="1"/>
        <v/>
      </c>
      <c r="K75" s="35"/>
      <c r="L75" s="88"/>
      <c r="M75" s="88"/>
      <c r="N75" s="87" t="str">
        <f t="shared" si="2"/>
        <v/>
      </c>
      <c r="O75" s="35"/>
      <c r="P75" s="88"/>
      <c r="Q75" s="88"/>
      <c r="R75" s="87" t="str">
        <f t="shared" si="3"/>
        <v/>
      </c>
      <c r="S75" s="90" t="str">
        <f t="shared" si="4"/>
        <v/>
      </c>
      <c r="T75" s="91" t="str">
        <f t="shared" si="5"/>
        <v/>
      </c>
      <c r="U75" s="85">
        <f t="shared" si="6"/>
        <v>0</v>
      </c>
    </row>
    <row r="76">
      <c r="A76" s="85">
        <v>74.0</v>
      </c>
      <c r="B76" s="35"/>
      <c r="C76" s="65"/>
      <c r="D76" s="76"/>
      <c r="E76" s="93"/>
      <c r="F76" s="76"/>
      <c r="G76" s="35"/>
      <c r="H76" s="85"/>
      <c r="I76" s="85"/>
      <c r="J76" s="87" t="str">
        <f t="shared" si="1"/>
        <v/>
      </c>
      <c r="K76" s="35"/>
      <c r="L76" s="88"/>
      <c r="M76" s="88"/>
      <c r="N76" s="87" t="str">
        <f t="shared" si="2"/>
        <v/>
      </c>
      <c r="O76" s="35"/>
      <c r="P76" s="88"/>
      <c r="Q76" s="88"/>
      <c r="R76" s="87" t="str">
        <f t="shared" si="3"/>
        <v/>
      </c>
      <c r="S76" s="90" t="str">
        <f t="shared" si="4"/>
        <v/>
      </c>
      <c r="T76" s="91" t="str">
        <f t="shared" si="5"/>
        <v/>
      </c>
      <c r="U76" s="85">
        <f t="shared" si="6"/>
        <v>0</v>
      </c>
    </row>
    <row r="77">
      <c r="A77" s="85">
        <v>75.0</v>
      </c>
      <c r="B77" s="35"/>
      <c r="C77" s="65"/>
      <c r="D77" s="76"/>
      <c r="E77" s="93"/>
      <c r="F77" s="76"/>
      <c r="G77" s="35"/>
      <c r="H77" s="85"/>
      <c r="I77" s="85"/>
      <c r="J77" s="87" t="str">
        <f t="shared" si="1"/>
        <v/>
      </c>
      <c r="K77" s="35"/>
      <c r="L77" s="88"/>
      <c r="M77" s="88"/>
      <c r="N77" s="87" t="str">
        <f t="shared" si="2"/>
        <v/>
      </c>
      <c r="O77" s="35"/>
      <c r="P77" s="88"/>
      <c r="Q77" s="88"/>
      <c r="R77" s="87" t="str">
        <f t="shared" si="3"/>
        <v/>
      </c>
      <c r="S77" s="90" t="str">
        <f t="shared" si="4"/>
        <v/>
      </c>
      <c r="T77" s="91" t="str">
        <f t="shared" si="5"/>
        <v/>
      </c>
      <c r="U77" s="85">
        <f t="shared" si="6"/>
        <v>0</v>
      </c>
    </row>
  </sheetData>
  <autoFilter ref="$B$2:$T$77"/>
  <customSheetViews>
    <customSheetView guid="{B0C17AAF-6872-48F8-A58E-565BF6C8DB27}" filter="1" showAutoFilter="1">
      <autoFilter ref="$C$2:$T$52"/>
    </customSheetView>
  </customSheetViews>
  <mergeCells count="3">
    <mergeCell ref="K1:N1"/>
    <mergeCell ref="O1:R1"/>
    <mergeCell ref="G1:J1"/>
  </mergeCells>
  <conditionalFormatting sqref="G3:I77 K3:M77 O3:Q77">
    <cfRule type="endsWith" dxfId="2" priority="1" operator="endsWith" text="g">
      <formula>RIGHT((G3),LEN("g"))=("g")</formula>
    </cfRule>
  </conditionalFormatting>
  <conditionalFormatting sqref="G3:I77 K3:M77 O3:Q77">
    <cfRule type="endsWith" dxfId="1" priority="2" operator="endsWith" text="x">
      <formula>RIGHT((G3),LEN("x"))=("x")</formula>
    </cfRule>
  </conditionalFormatting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tabColor rgb="FF000000"/>
    <outlinePr summaryBelow="0" summaryRight="0"/>
  </sheetPr>
  <sheetViews>
    <sheetView workbookViewId="0">
      <pane xSplit="6.0" ySplit="2.0" topLeftCell="G3" activePane="bottomRight" state="frozen"/>
      <selection activeCell="G1" sqref="G1" pane="topRight"/>
      <selection activeCell="A3" sqref="A3" pane="bottomLeft"/>
      <selection activeCell="G3" sqref="G3" pane="bottomRight"/>
    </sheetView>
  </sheetViews>
  <sheetFormatPr customHeight="1" defaultColWidth="14.43" defaultRowHeight="15.75"/>
  <cols>
    <col customWidth="1" min="1" max="1" width="3.57"/>
    <col customWidth="1" min="2" max="2" width="10.29"/>
    <col customWidth="1" min="3" max="3" width="6.86"/>
    <col customWidth="1" min="4" max="4" width="14.71"/>
    <col customWidth="1" min="5" max="5" width="7.57"/>
    <col customWidth="1" min="6" max="6" width="18.29"/>
    <col customWidth="1" min="7" max="18" width="5.71"/>
    <col customWidth="1" min="19" max="19" width="9.86"/>
    <col customWidth="1" min="20" max="20" width="11.0"/>
    <col customWidth="1" hidden="1" min="21" max="21" width="11.0"/>
  </cols>
  <sheetData>
    <row r="1">
      <c r="A1" s="14"/>
      <c r="B1" s="16" t="s">
        <v>19</v>
      </c>
      <c r="C1" s="16" t="s">
        <v>135</v>
      </c>
      <c r="D1" s="57" t="s">
        <v>22</v>
      </c>
      <c r="E1" s="57" t="s">
        <v>23</v>
      </c>
      <c r="F1" s="57" t="s">
        <v>25</v>
      </c>
      <c r="G1" s="57" t="s">
        <v>115</v>
      </c>
      <c r="K1" s="57" t="s">
        <v>116</v>
      </c>
      <c r="O1" s="57" t="s">
        <v>117</v>
      </c>
      <c r="S1" s="57" t="s">
        <v>118</v>
      </c>
      <c r="T1" s="57" t="s">
        <v>119</v>
      </c>
      <c r="U1" s="57"/>
    </row>
    <row r="2">
      <c r="A2" s="81"/>
      <c r="B2" s="83" t="s">
        <v>19</v>
      </c>
      <c r="C2" s="83" t="s">
        <v>135</v>
      </c>
      <c r="D2" s="83" t="s">
        <v>22</v>
      </c>
      <c r="E2" s="84" t="s">
        <v>23</v>
      </c>
      <c r="F2" s="83" t="s">
        <v>25</v>
      </c>
      <c r="G2" s="83" t="s">
        <v>136</v>
      </c>
      <c r="H2" s="83" t="s">
        <v>137</v>
      </c>
      <c r="I2" s="83" t="s">
        <v>138</v>
      </c>
      <c r="J2" s="83" t="s">
        <v>139</v>
      </c>
      <c r="K2" s="83" t="s">
        <v>140</v>
      </c>
      <c r="L2" s="83" t="s">
        <v>141</v>
      </c>
      <c r="M2" s="83" t="s">
        <v>142</v>
      </c>
      <c r="N2" s="83" t="s">
        <v>143</v>
      </c>
      <c r="O2" s="83" t="s">
        <v>144</v>
      </c>
      <c r="P2" s="83" t="s">
        <v>145</v>
      </c>
      <c r="Q2" s="83" t="s">
        <v>146</v>
      </c>
      <c r="R2" s="83" t="s">
        <v>147</v>
      </c>
      <c r="S2" s="83"/>
      <c r="T2" s="84" t="s">
        <v>119</v>
      </c>
      <c r="U2" s="84"/>
    </row>
    <row r="3">
      <c r="A3" s="85">
        <v>1.0</v>
      </c>
      <c r="B3" s="35"/>
      <c r="C3" s="35"/>
      <c r="D3" s="86"/>
      <c r="E3" s="35"/>
      <c r="F3" s="86"/>
      <c r="G3" s="35"/>
      <c r="H3" s="85"/>
      <c r="I3" s="85"/>
      <c r="J3" s="87" t="str">
        <f t="shared" ref="J3:J77" si="1">IFERROR(__xludf.DUMMYFUNCTION("if(isblank(B3),,Max(if(right(G3,1)=""g"",split(G3,""g""),),if(right(H3,1)=""g"",split(H3,""g""),),if(right(I3,1)=""g"",split(I3,""g""),)))"),"")</f>
        <v/>
      </c>
      <c r="K3" s="35"/>
      <c r="L3" s="88"/>
      <c r="M3" s="88"/>
      <c r="N3" s="87" t="str">
        <f t="shared" ref="N3:N77" si="2">IFERROR(__xludf.DUMMYFUNCTION("if(isblank($B3),,Max(if(right(K3,1)=""g"",split(K3,""g""),),if(right(L3,1)=""g"",split(L3,""g""),),if(right(M3,1)=""g"",split(M3,""g""),)))"),"")</f>
        <v/>
      </c>
      <c r="O3" s="35"/>
      <c r="P3" s="88"/>
      <c r="Q3" s="88"/>
      <c r="R3" s="87" t="str">
        <f t="shared" ref="R3:R77" si="3">IFERROR(__xludf.DUMMYFUNCTION("if(isblank($B3),,Max(if(right(O3,1)=""g"",split(O3,""g""),),if(right(P3,1)=""g"",split(P3,""g""),),if(right(Q3,1)=""g"",split(Q3,""g""),)))"),"")</f>
        <v/>
      </c>
      <c r="S3" s="90" t="str">
        <f t="shared" ref="S3:S77" si="4">if(isblank(F3),,if(or(and(right(G3,1)="x",right(H3,1)="x",right(I3,1)="x"),and(right(K3,1)="x",right(L3,1)="x",right(M3,1)="x"),and(right(O3,1)="x",right(P3,1)="x",right(Q3,1)="x")),0,J3+N3+R3))</f>
        <v/>
      </c>
      <c r="T3" s="91" t="str">
        <f t="shared" ref="T3:T77" si="5">if(isblank(E3),,S3/E3)</f>
        <v/>
      </c>
      <c r="U3" s="85">
        <f t="shared" ref="U3:U77" si="6">countif(G3:Q3,"*g")</f>
        <v>0</v>
      </c>
    </row>
    <row r="4">
      <c r="A4" s="85">
        <v>2.0</v>
      </c>
      <c r="B4" s="35"/>
      <c r="C4" s="35"/>
      <c r="D4" s="86"/>
      <c r="E4" s="35"/>
      <c r="F4" s="86"/>
      <c r="G4" s="35"/>
      <c r="H4" s="85"/>
      <c r="I4" s="85"/>
      <c r="J4" s="87" t="str">
        <f t="shared" si="1"/>
        <v/>
      </c>
      <c r="K4" s="35"/>
      <c r="L4" s="88"/>
      <c r="M4" s="88"/>
      <c r="N4" s="87" t="str">
        <f t="shared" si="2"/>
        <v/>
      </c>
      <c r="O4" s="35"/>
      <c r="P4" s="88"/>
      <c r="Q4" s="88"/>
      <c r="R4" s="87" t="str">
        <f t="shared" si="3"/>
        <v/>
      </c>
      <c r="S4" s="90" t="str">
        <f t="shared" si="4"/>
        <v/>
      </c>
      <c r="T4" s="91" t="str">
        <f t="shared" si="5"/>
        <v/>
      </c>
      <c r="U4" s="85">
        <f t="shared" si="6"/>
        <v>0</v>
      </c>
    </row>
    <row r="5">
      <c r="A5" s="85">
        <v>3.0</v>
      </c>
      <c r="B5" s="35"/>
      <c r="C5" s="35"/>
      <c r="D5" s="86"/>
      <c r="E5" s="35"/>
      <c r="F5" s="86"/>
      <c r="G5" s="35"/>
      <c r="H5" s="85"/>
      <c r="I5" s="85"/>
      <c r="J5" s="87" t="str">
        <f t="shared" si="1"/>
        <v/>
      </c>
      <c r="K5" s="35"/>
      <c r="L5" s="88"/>
      <c r="M5" s="88"/>
      <c r="N5" s="87" t="str">
        <f t="shared" si="2"/>
        <v/>
      </c>
      <c r="O5" s="35"/>
      <c r="P5" s="88"/>
      <c r="Q5" s="88"/>
      <c r="R5" s="87" t="str">
        <f t="shared" si="3"/>
        <v/>
      </c>
      <c r="S5" s="90" t="str">
        <f t="shared" si="4"/>
        <v/>
      </c>
      <c r="T5" s="91" t="str">
        <f t="shared" si="5"/>
        <v/>
      </c>
      <c r="U5" s="85">
        <f t="shared" si="6"/>
        <v>0</v>
      </c>
    </row>
    <row r="6" ht="16.5" customHeight="1">
      <c r="A6" s="85">
        <v>4.0</v>
      </c>
      <c r="B6" s="35"/>
      <c r="C6" s="35"/>
      <c r="D6" s="86"/>
      <c r="E6" s="35"/>
      <c r="F6" s="86"/>
      <c r="G6" s="35"/>
      <c r="H6" s="85"/>
      <c r="I6" s="85"/>
      <c r="J6" s="87" t="str">
        <f t="shared" si="1"/>
        <v/>
      </c>
      <c r="K6" s="35"/>
      <c r="L6" s="88"/>
      <c r="M6" s="88"/>
      <c r="N6" s="87" t="str">
        <f t="shared" si="2"/>
        <v/>
      </c>
      <c r="O6" s="35"/>
      <c r="P6" s="88"/>
      <c r="Q6" s="88"/>
      <c r="R6" s="87" t="str">
        <f t="shared" si="3"/>
        <v/>
      </c>
      <c r="S6" s="90" t="str">
        <f t="shared" si="4"/>
        <v/>
      </c>
      <c r="T6" s="91" t="str">
        <f t="shared" si="5"/>
        <v/>
      </c>
      <c r="U6" s="85">
        <f t="shared" si="6"/>
        <v>0</v>
      </c>
    </row>
    <row r="7">
      <c r="A7" s="85">
        <v>5.0</v>
      </c>
      <c r="B7" s="35"/>
      <c r="C7" s="35"/>
      <c r="D7" s="86"/>
      <c r="E7" s="35"/>
      <c r="F7" s="86"/>
      <c r="G7" s="35"/>
      <c r="H7" s="85"/>
      <c r="I7" s="85"/>
      <c r="J7" s="87" t="str">
        <f t="shared" si="1"/>
        <v/>
      </c>
      <c r="K7" s="35"/>
      <c r="L7" s="88"/>
      <c r="M7" s="88"/>
      <c r="N7" s="87" t="str">
        <f t="shared" si="2"/>
        <v/>
      </c>
      <c r="O7" s="35"/>
      <c r="P7" s="88"/>
      <c r="Q7" s="88"/>
      <c r="R7" s="87" t="str">
        <f t="shared" si="3"/>
        <v/>
      </c>
      <c r="S7" s="90" t="str">
        <f t="shared" si="4"/>
        <v/>
      </c>
      <c r="T7" s="91" t="str">
        <f t="shared" si="5"/>
        <v/>
      </c>
      <c r="U7" s="85">
        <f t="shared" si="6"/>
        <v>0</v>
      </c>
    </row>
    <row r="8">
      <c r="A8" s="85">
        <v>6.0</v>
      </c>
      <c r="B8" s="35"/>
      <c r="C8" s="35"/>
      <c r="D8" s="86"/>
      <c r="E8" s="35"/>
      <c r="F8" s="86"/>
      <c r="G8" s="35"/>
      <c r="H8" s="85"/>
      <c r="I8" s="89"/>
      <c r="J8" s="87" t="str">
        <f t="shared" si="1"/>
        <v/>
      </c>
      <c r="K8" s="35"/>
      <c r="L8" s="88"/>
      <c r="M8" s="88"/>
      <c r="N8" s="87" t="str">
        <f t="shared" si="2"/>
        <v/>
      </c>
      <c r="O8" s="35"/>
      <c r="P8" s="88"/>
      <c r="Q8" s="88"/>
      <c r="R8" s="87" t="str">
        <f t="shared" si="3"/>
        <v/>
      </c>
      <c r="S8" s="90" t="str">
        <f t="shared" si="4"/>
        <v/>
      </c>
      <c r="T8" s="91" t="str">
        <f t="shared" si="5"/>
        <v/>
      </c>
      <c r="U8" s="85">
        <f t="shared" si="6"/>
        <v>0</v>
      </c>
    </row>
    <row r="9">
      <c r="A9" s="85">
        <v>7.0</v>
      </c>
      <c r="B9" s="35"/>
      <c r="C9" s="35"/>
      <c r="D9" s="86"/>
      <c r="E9" s="35"/>
      <c r="F9" s="86"/>
      <c r="G9" s="35"/>
      <c r="H9" s="85"/>
      <c r="I9" s="85"/>
      <c r="J9" s="87" t="str">
        <f t="shared" si="1"/>
        <v/>
      </c>
      <c r="K9" s="35"/>
      <c r="L9" s="88"/>
      <c r="M9" s="88"/>
      <c r="N9" s="87" t="str">
        <f t="shared" si="2"/>
        <v/>
      </c>
      <c r="O9" s="35"/>
      <c r="P9" s="88"/>
      <c r="Q9" s="88"/>
      <c r="R9" s="87" t="str">
        <f t="shared" si="3"/>
        <v/>
      </c>
      <c r="S9" s="90" t="str">
        <f t="shared" si="4"/>
        <v/>
      </c>
      <c r="T9" s="91" t="str">
        <f t="shared" si="5"/>
        <v/>
      </c>
      <c r="U9" s="85">
        <f t="shared" si="6"/>
        <v>0</v>
      </c>
    </row>
    <row r="10">
      <c r="A10" s="85">
        <v>8.0</v>
      </c>
      <c r="B10" s="35"/>
      <c r="C10" s="35"/>
      <c r="D10" s="86"/>
      <c r="E10" s="85"/>
      <c r="F10" s="86"/>
      <c r="G10" s="35"/>
      <c r="H10" s="85"/>
      <c r="I10" s="85"/>
      <c r="J10" s="87" t="str">
        <f t="shared" si="1"/>
        <v/>
      </c>
      <c r="K10" s="35"/>
      <c r="L10" s="88"/>
      <c r="M10" s="88"/>
      <c r="N10" s="87" t="str">
        <f t="shared" si="2"/>
        <v/>
      </c>
      <c r="O10" s="35"/>
      <c r="P10" s="88"/>
      <c r="Q10" s="88"/>
      <c r="R10" s="87" t="str">
        <f t="shared" si="3"/>
        <v/>
      </c>
      <c r="S10" s="90" t="str">
        <f t="shared" si="4"/>
        <v/>
      </c>
      <c r="T10" s="91" t="str">
        <f t="shared" si="5"/>
        <v/>
      </c>
      <c r="U10" s="85">
        <f t="shared" si="6"/>
        <v>0</v>
      </c>
    </row>
    <row r="11">
      <c r="A11" s="85">
        <v>9.0</v>
      </c>
      <c r="B11" s="35"/>
      <c r="C11" s="35"/>
      <c r="D11" s="86"/>
      <c r="E11" s="35"/>
      <c r="F11" s="86"/>
      <c r="G11" s="35"/>
      <c r="H11" s="85"/>
      <c r="I11" s="85"/>
      <c r="J11" s="87" t="str">
        <f t="shared" si="1"/>
        <v/>
      </c>
      <c r="K11" s="35"/>
      <c r="L11" s="88"/>
      <c r="M11" s="88"/>
      <c r="N11" s="87" t="str">
        <f t="shared" si="2"/>
        <v/>
      </c>
      <c r="O11" s="35"/>
      <c r="P11" s="88"/>
      <c r="Q11" s="88"/>
      <c r="R11" s="87" t="str">
        <f t="shared" si="3"/>
        <v/>
      </c>
      <c r="S11" s="90" t="str">
        <f t="shared" si="4"/>
        <v/>
      </c>
      <c r="T11" s="91" t="str">
        <f t="shared" si="5"/>
        <v/>
      </c>
      <c r="U11" s="85">
        <f t="shared" si="6"/>
        <v>0</v>
      </c>
    </row>
    <row r="12">
      <c r="A12" s="85">
        <v>10.0</v>
      </c>
      <c r="B12" s="35"/>
      <c r="C12" s="35"/>
      <c r="D12" s="86"/>
      <c r="E12" s="35"/>
      <c r="F12" s="86"/>
      <c r="G12" s="35"/>
      <c r="H12" s="85"/>
      <c r="I12" s="85"/>
      <c r="J12" s="87" t="str">
        <f t="shared" si="1"/>
        <v/>
      </c>
      <c r="K12" s="35"/>
      <c r="L12" s="88"/>
      <c r="M12" s="85"/>
      <c r="N12" s="87" t="str">
        <f t="shared" si="2"/>
        <v/>
      </c>
      <c r="O12" s="35"/>
      <c r="P12" s="88"/>
      <c r="Q12" s="85"/>
      <c r="R12" s="87" t="str">
        <f t="shared" si="3"/>
        <v/>
      </c>
      <c r="S12" s="90" t="str">
        <f t="shared" si="4"/>
        <v/>
      </c>
      <c r="T12" s="91" t="str">
        <f t="shared" si="5"/>
        <v/>
      </c>
      <c r="U12" s="85">
        <f t="shared" si="6"/>
        <v>0</v>
      </c>
    </row>
    <row r="13">
      <c r="A13" s="85">
        <v>11.0</v>
      </c>
      <c r="B13" s="35"/>
      <c r="C13" s="35"/>
      <c r="D13" s="86"/>
      <c r="E13" s="35"/>
      <c r="F13" s="86"/>
      <c r="G13" s="35"/>
      <c r="H13" s="85"/>
      <c r="I13" s="85"/>
      <c r="J13" s="87" t="str">
        <f t="shared" si="1"/>
        <v/>
      </c>
      <c r="K13" s="35"/>
      <c r="L13" s="88"/>
      <c r="M13" s="88"/>
      <c r="N13" s="87" t="str">
        <f t="shared" si="2"/>
        <v/>
      </c>
      <c r="O13" s="35"/>
      <c r="P13" s="88"/>
      <c r="Q13" s="88"/>
      <c r="R13" s="87" t="str">
        <f t="shared" si="3"/>
        <v/>
      </c>
      <c r="S13" s="90" t="str">
        <f t="shared" si="4"/>
        <v/>
      </c>
      <c r="T13" s="91" t="str">
        <f t="shared" si="5"/>
        <v/>
      </c>
      <c r="U13" s="85">
        <f t="shared" si="6"/>
        <v>0</v>
      </c>
    </row>
    <row r="14">
      <c r="A14" s="85">
        <v>12.0</v>
      </c>
      <c r="B14" s="35"/>
      <c r="C14" s="35"/>
      <c r="D14" s="86"/>
      <c r="E14" s="35"/>
      <c r="F14" s="86"/>
      <c r="G14" s="35"/>
      <c r="H14" s="85"/>
      <c r="I14" s="85"/>
      <c r="J14" s="87" t="str">
        <f t="shared" si="1"/>
        <v/>
      </c>
      <c r="K14" s="35"/>
      <c r="L14" s="88"/>
      <c r="M14" s="88"/>
      <c r="N14" s="87" t="str">
        <f t="shared" si="2"/>
        <v/>
      </c>
      <c r="O14" s="35"/>
      <c r="P14" s="88"/>
      <c r="Q14" s="88"/>
      <c r="R14" s="87" t="str">
        <f t="shared" si="3"/>
        <v/>
      </c>
      <c r="S14" s="90" t="str">
        <f t="shared" si="4"/>
        <v/>
      </c>
      <c r="T14" s="91" t="str">
        <f t="shared" si="5"/>
        <v/>
      </c>
      <c r="U14" s="85">
        <f t="shared" si="6"/>
        <v>0</v>
      </c>
    </row>
    <row r="15">
      <c r="A15" s="85">
        <v>13.0</v>
      </c>
      <c r="B15" s="35"/>
      <c r="C15" s="35"/>
      <c r="D15" s="86"/>
      <c r="E15" s="35"/>
      <c r="F15" s="86"/>
      <c r="G15" s="35"/>
      <c r="H15" s="85"/>
      <c r="I15" s="85"/>
      <c r="J15" s="87" t="str">
        <f t="shared" si="1"/>
        <v/>
      </c>
      <c r="K15" s="35"/>
      <c r="L15" s="88"/>
      <c r="M15" s="88"/>
      <c r="N15" s="87" t="str">
        <f t="shared" si="2"/>
        <v/>
      </c>
      <c r="O15" s="35"/>
      <c r="P15" s="88"/>
      <c r="Q15" s="88"/>
      <c r="R15" s="87" t="str">
        <f t="shared" si="3"/>
        <v/>
      </c>
      <c r="S15" s="90" t="str">
        <f t="shared" si="4"/>
        <v/>
      </c>
      <c r="T15" s="91" t="str">
        <f t="shared" si="5"/>
        <v/>
      </c>
      <c r="U15" s="85">
        <f t="shared" si="6"/>
        <v>0</v>
      </c>
    </row>
    <row r="16">
      <c r="A16" s="85">
        <v>14.0</v>
      </c>
      <c r="B16" s="35"/>
      <c r="C16" s="35"/>
      <c r="D16" s="86"/>
      <c r="E16" s="35"/>
      <c r="F16" s="86"/>
      <c r="G16" s="35"/>
      <c r="H16" s="85"/>
      <c r="I16" s="85"/>
      <c r="J16" s="87" t="str">
        <f t="shared" si="1"/>
        <v/>
      </c>
      <c r="K16" s="35"/>
      <c r="L16" s="88"/>
      <c r="M16" s="88"/>
      <c r="N16" s="87" t="str">
        <f t="shared" si="2"/>
        <v/>
      </c>
      <c r="O16" s="35"/>
      <c r="P16" s="88"/>
      <c r="Q16" s="88"/>
      <c r="R16" s="87" t="str">
        <f t="shared" si="3"/>
        <v/>
      </c>
      <c r="S16" s="90" t="str">
        <f t="shared" si="4"/>
        <v/>
      </c>
      <c r="T16" s="91" t="str">
        <f t="shared" si="5"/>
        <v/>
      </c>
      <c r="U16" s="85">
        <f t="shared" si="6"/>
        <v>0</v>
      </c>
    </row>
    <row r="17">
      <c r="A17" s="85">
        <v>15.0</v>
      </c>
      <c r="B17" s="35"/>
      <c r="C17" s="35"/>
      <c r="D17" s="86"/>
      <c r="E17" s="35"/>
      <c r="F17" s="86"/>
      <c r="G17" s="35"/>
      <c r="H17" s="85"/>
      <c r="I17" s="85"/>
      <c r="J17" s="87" t="str">
        <f t="shared" si="1"/>
        <v/>
      </c>
      <c r="K17" s="35"/>
      <c r="L17" s="88"/>
      <c r="M17" s="88"/>
      <c r="N17" s="87" t="str">
        <f t="shared" si="2"/>
        <v/>
      </c>
      <c r="O17" s="35"/>
      <c r="P17" s="88"/>
      <c r="Q17" s="88"/>
      <c r="R17" s="87" t="str">
        <f t="shared" si="3"/>
        <v/>
      </c>
      <c r="S17" s="90" t="str">
        <f t="shared" si="4"/>
        <v/>
      </c>
      <c r="T17" s="91" t="str">
        <f t="shared" si="5"/>
        <v/>
      </c>
      <c r="U17" s="85">
        <f t="shared" si="6"/>
        <v>0</v>
      </c>
    </row>
    <row r="18">
      <c r="A18" s="85">
        <v>16.0</v>
      </c>
      <c r="B18" s="35"/>
      <c r="C18" s="35"/>
      <c r="D18" s="86"/>
      <c r="E18" s="35"/>
      <c r="F18" s="86"/>
      <c r="G18" s="35"/>
      <c r="H18" s="85"/>
      <c r="I18" s="85"/>
      <c r="J18" s="87" t="str">
        <f t="shared" si="1"/>
        <v/>
      </c>
      <c r="K18" s="35"/>
      <c r="L18" s="88"/>
      <c r="M18" s="88"/>
      <c r="N18" s="87" t="str">
        <f t="shared" si="2"/>
        <v/>
      </c>
      <c r="O18" s="35"/>
      <c r="P18" s="88"/>
      <c r="Q18" s="88"/>
      <c r="R18" s="87" t="str">
        <f t="shared" si="3"/>
        <v/>
      </c>
      <c r="S18" s="90" t="str">
        <f t="shared" si="4"/>
        <v/>
      </c>
      <c r="T18" s="91" t="str">
        <f t="shared" si="5"/>
        <v/>
      </c>
      <c r="U18" s="85">
        <f t="shared" si="6"/>
        <v>0</v>
      </c>
    </row>
    <row r="19">
      <c r="A19" s="85">
        <v>17.0</v>
      </c>
      <c r="B19" s="35"/>
      <c r="C19" s="35"/>
      <c r="D19" s="86"/>
      <c r="E19" s="35"/>
      <c r="F19" s="86"/>
      <c r="G19" s="35"/>
      <c r="H19" s="85"/>
      <c r="I19" s="85"/>
      <c r="J19" s="87" t="str">
        <f t="shared" si="1"/>
        <v/>
      </c>
      <c r="K19" s="35"/>
      <c r="L19" s="88"/>
      <c r="M19" s="85"/>
      <c r="N19" s="87" t="str">
        <f t="shared" si="2"/>
        <v/>
      </c>
      <c r="O19" s="35"/>
      <c r="P19" s="88"/>
      <c r="Q19" s="85"/>
      <c r="R19" s="87" t="str">
        <f t="shared" si="3"/>
        <v/>
      </c>
      <c r="S19" s="90" t="str">
        <f t="shared" si="4"/>
        <v/>
      </c>
      <c r="T19" s="91" t="str">
        <f t="shared" si="5"/>
        <v/>
      </c>
      <c r="U19" s="85">
        <f t="shared" si="6"/>
        <v>0</v>
      </c>
    </row>
    <row r="20">
      <c r="A20" s="85">
        <v>18.0</v>
      </c>
      <c r="B20" s="35"/>
      <c r="C20" s="35"/>
      <c r="D20" s="86"/>
      <c r="E20" s="85"/>
      <c r="F20" s="86"/>
      <c r="G20" s="35"/>
      <c r="H20" s="85"/>
      <c r="I20" s="85"/>
      <c r="J20" s="87" t="str">
        <f t="shared" si="1"/>
        <v/>
      </c>
      <c r="K20" s="35"/>
      <c r="L20" s="88"/>
      <c r="M20" s="89"/>
      <c r="N20" s="87" t="str">
        <f t="shared" si="2"/>
        <v/>
      </c>
      <c r="O20" s="35"/>
      <c r="P20" s="88"/>
      <c r="Q20" s="88"/>
      <c r="R20" s="87" t="str">
        <f t="shared" si="3"/>
        <v/>
      </c>
      <c r="S20" s="90" t="str">
        <f t="shared" si="4"/>
        <v/>
      </c>
      <c r="T20" s="91" t="str">
        <f t="shared" si="5"/>
        <v/>
      </c>
      <c r="U20" s="85">
        <f t="shared" si="6"/>
        <v>0</v>
      </c>
    </row>
    <row r="21">
      <c r="A21" s="85">
        <v>19.0</v>
      </c>
      <c r="B21" s="35"/>
      <c r="C21" s="35"/>
      <c r="D21" s="86"/>
      <c r="E21" s="35"/>
      <c r="F21" s="86"/>
      <c r="G21" s="35"/>
      <c r="H21" s="85"/>
      <c r="I21" s="85"/>
      <c r="J21" s="87" t="str">
        <f t="shared" si="1"/>
        <v/>
      </c>
      <c r="K21" s="35"/>
      <c r="L21" s="88"/>
      <c r="M21" s="85"/>
      <c r="N21" s="87" t="str">
        <f t="shared" si="2"/>
        <v/>
      </c>
      <c r="O21" s="35"/>
      <c r="P21" s="88"/>
      <c r="Q21" s="85"/>
      <c r="R21" s="87" t="str">
        <f t="shared" si="3"/>
        <v/>
      </c>
      <c r="S21" s="90" t="str">
        <f t="shared" si="4"/>
        <v/>
      </c>
      <c r="T21" s="91" t="str">
        <f t="shared" si="5"/>
        <v/>
      </c>
      <c r="U21" s="85">
        <f t="shared" si="6"/>
        <v>0</v>
      </c>
    </row>
    <row r="22">
      <c r="A22" s="85">
        <v>20.0</v>
      </c>
      <c r="B22" s="35"/>
      <c r="C22" s="35"/>
      <c r="D22" s="86"/>
      <c r="E22" s="35"/>
      <c r="F22" s="86"/>
      <c r="G22" s="35"/>
      <c r="H22" s="85"/>
      <c r="I22" s="85"/>
      <c r="J22" s="87" t="str">
        <f t="shared" si="1"/>
        <v/>
      </c>
      <c r="K22" s="35"/>
      <c r="L22" s="88"/>
      <c r="M22" s="88"/>
      <c r="N22" s="87" t="str">
        <f t="shared" si="2"/>
        <v/>
      </c>
      <c r="O22" s="35"/>
      <c r="P22" s="88"/>
      <c r="Q22" s="88"/>
      <c r="R22" s="87" t="str">
        <f t="shared" si="3"/>
        <v/>
      </c>
      <c r="S22" s="90" t="str">
        <f t="shared" si="4"/>
        <v/>
      </c>
      <c r="T22" s="91" t="str">
        <f t="shared" si="5"/>
        <v/>
      </c>
      <c r="U22" s="85">
        <f t="shared" si="6"/>
        <v>0</v>
      </c>
    </row>
    <row r="23">
      <c r="A23" s="85">
        <v>21.0</v>
      </c>
      <c r="B23" s="35"/>
      <c r="C23" s="35"/>
      <c r="D23" s="86"/>
      <c r="E23" s="35"/>
      <c r="F23" s="86"/>
      <c r="G23" s="35"/>
      <c r="H23" s="85"/>
      <c r="I23" s="85"/>
      <c r="J23" s="87" t="str">
        <f t="shared" si="1"/>
        <v/>
      </c>
      <c r="K23" s="35"/>
      <c r="L23" s="88"/>
      <c r="M23" s="88"/>
      <c r="N23" s="87" t="str">
        <f t="shared" si="2"/>
        <v/>
      </c>
      <c r="O23" s="35"/>
      <c r="P23" s="88"/>
      <c r="Q23" s="88"/>
      <c r="R23" s="87" t="str">
        <f t="shared" si="3"/>
        <v/>
      </c>
      <c r="S23" s="90" t="str">
        <f t="shared" si="4"/>
        <v/>
      </c>
      <c r="T23" s="91" t="str">
        <f t="shared" si="5"/>
        <v/>
      </c>
      <c r="U23" s="85">
        <f t="shared" si="6"/>
        <v>0</v>
      </c>
    </row>
    <row r="24">
      <c r="A24" s="85">
        <v>22.0</v>
      </c>
      <c r="B24" s="35"/>
      <c r="C24" s="35"/>
      <c r="D24" s="86"/>
      <c r="E24" s="35"/>
      <c r="F24" s="86"/>
      <c r="G24" s="35"/>
      <c r="H24" s="85"/>
      <c r="I24" s="85"/>
      <c r="J24" s="87" t="str">
        <f t="shared" si="1"/>
        <v/>
      </c>
      <c r="K24" s="35"/>
      <c r="L24" s="88"/>
      <c r="M24" s="88"/>
      <c r="N24" s="87" t="str">
        <f t="shared" si="2"/>
        <v/>
      </c>
      <c r="O24" s="35"/>
      <c r="P24" s="88"/>
      <c r="Q24" s="88"/>
      <c r="R24" s="87" t="str">
        <f t="shared" si="3"/>
        <v/>
      </c>
      <c r="S24" s="90" t="str">
        <f t="shared" si="4"/>
        <v/>
      </c>
      <c r="T24" s="91" t="str">
        <f t="shared" si="5"/>
        <v/>
      </c>
      <c r="U24" s="85">
        <f t="shared" si="6"/>
        <v>0</v>
      </c>
    </row>
    <row r="25">
      <c r="A25" s="85">
        <v>23.0</v>
      </c>
      <c r="B25" s="35"/>
      <c r="C25" s="35"/>
      <c r="D25" s="86"/>
      <c r="E25" s="35"/>
      <c r="F25" s="86"/>
      <c r="G25" s="35"/>
      <c r="H25" s="85"/>
      <c r="I25" s="85"/>
      <c r="J25" s="87" t="str">
        <f t="shared" si="1"/>
        <v/>
      </c>
      <c r="K25" s="35"/>
      <c r="L25" s="88"/>
      <c r="M25" s="88"/>
      <c r="N25" s="87" t="str">
        <f t="shared" si="2"/>
        <v/>
      </c>
      <c r="O25" s="35"/>
      <c r="P25" s="88"/>
      <c r="Q25" s="88"/>
      <c r="R25" s="87" t="str">
        <f t="shared" si="3"/>
        <v/>
      </c>
      <c r="S25" s="90" t="str">
        <f t="shared" si="4"/>
        <v/>
      </c>
      <c r="T25" s="91" t="str">
        <f t="shared" si="5"/>
        <v/>
      </c>
      <c r="U25" s="85">
        <f t="shared" si="6"/>
        <v>0</v>
      </c>
    </row>
    <row r="26">
      <c r="A26" s="85">
        <v>24.0</v>
      </c>
      <c r="B26" s="35"/>
      <c r="C26" s="65"/>
      <c r="D26" s="76"/>
      <c r="E26" s="93"/>
      <c r="F26" s="76"/>
      <c r="G26" s="93"/>
      <c r="H26" s="93"/>
      <c r="I26" s="93"/>
      <c r="J26" s="87" t="str">
        <f t="shared" si="1"/>
        <v/>
      </c>
      <c r="K26" s="93"/>
      <c r="L26" s="93"/>
      <c r="M26" s="93"/>
      <c r="N26" s="87" t="str">
        <f t="shared" si="2"/>
        <v/>
      </c>
      <c r="O26" s="93"/>
      <c r="P26" s="93"/>
      <c r="Q26" s="93"/>
      <c r="R26" s="87" t="str">
        <f t="shared" si="3"/>
        <v/>
      </c>
      <c r="S26" s="90" t="str">
        <f t="shared" si="4"/>
        <v/>
      </c>
      <c r="T26" s="91" t="str">
        <f t="shared" si="5"/>
        <v/>
      </c>
      <c r="U26" s="85">
        <f t="shared" si="6"/>
        <v>0</v>
      </c>
    </row>
    <row r="27">
      <c r="A27" s="85">
        <v>25.0</v>
      </c>
      <c r="B27" s="35"/>
      <c r="C27" s="65"/>
      <c r="D27" s="76"/>
      <c r="E27" s="93"/>
      <c r="F27" s="76"/>
      <c r="G27" s="93"/>
      <c r="H27" s="93"/>
      <c r="I27" s="93"/>
      <c r="J27" s="87" t="str">
        <f t="shared" si="1"/>
        <v/>
      </c>
      <c r="K27" s="93"/>
      <c r="L27" s="93"/>
      <c r="M27" s="93"/>
      <c r="N27" s="87" t="str">
        <f t="shared" si="2"/>
        <v/>
      </c>
      <c r="O27" s="93"/>
      <c r="P27" s="93"/>
      <c r="Q27" s="93"/>
      <c r="R27" s="87" t="str">
        <f t="shared" si="3"/>
        <v/>
      </c>
      <c r="S27" s="90" t="str">
        <f t="shared" si="4"/>
        <v/>
      </c>
      <c r="T27" s="91" t="str">
        <f t="shared" si="5"/>
        <v/>
      </c>
      <c r="U27" s="85">
        <f t="shared" si="6"/>
        <v>0</v>
      </c>
    </row>
    <row r="28">
      <c r="A28" s="85">
        <v>26.0</v>
      </c>
      <c r="B28" s="35"/>
      <c r="C28" s="65"/>
      <c r="D28" s="76"/>
      <c r="E28" s="93"/>
      <c r="F28" s="76"/>
      <c r="G28" s="93"/>
      <c r="H28" s="93"/>
      <c r="I28" s="93"/>
      <c r="J28" s="87" t="str">
        <f t="shared" si="1"/>
        <v/>
      </c>
      <c r="K28" s="93"/>
      <c r="L28" s="93"/>
      <c r="M28" s="93"/>
      <c r="N28" s="87" t="str">
        <f t="shared" si="2"/>
        <v/>
      </c>
      <c r="O28" s="93"/>
      <c r="P28" s="93"/>
      <c r="Q28" s="93"/>
      <c r="R28" s="87" t="str">
        <f t="shared" si="3"/>
        <v/>
      </c>
      <c r="S28" s="90" t="str">
        <f t="shared" si="4"/>
        <v/>
      </c>
      <c r="T28" s="91" t="str">
        <f t="shared" si="5"/>
        <v/>
      </c>
      <c r="U28" s="85">
        <f t="shared" si="6"/>
        <v>0</v>
      </c>
    </row>
    <row r="29">
      <c r="A29" s="85">
        <v>27.0</v>
      </c>
      <c r="B29" s="35"/>
      <c r="C29" s="65"/>
      <c r="D29" s="76"/>
      <c r="E29" s="93"/>
      <c r="F29" s="76"/>
      <c r="G29" s="93"/>
      <c r="H29" s="93"/>
      <c r="I29" s="93"/>
      <c r="J29" s="87" t="str">
        <f t="shared" si="1"/>
        <v/>
      </c>
      <c r="K29" s="93"/>
      <c r="L29" s="93"/>
      <c r="M29" s="93"/>
      <c r="N29" s="87" t="str">
        <f t="shared" si="2"/>
        <v/>
      </c>
      <c r="O29" s="93"/>
      <c r="P29" s="93"/>
      <c r="Q29" s="93"/>
      <c r="R29" s="87" t="str">
        <f t="shared" si="3"/>
        <v/>
      </c>
      <c r="S29" s="90" t="str">
        <f t="shared" si="4"/>
        <v/>
      </c>
      <c r="T29" s="91" t="str">
        <f t="shared" si="5"/>
        <v/>
      </c>
      <c r="U29" s="85">
        <f t="shared" si="6"/>
        <v>0</v>
      </c>
    </row>
    <row r="30">
      <c r="A30" s="85">
        <v>28.0</v>
      </c>
      <c r="B30" s="35"/>
      <c r="C30" s="65"/>
      <c r="D30" s="76"/>
      <c r="E30" s="93"/>
      <c r="F30" s="76"/>
      <c r="G30" s="93"/>
      <c r="H30" s="93"/>
      <c r="I30" s="93"/>
      <c r="J30" s="87" t="str">
        <f t="shared" si="1"/>
        <v/>
      </c>
      <c r="K30" s="93"/>
      <c r="L30" s="93"/>
      <c r="M30" s="93"/>
      <c r="N30" s="87" t="str">
        <f t="shared" si="2"/>
        <v/>
      </c>
      <c r="O30" s="93"/>
      <c r="P30" s="93"/>
      <c r="Q30" s="93"/>
      <c r="R30" s="87" t="str">
        <f t="shared" si="3"/>
        <v/>
      </c>
      <c r="S30" s="90" t="str">
        <f t="shared" si="4"/>
        <v/>
      </c>
      <c r="T30" s="91" t="str">
        <f t="shared" si="5"/>
        <v/>
      </c>
      <c r="U30" s="85">
        <f t="shared" si="6"/>
        <v>0</v>
      </c>
    </row>
    <row r="31">
      <c r="A31" s="85">
        <v>29.0</v>
      </c>
      <c r="B31" s="35"/>
      <c r="C31" s="65"/>
      <c r="D31" s="76"/>
      <c r="E31" s="93"/>
      <c r="F31" s="76"/>
      <c r="G31" s="93"/>
      <c r="H31" s="93"/>
      <c r="I31" s="93"/>
      <c r="J31" s="87" t="str">
        <f t="shared" si="1"/>
        <v/>
      </c>
      <c r="K31" s="93"/>
      <c r="L31" s="93"/>
      <c r="M31" s="93"/>
      <c r="N31" s="87" t="str">
        <f t="shared" si="2"/>
        <v/>
      </c>
      <c r="O31" s="93"/>
      <c r="P31" s="93"/>
      <c r="Q31" s="93"/>
      <c r="R31" s="87" t="str">
        <f t="shared" si="3"/>
        <v/>
      </c>
      <c r="S31" s="90" t="str">
        <f t="shared" si="4"/>
        <v/>
      </c>
      <c r="T31" s="91" t="str">
        <f t="shared" si="5"/>
        <v/>
      </c>
      <c r="U31" s="85">
        <f t="shared" si="6"/>
        <v>0</v>
      </c>
    </row>
    <row r="32">
      <c r="A32" s="85">
        <v>30.0</v>
      </c>
      <c r="B32" s="35"/>
      <c r="C32" s="65"/>
      <c r="D32" s="76"/>
      <c r="E32" s="93"/>
      <c r="F32" s="76"/>
      <c r="G32" s="93"/>
      <c r="H32" s="93"/>
      <c r="I32" s="93"/>
      <c r="J32" s="87" t="str">
        <f t="shared" si="1"/>
        <v/>
      </c>
      <c r="K32" s="93"/>
      <c r="L32" s="93"/>
      <c r="M32" s="93"/>
      <c r="N32" s="87" t="str">
        <f t="shared" si="2"/>
        <v/>
      </c>
      <c r="O32" s="93"/>
      <c r="P32" s="93"/>
      <c r="Q32" s="93"/>
      <c r="R32" s="87" t="str">
        <f t="shared" si="3"/>
        <v/>
      </c>
      <c r="S32" s="90" t="str">
        <f t="shared" si="4"/>
        <v/>
      </c>
      <c r="T32" s="91" t="str">
        <f t="shared" si="5"/>
        <v/>
      </c>
      <c r="U32" s="85">
        <f t="shared" si="6"/>
        <v>0</v>
      </c>
    </row>
    <row r="33">
      <c r="A33" s="85">
        <v>31.0</v>
      </c>
      <c r="B33" s="35"/>
      <c r="C33" s="65"/>
      <c r="D33" s="76"/>
      <c r="E33" s="93"/>
      <c r="F33" s="76"/>
      <c r="G33" s="93"/>
      <c r="H33" s="93"/>
      <c r="I33" s="93"/>
      <c r="J33" s="87" t="str">
        <f t="shared" si="1"/>
        <v/>
      </c>
      <c r="K33" s="93"/>
      <c r="L33" s="93"/>
      <c r="M33" s="93"/>
      <c r="N33" s="87" t="str">
        <f t="shared" si="2"/>
        <v/>
      </c>
      <c r="O33" s="93"/>
      <c r="P33" s="93"/>
      <c r="Q33" s="93"/>
      <c r="R33" s="87" t="str">
        <f t="shared" si="3"/>
        <v/>
      </c>
      <c r="S33" s="90" t="str">
        <f t="shared" si="4"/>
        <v/>
      </c>
      <c r="T33" s="91" t="str">
        <f t="shared" si="5"/>
        <v/>
      </c>
      <c r="U33" s="85">
        <f t="shared" si="6"/>
        <v>0</v>
      </c>
    </row>
    <row r="34">
      <c r="A34" s="85">
        <v>32.0</v>
      </c>
      <c r="B34" s="35"/>
      <c r="C34" s="65"/>
      <c r="D34" s="76"/>
      <c r="E34" s="93"/>
      <c r="F34" s="76"/>
      <c r="G34" s="93"/>
      <c r="H34" s="93"/>
      <c r="I34" s="93"/>
      <c r="J34" s="87" t="str">
        <f t="shared" si="1"/>
        <v/>
      </c>
      <c r="K34" s="93"/>
      <c r="L34" s="93"/>
      <c r="M34" s="93"/>
      <c r="N34" s="87" t="str">
        <f t="shared" si="2"/>
        <v/>
      </c>
      <c r="O34" s="93"/>
      <c r="P34" s="93"/>
      <c r="Q34" s="93"/>
      <c r="R34" s="87" t="str">
        <f t="shared" si="3"/>
        <v/>
      </c>
      <c r="S34" s="90" t="str">
        <f t="shared" si="4"/>
        <v/>
      </c>
      <c r="T34" s="91" t="str">
        <f t="shared" si="5"/>
        <v/>
      </c>
      <c r="U34" s="85">
        <f t="shared" si="6"/>
        <v>0</v>
      </c>
    </row>
    <row r="35">
      <c r="A35" s="85">
        <v>33.0</v>
      </c>
      <c r="B35" s="35"/>
      <c r="C35" s="65"/>
      <c r="D35" s="76"/>
      <c r="E35" s="93"/>
      <c r="F35" s="76"/>
      <c r="G35" s="93"/>
      <c r="H35" s="93"/>
      <c r="I35" s="93"/>
      <c r="J35" s="87" t="str">
        <f t="shared" si="1"/>
        <v/>
      </c>
      <c r="K35" s="93"/>
      <c r="L35" s="93"/>
      <c r="M35" s="93"/>
      <c r="N35" s="87" t="str">
        <f t="shared" si="2"/>
        <v/>
      </c>
      <c r="O35" s="93"/>
      <c r="P35" s="93"/>
      <c r="Q35" s="93"/>
      <c r="R35" s="87" t="str">
        <f t="shared" si="3"/>
        <v/>
      </c>
      <c r="S35" s="90" t="str">
        <f t="shared" si="4"/>
        <v/>
      </c>
      <c r="T35" s="91" t="str">
        <f t="shared" si="5"/>
        <v/>
      </c>
      <c r="U35" s="85">
        <f t="shared" si="6"/>
        <v>0</v>
      </c>
    </row>
    <row r="36">
      <c r="A36" s="85">
        <v>34.0</v>
      </c>
      <c r="B36" s="35"/>
      <c r="C36" s="65"/>
      <c r="D36" s="76"/>
      <c r="E36" s="93"/>
      <c r="F36" s="76"/>
      <c r="G36" s="93"/>
      <c r="H36" s="93"/>
      <c r="I36" s="93"/>
      <c r="J36" s="87" t="str">
        <f t="shared" si="1"/>
        <v/>
      </c>
      <c r="K36" s="93"/>
      <c r="L36" s="93"/>
      <c r="M36" s="93"/>
      <c r="N36" s="87" t="str">
        <f t="shared" si="2"/>
        <v/>
      </c>
      <c r="O36" s="93"/>
      <c r="P36" s="93"/>
      <c r="Q36" s="93"/>
      <c r="R36" s="87" t="str">
        <f t="shared" si="3"/>
        <v/>
      </c>
      <c r="S36" s="90" t="str">
        <f t="shared" si="4"/>
        <v/>
      </c>
      <c r="T36" s="91" t="str">
        <f t="shared" si="5"/>
        <v/>
      </c>
      <c r="U36" s="85">
        <f t="shared" si="6"/>
        <v>0</v>
      </c>
    </row>
    <row r="37">
      <c r="A37" s="85">
        <v>35.0</v>
      </c>
      <c r="B37" s="35"/>
      <c r="C37" s="65"/>
      <c r="D37" s="76"/>
      <c r="E37" s="93"/>
      <c r="F37" s="76"/>
      <c r="G37" s="93"/>
      <c r="H37" s="93"/>
      <c r="I37" s="93"/>
      <c r="J37" s="87" t="str">
        <f t="shared" si="1"/>
        <v/>
      </c>
      <c r="K37" s="93"/>
      <c r="L37" s="93"/>
      <c r="M37" s="93"/>
      <c r="N37" s="87" t="str">
        <f t="shared" si="2"/>
        <v/>
      </c>
      <c r="O37" s="93"/>
      <c r="P37" s="93"/>
      <c r="Q37" s="93"/>
      <c r="R37" s="87" t="str">
        <f t="shared" si="3"/>
        <v/>
      </c>
      <c r="S37" s="90" t="str">
        <f t="shared" si="4"/>
        <v/>
      </c>
      <c r="T37" s="91" t="str">
        <f t="shared" si="5"/>
        <v/>
      </c>
      <c r="U37" s="85">
        <f t="shared" si="6"/>
        <v>0</v>
      </c>
    </row>
    <row r="38">
      <c r="A38" s="85">
        <v>36.0</v>
      </c>
      <c r="B38" s="35"/>
      <c r="C38" s="65"/>
      <c r="D38" s="76"/>
      <c r="E38" s="93"/>
      <c r="F38" s="76"/>
      <c r="G38" s="93"/>
      <c r="H38" s="93"/>
      <c r="I38" s="93"/>
      <c r="J38" s="87" t="str">
        <f t="shared" si="1"/>
        <v/>
      </c>
      <c r="K38" s="93"/>
      <c r="L38" s="93"/>
      <c r="M38" s="93"/>
      <c r="N38" s="87" t="str">
        <f t="shared" si="2"/>
        <v/>
      </c>
      <c r="O38" s="93"/>
      <c r="P38" s="93"/>
      <c r="Q38" s="93"/>
      <c r="R38" s="87" t="str">
        <f t="shared" si="3"/>
        <v/>
      </c>
      <c r="S38" s="90" t="str">
        <f t="shared" si="4"/>
        <v/>
      </c>
      <c r="T38" s="91" t="str">
        <f t="shared" si="5"/>
        <v/>
      </c>
      <c r="U38" s="85">
        <f t="shared" si="6"/>
        <v>0</v>
      </c>
    </row>
    <row r="39">
      <c r="A39" s="85">
        <v>37.0</v>
      </c>
      <c r="B39" s="35"/>
      <c r="C39" s="65"/>
      <c r="D39" s="76"/>
      <c r="E39" s="93"/>
      <c r="F39" s="76"/>
      <c r="G39" s="93"/>
      <c r="H39" s="93"/>
      <c r="I39" s="93"/>
      <c r="J39" s="87" t="str">
        <f t="shared" si="1"/>
        <v/>
      </c>
      <c r="K39" s="93"/>
      <c r="L39" s="93"/>
      <c r="M39" s="93"/>
      <c r="N39" s="87" t="str">
        <f t="shared" si="2"/>
        <v/>
      </c>
      <c r="O39" s="93"/>
      <c r="P39" s="93"/>
      <c r="Q39" s="93"/>
      <c r="R39" s="87" t="str">
        <f t="shared" si="3"/>
        <v/>
      </c>
      <c r="S39" s="90" t="str">
        <f t="shared" si="4"/>
        <v/>
      </c>
      <c r="T39" s="91" t="str">
        <f t="shared" si="5"/>
        <v/>
      </c>
      <c r="U39" s="85">
        <f t="shared" si="6"/>
        <v>0</v>
      </c>
    </row>
    <row r="40">
      <c r="A40" s="85">
        <v>38.0</v>
      </c>
      <c r="B40" s="35"/>
      <c r="C40" s="65"/>
      <c r="D40" s="76"/>
      <c r="E40" s="93"/>
      <c r="F40" s="76"/>
      <c r="G40" s="93"/>
      <c r="H40" s="93"/>
      <c r="I40" s="93"/>
      <c r="J40" s="87" t="str">
        <f t="shared" si="1"/>
        <v/>
      </c>
      <c r="K40" s="93"/>
      <c r="L40" s="93"/>
      <c r="M40" s="93"/>
      <c r="N40" s="87" t="str">
        <f t="shared" si="2"/>
        <v/>
      </c>
      <c r="O40" s="93"/>
      <c r="P40" s="93"/>
      <c r="Q40" s="93"/>
      <c r="R40" s="87" t="str">
        <f t="shared" si="3"/>
        <v/>
      </c>
      <c r="S40" s="90" t="str">
        <f t="shared" si="4"/>
        <v/>
      </c>
      <c r="T40" s="91" t="str">
        <f t="shared" si="5"/>
        <v/>
      </c>
      <c r="U40" s="85">
        <f t="shared" si="6"/>
        <v>0</v>
      </c>
    </row>
    <row r="41">
      <c r="A41" s="85">
        <v>39.0</v>
      </c>
      <c r="B41" s="35"/>
      <c r="C41" s="65"/>
      <c r="D41" s="76"/>
      <c r="E41" s="93"/>
      <c r="F41" s="76"/>
      <c r="G41" s="93"/>
      <c r="H41" s="93"/>
      <c r="I41" s="93"/>
      <c r="J41" s="87" t="str">
        <f t="shared" si="1"/>
        <v/>
      </c>
      <c r="K41" s="93"/>
      <c r="L41" s="93"/>
      <c r="M41" s="93"/>
      <c r="N41" s="87" t="str">
        <f t="shared" si="2"/>
        <v/>
      </c>
      <c r="O41" s="93"/>
      <c r="P41" s="93"/>
      <c r="Q41" s="93"/>
      <c r="R41" s="87" t="str">
        <f t="shared" si="3"/>
        <v/>
      </c>
      <c r="S41" s="90" t="str">
        <f t="shared" si="4"/>
        <v/>
      </c>
      <c r="T41" s="91" t="str">
        <f t="shared" si="5"/>
        <v/>
      </c>
      <c r="U41" s="85">
        <f t="shared" si="6"/>
        <v>0</v>
      </c>
    </row>
    <row r="42">
      <c r="A42" s="85">
        <v>40.0</v>
      </c>
      <c r="B42" s="35"/>
      <c r="C42" s="65"/>
      <c r="D42" s="76"/>
      <c r="E42" s="93"/>
      <c r="F42" s="76"/>
      <c r="G42" s="93"/>
      <c r="H42" s="93"/>
      <c r="I42" s="93"/>
      <c r="J42" s="87" t="str">
        <f t="shared" si="1"/>
        <v/>
      </c>
      <c r="K42" s="93"/>
      <c r="L42" s="93"/>
      <c r="M42" s="93"/>
      <c r="N42" s="87" t="str">
        <f t="shared" si="2"/>
        <v/>
      </c>
      <c r="O42" s="93"/>
      <c r="P42" s="93"/>
      <c r="Q42" s="93"/>
      <c r="R42" s="87" t="str">
        <f t="shared" si="3"/>
        <v/>
      </c>
      <c r="S42" s="90" t="str">
        <f t="shared" si="4"/>
        <v/>
      </c>
      <c r="T42" s="91" t="str">
        <f t="shared" si="5"/>
        <v/>
      </c>
      <c r="U42" s="85">
        <f t="shared" si="6"/>
        <v>0</v>
      </c>
    </row>
    <row r="43">
      <c r="A43" s="85">
        <v>41.0</v>
      </c>
      <c r="B43" s="35"/>
      <c r="C43" s="65"/>
      <c r="D43" s="76"/>
      <c r="E43" s="93"/>
      <c r="F43" s="76"/>
      <c r="G43" s="93"/>
      <c r="H43" s="93"/>
      <c r="I43" s="93"/>
      <c r="J43" s="87" t="str">
        <f t="shared" si="1"/>
        <v/>
      </c>
      <c r="K43" s="93"/>
      <c r="L43" s="93"/>
      <c r="M43" s="93"/>
      <c r="N43" s="87" t="str">
        <f t="shared" si="2"/>
        <v/>
      </c>
      <c r="O43" s="93"/>
      <c r="P43" s="93"/>
      <c r="Q43" s="93"/>
      <c r="R43" s="87" t="str">
        <f t="shared" si="3"/>
        <v/>
      </c>
      <c r="S43" s="90" t="str">
        <f t="shared" si="4"/>
        <v/>
      </c>
      <c r="T43" s="91" t="str">
        <f t="shared" si="5"/>
        <v/>
      </c>
      <c r="U43" s="85">
        <f t="shared" si="6"/>
        <v>0</v>
      </c>
    </row>
    <row r="44">
      <c r="A44" s="85">
        <v>42.0</v>
      </c>
      <c r="B44" s="35"/>
      <c r="C44" s="65"/>
      <c r="D44" s="76"/>
      <c r="E44" s="93"/>
      <c r="F44" s="76"/>
      <c r="G44" s="93"/>
      <c r="H44" s="93"/>
      <c r="I44" s="93"/>
      <c r="J44" s="87" t="str">
        <f t="shared" si="1"/>
        <v/>
      </c>
      <c r="K44" s="93"/>
      <c r="L44" s="93"/>
      <c r="M44" s="93"/>
      <c r="N44" s="87" t="str">
        <f t="shared" si="2"/>
        <v/>
      </c>
      <c r="O44" s="93"/>
      <c r="P44" s="93"/>
      <c r="Q44" s="93"/>
      <c r="R44" s="87" t="str">
        <f t="shared" si="3"/>
        <v/>
      </c>
      <c r="S44" s="90" t="str">
        <f t="shared" si="4"/>
        <v/>
      </c>
      <c r="T44" s="91" t="str">
        <f t="shared" si="5"/>
        <v/>
      </c>
      <c r="U44" s="85">
        <f t="shared" si="6"/>
        <v>0</v>
      </c>
    </row>
    <row r="45">
      <c r="A45" s="85">
        <v>43.0</v>
      </c>
      <c r="B45" s="35"/>
      <c r="C45" s="65"/>
      <c r="D45" s="76"/>
      <c r="E45" s="93"/>
      <c r="F45" s="76"/>
      <c r="G45" s="93"/>
      <c r="H45" s="93"/>
      <c r="I45" s="93"/>
      <c r="J45" s="87" t="str">
        <f t="shared" si="1"/>
        <v/>
      </c>
      <c r="K45" s="93"/>
      <c r="L45" s="93"/>
      <c r="M45" s="93"/>
      <c r="N45" s="87" t="str">
        <f t="shared" si="2"/>
        <v/>
      </c>
      <c r="O45" s="93"/>
      <c r="P45" s="93"/>
      <c r="Q45" s="93"/>
      <c r="R45" s="87" t="str">
        <f t="shared" si="3"/>
        <v/>
      </c>
      <c r="S45" s="90" t="str">
        <f t="shared" si="4"/>
        <v/>
      </c>
      <c r="T45" s="91" t="str">
        <f t="shared" si="5"/>
        <v/>
      </c>
      <c r="U45" s="85">
        <f t="shared" si="6"/>
        <v>0</v>
      </c>
    </row>
    <row r="46">
      <c r="A46" s="85">
        <v>44.0</v>
      </c>
      <c r="B46" s="35"/>
      <c r="C46" s="65"/>
      <c r="D46" s="76"/>
      <c r="E46" s="93"/>
      <c r="F46" s="76"/>
      <c r="G46" s="93"/>
      <c r="H46" s="93"/>
      <c r="I46" s="93"/>
      <c r="J46" s="87" t="str">
        <f t="shared" si="1"/>
        <v/>
      </c>
      <c r="K46" s="93"/>
      <c r="L46" s="93"/>
      <c r="M46" s="93"/>
      <c r="N46" s="87" t="str">
        <f t="shared" si="2"/>
        <v/>
      </c>
      <c r="O46" s="93"/>
      <c r="P46" s="93"/>
      <c r="Q46" s="93"/>
      <c r="R46" s="87" t="str">
        <f t="shared" si="3"/>
        <v/>
      </c>
      <c r="S46" s="90" t="str">
        <f t="shared" si="4"/>
        <v/>
      </c>
      <c r="T46" s="91" t="str">
        <f t="shared" si="5"/>
        <v/>
      </c>
      <c r="U46" s="85">
        <f t="shared" si="6"/>
        <v>0</v>
      </c>
    </row>
    <row r="47">
      <c r="A47" s="85">
        <v>45.0</v>
      </c>
      <c r="B47" s="35"/>
      <c r="C47" s="65"/>
      <c r="D47" s="76"/>
      <c r="E47" s="93"/>
      <c r="F47" s="76"/>
      <c r="G47" s="93"/>
      <c r="H47" s="93"/>
      <c r="I47" s="93"/>
      <c r="J47" s="87" t="str">
        <f t="shared" si="1"/>
        <v/>
      </c>
      <c r="K47" s="93"/>
      <c r="L47" s="93"/>
      <c r="M47" s="93"/>
      <c r="N47" s="87" t="str">
        <f t="shared" si="2"/>
        <v/>
      </c>
      <c r="O47" s="93"/>
      <c r="P47" s="93"/>
      <c r="Q47" s="93"/>
      <c r="R47" s="87" t="str">
        <f t="shared" si="3"/>
        <v/>
      </c>
      <c r="S47" s="90" t="str">
        <f t="shared" si="4"/>
        <v/>
      </c>
      <c r="T47" s="91" t="str">
        <f t="shared" si="5"/>
        <v/>
      </c>
      <c r="U47" s="85">
        <f t="shared" si="6"/>
        <v>0</v>
      </c>
    </row>
    <row r="48">
      <c r="A48" s="85">
        <v>46.0</v>
      </c>
      <c r="B48" s="35"/>
      <c r="C48" s="65"/>
      <c r="D48" s="76"/>
      <c r="E48" s="93"/>
      <c r="F48" s="76"/>
      <c r="G48" s="93"/>
      <c r="H48" s="93"/>
      <c r="I48" s="93"/>
      <c r="J48" s="87" t="str">
        <f t="shared" si="1"/>
        <v/>
      </c>
      <c r="K48" s="93"/>
      <c r="L48" s="93"/>
      <c r="M48" s="93"/>
      <c r="N48" s="87" t="str">
        <f t="shared" si="2"/>
        <v/>
      </c>
      <c r="O48" s="93"/>
      <c r="P48" s="93"/>
      <c r="Q48" s="93"/>
      <c r="R48" s="87" t="str">
        <f t="shared" si="3"/>
        <v/>
      </c>
      <c r="S48" s="90" t="str">
        <f t="shared" si="4"/>
        <v/>
      </c>
      <c r="T48" s="91" t="str">
        <f t="shared" si="5"/>
        <v/>
      </c>
      <c r="U48" s="85">
        <f t="shared" si="6"/>
        <v>0</v>
      </c>
    </row>
    <row r="49">
      <c r="A49" s="85">
        <v>47.0</v>
      </c>
      <c r="B49" s="35"/>
      <c r="C49" s="65"/>
      <c r="D49" s="76"/>
      <c r="E49" s="93"/>
      <c r="F49" s="76"/>
      <c r="G49" s="93"/>
      <c r="H49" s="93"/>
      <c r="I49" s="93"/>
      <c r="J49" s="87" t="str">
        <f t="shared" si="1"/>
        <v/>
      </c>
      <c r="K49" s="93"/>
      <c r="L49" s="93"/>
      <c r="M49" s="93"/>
      <c r="N49" s="87" t="str">
        <f t="shared" si="2"/>
        <v/>
      </c>
      <c r="O49" s="93"/>
      <c r="P49" s="93"/>
      <c r="Q49" s="93"/>
      <c r="R49" s="87" t="str">
        <f t="shared" si="3"/>
        <v/>
      </c>
      <c r="S49" s="90" t="str">
        <f t="shared" si="4"/>
        <v/>
      </c>
      <c r="T49" s="91" t="str">
        <f t="shared" si="5"/>
        <v/>
      </c>
      <c r="U49" s="85">
        <f t="shared" si="6"/>
        <v>0</v>
      </c>
    </row>
    <row r="50">
      <c r="A50" s="85">
        <v>48.0</v>
      </c>
      <c r="B50" s="35"/>
      <c r="C50" s="65"/>
      <c r="D50" s="76"/>
      <c r="E50" s="93"/>
      <c r="F50" s="76"/>
      <c r="G50" s="93"/>
      <c r="H50" s="93"/>
      <c r="I50" s="93"/>
      <c r="J50" s="87" t="str">
        <f t="shared" si="1"/>
        <v/>
      </c>
      <c r="K50" s="93"/>
      <c r="L50" s="93"/>
      <c r="M50" s="93"/>
      <c r="N50" s="87" t="str">
        <f t="shared" si="2"/>
        <v/>
      </c>
      <c r="O50" s="93"/>
      <c r="P50" s="93"/>
      <c r="Q50" s="93"/>
      <c r="R50" s="87" t="str">
        <f t="shared" si="3"/>
        <v/>
      </c>
      <c r="S50" s="90" t="str">
        <f t="shared" si="4"/>
        <v/>
      </c>
      <c r="T50" s="91" t="str">
        <f t="shared" si="5"/>
        <v/>
      </c>
      <c r="U50" s="85">
        <f t="shared" si="6"/>
        <v>0</v>
      </c>
    </row>
    <row r="51">
      <c r="A51" s="85">
        <v>49.0</v>
      </c>
      <c r="B51" s="35"/>
      <c r="C51" s="65"/>
      <c r="D51" s="76"/>
      <c r="E51" s="93"/>
      <c r="F51" s="76"/>
      <c r="G51" s="93"/>
      <c r="H51" s="93"/>
      <c r="I51" s="93"/>
      <c r="J51" s="87" t="str">
        <f t="shared" si="1"/>
        <v/>
      </c>
      <c r="K51" s="93"/>
      <c r="L51" s="93"/>
      <c r="M51" s="93"/>
      <c r="N51" s="87" t="str">
        <f t="shared" si="2"/>
        <v/>
      </c>
      <c r="O51" s="93"/>
      <c r="P51" s="93"/>
      <c r="Q51" s="93"/>
      <c r="R51" s="87" t="str">
        <f t="shared" si="3"/>
        <v/>
      </c>
      <c r="S51" s="90" t="str">
        <f t="shared" si="4"/>
        <v/>
      </c>
      <c r="T51" s="91" t="str">
        <f t="shared" si="5"/>
        <v/>
      </c>
      <c r="U51" s="85">
        <f t="shared" si="6"/>
        <v>0</v>
      </c>
    </row>
    <row r="52">
      <c r="A52" s="85">
        <v>50.0</v>
      </c>
      <c r="B52" s="35"/>
      <c r="C52" s="65"/>
      <c r="D52" s="76"/>
      <c r="E52" s="93"/>
      <c r="F52" s="76"/>
      <c r="G52" s="93"/>
      <c r="H52" s="93"/>
      <c r="I52" s="93"/>
      <c r="J52" s="87" t="str">
        <f t="shared" si="1"/>
        <v/>
      </c>
      <c r="K52" s="93"/>
      <c r="L52" s="93"/>
      <c r="M52" s="93"/>
      <c r="N52" s="87" t="str">
        <f t="shared" si="2"/>
        <v/>
      </c>
      <c r="O52" s="93"/>
      <c r="P52" s="93"/>
      <c r="Q52" s="93"/>
      <c r="R52" s="87" t="str">
        <f t="shared" si="3"/>
        <v/>
      </c>
      <c r="S52" s="90" t="str">
        <f t="shared" si="4"/>
        <v/>
      </c>
      <c r="T52" s="91" t="str">
        <f t="shared" si="5"/>
        <v/>
      </c>
      <c r="U52" s="85">
        <f t="shared" si="6"/>
        <v>0</v>
      </c>
    </row>
    <row r="53">
      <c r="A53" s="85">
        <v>51.0</v>
      </c>
      <c r="B53" s="35"/>
      <c r="C53" s="65"/>
      <c r="D53" s="76"/>
      <c r="E53" s="93"/>
      <c r="F53" s="76"/>
      <c r="G53" s="93"/>
      <c r="H53" s="93"/>
      <c r="I53" s="93"/>
      <c r="J53" s="87" t="str">
        <f t="shared" si="1"/>
        <v/>
      </c>
      <c r="K53" s="93"/>
      <c r="L53" s="93"/>
      <c r="M53" s="93"/>
      <c r="N53" s="87" t="str">
        <f t="shared" si="2"/>
        <v/>
      </c>
      <c r="O53" s="93"/>
      <c r="P53" s="93"/>
      <c r="Q53" s="93"/>
      <c r="R53" s="87" t="str">
        <f t="shared" si="3"/>
        <v/>
      </c>
      <c r="S53" s="90" t="str">
        <f t="shared" si="4"/>
        <v/>
      </c>
      <c r="T53" s="91" t="str">
        <f t="shared" si="5"/>
        <v/>
      </c>
      <c r="U53" s="85">
        <f t="shared" si="6"/>
        <v>0</v>
      </c>
    </row>
    <row r="54">
      <c r="A54" s="85">
        <v>52.0</v>
      </c>
      <c r="B54" s="35"/>
      <c r="C54" s="65"/>
      <c r="D54" s="76"/>
      <c r="E54" s="93"/>
      <c r="F54" s="76"/>
      <c r="G54" s="93"/>
      <c r="H54" s="93"/>
      <c r="I54" s="93"/>
      <c r="J54" s="87" t="str">
        <f t="shared" si="1"/>
        <v/>
      </c>
      <c r="K54" s="93"/>
      <c r="L54" s="93"/>
      <c r="M54" s="93"/>
      <c r="N54" s="87" t="str">
        <f t="shared" si="2"/>
        <v/>
      </c>
      <c r="O54" s="93"/>
      <c r="P54" s="93"/>
      <c r="Q54" s="93"/>
      <c r="R54" s="87" t="str">
        <f t="shared" si="3"/>
        <v/>
      </c>
      <c r="S54" s="90" t="str">
        <f t="shared" si="4"/>
        <v/>
      </c>
      <c r="T54" s="91" t="str">
        <f t="shared" si="5"/>
        <v/>
      </c>
      <c r="U54" s="85">
        <f t="shared" si="6"/>
        <v>0</v>
      </c>
    </row>
    <row r="55">
      <c r="A55" s="85">
        <v>53.0</v>
      </c>
      <c r="B55" s="35"/>
      <c r="C55" s="65"/>
      <c r="D55" s="76"/>
      <c r="E55" s="93"/>
      <c r="F55" s="76"/>
      <c r="G55" s="93"/>
      <c r="H55" s="93"/>
      <c r="I55" s="93"/>
      <c r="J55" s="87" t="str">
        <f t="shared" si="1"/>
        <v/>
      </c>
      <c r="K55" s="93"/>
      <c r="L55" s="93"/>
      <c r="M55" s="93"/>
      <c r="N55" s="87" t="str">
        <f t="shared" si="2"/>
        <v/>
      </c>
      <c r="O55" s="93"/>
      <c r="P55" s="93"/>
      <c r="Q55" s="93"/>
      <c r="R55" s="87" t="str">
        <f t="shared" si="3"/>
        <v/>
      </c>
      <c r="S55" s="90" t="str">
        <f t="shared" si="4"/>
        <v/>
      </c>
      <c r="T55" s="91" t="str">
        <f t="shared" si="5"/>
        <v/>
      </c>
      <c r="U55" s="85">
        <f t="shared" si="6"/>
        <v>0</v>
      </c>
    </row>
    <row r="56">
      <c r="A56" s="85">
        <v>54.0</v>
      </c>
      <c r="B56" s="35"/>
      <c r="C56" s="65"/>
      <c r="D56" s="76"/>
      <c r="E56" s="93"/>
      <c r="F56" s="76"/>
      <c r="G56" s="93"/>
      <c r="H56" s="93"/>
      <c r="I56" s="93"/>
      <c r="J56" s="87" t="str">
        <f t="shared" si="1"/>
        <v/>
      </c>
      <c r="K56" s="93"/>
      <c r="L56" s="93"/>
      <c r="M56" s="93"/>
      <c r="N56" s="87" t="str">
        <f t="shared" si="2"/>
        <v/>
      </c>
      <c r="O56" s="93"/>
      <c r="P56" s="93"/>
      <c r="Q56" s="93"/>
      <c r="R56" s="87" t="str">
        <f t="shared" si="3"/>
        <v/>
      </c>
      <c r="S56" s="90" t="str">
        <f t="shared" si="4"/>
        <v/>
      </c>
      <c r="T56" s="91" t="str">
        <f t="shared" si="5"/>
        <v/>
      </c>
      <c r="U56" s="85">
        <f t="shared" si="6"/>
        <v>0</v>
      </c>
    </row>
    <row r="57">
      <c r="A57" s="85">
        <v>55.0</v>
      </c>
      <c r="B57" s="35"/>
      <c r="C57" s="65"/>
      <c r="D57" s="76"/>
      <c r="E57" s="93"/>
      <c r="F57" s="76"/>
      <c r="G57" s="93"/>
      <c r="H57" s="93"/>
      <c r="I57" s="93"/>
      <c r="J57" s="87" t="str">
        <f t="shared" si="1"/>
        <v/>
      </c>
      <c r="K57" s="93"/>
      <c r="L57" s="93"/>
      <c r="M57" s="93"/>
      <c r="N57" s="87" t="str">
        <f t="shared" si="2"/>
        <v/>
      </c>
      <c r="O57" s="93"/>
      <c r="P57" s="93"/>
      <c r="Q57" s="93"/>
      <c r="R57" s="87" t="str">
        <f t="shared" si="3"/>
        <v/>
      </c>
      <c r="S57" s="90" t="str">
        <f t="shared" si="4"/>
        <v/>
      </c>
      <c r="T57" s="91" t="str">
        <f t="shared" si="5"/>
        <v/>
      </c>
      <c r="U57" s="85">
        <f t="shared" si="6"/>
        <v>0</v>
      </c>
    </row>
    <row r="58">
      <c r="A58" s="85">
        <v>56.0</v>
      </c>
      <c r="B58" s="35"/>
      <c r="C58" s="65"/>
      <c r="D58" s="76"/>
      <c r="E58" s="93"/>
      <c r="F58" s="76"/>
      <c r="G58" s="93"/>
      <c r="H58" s="93"/>
      <c r="I58" s="93"/>
      <c r="J58" s="87" t="str">
        <f t="shared" si="1"/>
        <v/>
      </c>
      <c r="K58" s="93"/>
      <c r="L58" s="93"/>
      <c r="M58" s="93"/>
      <c r="N58" s="87" t="str">
        <f t="shared" si="2"/>
        <v/>
      </c>
      <c r="O58" s="93"/>
      <c r="P58" s="93"/>
      <c r="Q58" s="93"/>
      <c r="R58" s="87" t="str">
        <f t="shared" si="3"/>
        <v/>
      </c>
      <c r="S58" s="90" t="str">
        <f t="shared" si="4"/>
        <v/>
      </c>
      <c r="T58" s="91" t="str">
        <f t="shared" si="5"/>
        <v/>
      </c>
      <c r="U58" s="85">
        <f t="shared" si="6"/>
        <v>0</v>
      </c>
    </row>
    <row r="59">
      <c r="A59" s="85">
        <v>57.0</v>
      </c>
      <c r="B59" s="35"/>
      <c r="C59" s="65"/>
      <c r="D59" s="76"/>
      <c r="E59" s="93"/>
      <c r="F59" s="76"/>
      <c r="G59" s="93"/>
      <c r="H59" s="93"/>
      <c r="I59" s="93"/>
      <c r="J59" s="87" t="str">
        <f t="shared" si="1"/>
        <v/>
      </c>
      <c r="K59" s="93"/>
      <c r="L59" s="93"/>
      <c r="M59" s="93"/>
      <c r="N59" s="87" t="str">
        <f t="shared" si="2"/>
        <v/>
      </c>
      <c r="O59" s="93"/>
      <c r="P59" s="93"/>
      <c r="Q59" s="93"/>
      <c r="R59" s="87" t="str">
        <f t="shared" si="3"/>
        <v/>
      </c>
      <c r="S59" s="90" t="str">
        <f t="shared" si="4"/>
        <v/>
      </c>
      <c r="T59" s="91" t="str">
        <f t="shared" si="5"/>
        <v/>
      </c>
      <c r="U59" s="85">
        <f t="shared" si="6"/>
        <v>0</v>
      </c>
    </row>
    <row r="60">
      <c r="A60" s="85">
        <v>58.0</v>
      </c>
      <c r="B60" s="35"/>
      <c r="C60" s="65"/>
      <c r="D60" s="76"/>
      <c r="E60" s="93"/>
      <c r="F60" s="76"/>
      <c r="G60" s="93"/>
      <c r="H60" s="93"/>
      <c r="I60" s="93"/>
      <c r="J60" s="87" t="str">
        <f t="shared" si="1"/>
        <v/>
      </c>
      <c r="K60" s="93"/>
      <c r="L60" s="93"/>
      <c r="M60" s="93"/>
      <c r="N60" s="87" t="str">
        <f t="shared" si="2"/>
        <v/>
      </c>
      <c r="O60" s="93"/>
      <c r="P60" s="93"/>
      <c r="Q60" s="93"/>
      <c r="R60" s="87" t="str">
        <f t="shared" si="3"/>
        <v/>
      </c>
      <c r="S60" s="90" t="str">
        <f t="shared" si="4"/>
        <v/>
      </c>
      <c r="T60" s="91" t="str">
        <f t="shared" si="5"/>
        <v/>
      </c>
      <c r="U60" s="85">
        <f t="shared" si="6"/>
        <v>0</v>
      </c>
    </row>
    <row r="61">
      <c r="A61" s="85">
        <v>59.0</v>
      </c>
      <c r="B61" s="35"/>
      <c r="C61" s="65"/>
      <c r="D61" s="76"/>
      <c r="E61" s="93"/>
      <c r="F61" s="76"/>
      <c r="G61" s="93"/>
      <c r="H61" s="93"/>
      <c r="I61" s="93"/>
      <c r="J61" s="87" t="str">
        <f t="shared" si="1"/>
        <v/>
      </c>
      <c r="K61" s="93"/>
      <c r="L61" s="93"/>
      <c r="M61" s="93"/>
      <c r="N61" s="87" t="str">
        <f t="shared" si="2"/>
        <v/>
      </c>
      <c r="O61" s="93"/>
      <c r="P61" s="93"/>
      <c r="Q61" s="93"/>
      <c r="R61" s="87" t="str">
        <f t="shared" si="3"/>
        <v/>
      </c>
      <c r="S61" s="90" t="str">
        <f t="shared" si="4"/>
        <v/>
      </c>
      <c r="T61" s="91" t="str">
        <f t="shared" si="5"/>
        <v/>
      </c>
      <c r="U61" s="85">
        <f t="shared" si="6"/>
        <v>0</v>
      </c>
    </row>
    <row r="62">
      <c r="A62" s="85">
        <v>60.0</v>
      </c>
      <c r="B62" s="35"/>
      <c r="C62" s="65"/>
      <c r="D62" s="76"/>
      <c r="E62" s="93"/>
      <c r="F62" s="76"/>
      <c r="G62" s="93"/>
      <c r="H62" s="93"/>
      <c r="I62" s="93"/>
      <c r="J62" s="87" t="str">
        <f t="shared" si="1"/>
        <v/>
      </c>
      <c r="K62" s="93"/>
      <c r="L62" s="93"/>
      <c r="M62" s="93"/>
      <c r="N62" s="87" t="str">
        <f t="shared" si="2"/>
        <v/>
      </c>
      <c r="O62" s="93"/>
      <c r="P62" s="93"/>
      <c r="Q62" s="93"/>
      <c r="R62" s="87" t="str">
        <f t="shared" si="3"/>
        <v/>
      </c>
      <c r="S62" s="90" t="str">
        <f t="shared" si="4"/>
        <v/>
      </c>
      <c r="T62" s="91" t="str">
        <f t="shared" si="5"/>
        <v/>
      </c>
      <c r="U62" s="85">
        <f t="shared" si="6"/>
        <v>0</v>
      </c>
    </row>
    <row r="63">
      <c r="A63" s="85">
        <v>61.0</v>
      </c>
      <c r="B63" s="35"/>
      <c r="C63" s="65"/>
      <c r="D63" s="76"/>
      <c r="E63" s="93"/>
      <c r="F63" s="76"/>
      <c r="G63" s="93"/>
      <c r="H63" s="93"/>
      <c r="I63" s="93"/>
      <c r="J63" s="87" t="str">
        <f t="shared" si="1"/>
        <v/>
      </c>
      <c r="K63" s="93"/>
      <c r="L63" s="93"/>
      <c r="M63" s="93"/>
      <c r="N63" s="87" t="str">
        <f t="shared" si="2"/>
        <v/>
      </c>
      <c r="O63" s="93"/>
      <c r="P63" s="93"/>
      <c r="Q63" s="93"/>
      <c r="R63" s="87" t="str">
        <f t="shared" si="3"/>
        <v/>
      </c>
      <c r="S63" s="90" t="str">
        <f t="shared" si="4"/>
        <v/>
      </c>
      <c r="T63" s="91" t="str">
        <f t="shared" si="5"/>
        <v/>
      </c>
      <c r="U63" s="85">
        <f t="shared" si="6"/>
        <v>0</v>
      </c>
    </row>
    <row r="64">
      <c r="A64" s="85">
        <v>62.0</v>
      </c>
      <c r="B64" s="35"/>
      <c r="C64" s="65"/>
      <c r="D64" s="76"/>
      <c r="E64" s="93"/>
      <c r="F64" s="76"/>
      <c r="G64" s="93"/>
      <c r="H64" s="93"/>
      <c r="I64" s="93"/>
      <c r="J64" s="87" t="str">
        <f t="shared" si="1"/>
        <v/>
      </c>
      <c r="K64" s="93"/>
      <c r="L64" s="93"/>
      <c r="M64" s="93"/>
      <c r="N64" s="87" t="str">
        <f t="shared" si="2"/>
        <v/>
      </c>
      <c r="O64" s="93"/>
      <c r="P64" s="93"/>
      <c r="Q64" s="93"/>
      <c r="R64" s="87" t="str">
        <f t="shared" si="3"/>
        <v/>
      </c>
      <c r="S64" s="90" t="str">
        <f t="shared" si="4"/>
        <v/>
      </c>
      <c r="T64" s="91" t="str">
        <f t="shared" si="5"/>
        <v/>
      </c>
      <c r="U64" s="85">
        <f t="shared" si="6"/>
        <v>0</v>
      </c>
    </row>
    <row r="65">
      <c r="A65" s="85">
        <v>63.0</v>
      </c>
      <c r="B65" s="35"/>
      <c r="C65" s="65"/>
      <c r="D65" s="76"/>
      <c r="E65" s="93"/>
      <c r="F65" s="76"/>
      <c r="G65" s="93"/>
      <c r="H65" s="93"/>
      <c r="I65" s="93"/>
      <c r="J65" s="87" t="str">
        <f t="shared" si="1"/>
        <v/>
      </c>
      <c r="K65" s="93"/>
      <c r="L65" s="93"/>
      <c r="M65" s="93"/>
      <c r="N65" s="87" t="str">
        <f t="shared" si="2"/>
        <v/>
      </c>
      <c r="O65" s="93"/>
      <c r="P65" s="93"/>
      <c r="Q65" s="93"/>
      <c r="R65" s="87" t="str">
        <f t="shared" si="3"/>
        <v/>
      </c>
      <c r="S65" s="90" t="str">
        <f t="shared" si="4"/>
        <v/>
      </c>
      <c r="T65" s="91" t="str">
        <f t="shared" si="5"/>
        <v/>
      </c>
      <c r="U65" s="85">
        <f t="shared" si="6"/>
        <v>0</v>
      </c>
    </row>
    <row r="66">
      <c r="A66" s="85">
        <v>64.0</v>
      </c>
      <c r="B66" s="35"/>
      <c r="C66" s="65"/>
      <c r="D66" s="76"/>
      <c r="E66" s="93"/>
      <c r="F66" s="76"/>
      <c r="G66" s="93"/>
      <c r="H66" s="93"/>
      <c r="I66" s="93"/>
      <c r="J66" s="87" t="str">
        <f t="shared" si="1"/>
        <v/>
      </c>
      <c r="K66" s="93"/>
      <c r="L66" s="93"/>
      <c r="M66" s="93"/>
      <c r="N66" s="87" t="str">
        <f t="shared" si="2"/>
        <v/>
      </c>
      <c r="O66" s="93"/>
      <c r="P66" s="93"/>
      <c r="Q66" s="93"/>
      <c r="R66" s="87" t="str">
        <f t="shared" si="3"/>
        <v/>
      </c>
      <c r="S66" s="90" t="str">
        <f t="shared" si="4"/>
        <v/>
      </c>
      <c r="T66" s="91" t="str">
        <f t="shared" si="5"/>
        <v/>
      </c>
      <c r="U66" s="85">
        <f t="shared" si="6"/>
        <v>0</v>
      </c>
    </row>
    <row r="67">
      <c r="A67" s="85">
        <v>65.0</v>
      </c>
      <c r="B67" s="35"/>
      <c r="C67" s="65"/>
      <c r="D67" s="76"/>
      <c r="E67" s="93"/>
      <c r="F67" s="76"/>
      <c r="G67" s="93"/>
      <c r="H67" s="93"/>
      <c r="I67" s="93"/>
      <c r="J67" s="87" t="str">
        <f t="shared" si="1"/>
        <v/>
      </c>
      <c r="K67" s="93"/>
      <c r="L67" s="93"/>
      <c r="M67" s="93"/>
      <c r="N67" s="87" t="str">
        <f t="shared" si="2"/>
        <v/>
      </c>
      <c r="O67" s="93"/>
      <c r="P67" s="93"/>
      <c r="Q67" s="93"/>
      <c r="R67" s="87" t="str">
        <f t="shared" si="3"/>
        <v/>
      </c>
      <c r="S67" s="90" t="str">
        <f t="shared" si="4"/>
        <v/>
      </c>
      <c r="T67" s="91" t="str">
        <f t="shared" si="5"/>
        <v/>
      </c>
      <c r="U67" s="85">
        <f t="shared" si="6"/>
        <v>0</v>
      </c>
    </row>
    <row r="68">
      <c r="A68" s="85">
        <v>66.0</v>
      </c>
      <c r="B68" s="35"/>
      <c r="C68" s="65"/>
      <c r="D68" s="76"/>
      <c r="E68" s="93"/>
      <c r="F68" s="76"/>
      <c r="G68" s="93"/>
      <c r="H68" s="93"/>
      <c r="I68" s="93"/>
      <c r="J68" s="87" t="str">
        <f t="shared" si="1"/>
        <v/>
      </c>
      <c r="K68" s="93"/>
      <c r="L68" s="93"/>
      <c r="M68" s="93"/>
      <c r="N68" s="87" t="str">
        <f t="shared" si="2"/>
        <v/>
      </c>
      <c r="O68" s="93"/>
      <c r="P68" s="93"/>
      <c r="Q68" s="93"/>
      <c r="R68" s="87" t="str">
        <f t="shared" si="3"/>
        <v/>
      </c>
      <c r="S68" s="90" t="str">
        <f t="shared" si="4"/>
        <v/>
      </c>
      <c r="T68" s="91" t="str">
        <f t="shared" si="5"/>
        <v/>
      </c>
      <c r="U68" s="85">
        <f t="shared" si="6"/>
        <v>0</v>
      </c>
    </row>
    <row r="69">
      <c r="A69" s="85">
        <v>67.0</v>
      </c>
      <c r="B69" s="35"/>
      <c r="C69" s="65"/>
      <c r="D69" s="76"/>
      <c r="E69" s="93"/>
      <c r="F69" s="76"/>
      <c r="G69" s="93"/>
      <c r="H69" s="93"/>
      <c r="I69" s="93"/>
      <c r="J69" s="87" t="str">
        <f t="shared" si="1"/>
        <v/>
      </c>
      <c r="K69" s="93"/>
      <c r="L69" s="93"/>
      <c r="M69" s="93"/>
      <c r="N69" s="87" t="str">
        <f t="shared" si="2"/>
        <v/>
      </c>
      <c r="O69" s="93"/>
      <c r="P69" s="93"/>
      <c r="Q69" s="93"/>
      <c r="R69" s="87" t="str">
        <f t="shared" si="3"/>
        <v/>
      </c>
      <c r="S69" s="90" t="str">
        <f t="shared" si="4"/>
        <v/>
      </c>
      <c r="T69" s="91" t="str">
        <f t="shared" si="5"/>
        <v/>
      </c>
      <c r="U69" s="85">
        <f t="shared" si="6"/>
        <v>0</v>
      </c>
    </row>
    <row r="70">
      <c r="A70" s="85">
        <v>68.0</v>
      </c>
      <c r="B70" s="35"/>
      <c r="C70" s="65"/>
      <c r="D70" s="76"/>
      <c r="E70" s="93"/>
      <c r="F70" s="76"/>
      <c r="G70" s="93"/>
      <c r="H70" s="93"/>
      <c r="I70" s="93"/>
      <c r="J70" s="87" t="str">
        <f t="shared" si="1"/>
        <v/>
      </c>
      <c r="K70" s="93"/>
      <c r="L70" s="93"/>
      <c r="M70" s="93"/>
      <c r="N70" s="87" t="str">
        <f t="shared" si="2"/>
        <v/>
      </c>
      <c r="O70" s="93"/>
      <c r="P70" s="93"/>
      <c r="Q70" s="93"/>
      <c r="R70" s="87" t="str">
        <f t="shared" si="3"/>
        <v/>
      </c>
      <c r="S70" s="90" t="str">
        <f t="shared" si="4"/>
        <v/>
      </c>
      <c r="T70" s="91" t="str">
        <f t="shared" si="5"/>
        <v/>
      </c>
      <c r="U70" s="85">
        <f t="shared" si="6"/>
        <v>0</v>
      </c>
    </row>
    <row r="71">
      <c r="A71" s="85">
        <v>69.0</v>
      </c>
      <c r="B71" s="35"/>
      <c r="C71" s="65"/>
      <c r="D71" s="76"/>
      <c r="E71" s="93"/>
      <c r="F71" s="76"/>
      <c r="G71" s="93"/>
      <c r="H71" s="85"/>
      <c r="I71" s="93"/>
      <c r="J71" s="87" t="str">
        <f t="shared" si="1"/>
        <v/>
      </c>
      <c r="K71" s="93"/>
      <c r="L71" s="93"/>
      <c r="M71" s="93"/>
      <c r="N71" s="87" t="str">
        <f t="shared" si="2"/>
        <v/>
      </c>
      <c r="O71" s="93"/>
      <c r="P71" s="93"/>
      <c r="Q71" s="93"/>
      <c r="R71" s="87" t="str">
        <f t="shared" si="3"/>
        <v/>
      </c>
      <c r="S71" s="90" t="str">
        <f t="shared" si="4"/>
        <v/>
      </c>
      <c r="T71" s="91" t="str">
        <f t="shared" si="5"/>
        <v/>
      </c>
      <c r="U71" s="85">
        <f t="shared" si="6"/>
        <v>0</v>
      </c>
    </row>
    <row r="72">
      <c r="A72" s="85">
        <v>70.0</v>
      </c>
      <c r="B72" s="35"/>
      <c r="C72" s="65"/>
      <c r="D72" s="76"/>
      <c r="E72" s="93"/>
      <c r="F72" s="76"/>
      <c r="G72" s="93"/>
      <c r="H72" s="93"/>
      <c r="I72" s="93"/>
      <c r="J72" s="87" t="str">
        <f t="shared" si="1"/>
        <v/>
      </c>
      <c r="K72" s="93"/>
      <c r="L72" s="93"/>
      <c r="M72" s="93"/>
      <c r="N72" s="87" t="str">
        <f t="shared" si="2"/>
        <v/>
      </c>
      <c r="O72" s="93"/>
      <c r="P72" s="93"/>
      <c r="Q72" s="93"/>
      <c r="R72" s="87" t="str">
        <f t="shared" si="3"/>
        <v/>
      </c>
      <c r="S72" s="90" t="str">
        <f t="shared" si="4"/>
        <v/>
      </c>
      <c r="T72" s="91" t="str">
        <f t="shared" si="5"/>
        <v/>
      </c>
      <c r="U72" s="85">
        <f t="shared" si="6"/>
        <v>0</v>
      </c>
    </row>
    <row r="73">
      <c r="A73" s="85">
        <v>71.0</v>
      </c>
      <c r="B73" s="35"/>
      <c r="C73" s="65"/>
      <c r="D73" s="76"/>
      <c r="E73" s="93"/>
      <c r="F73" s="76"/>
      <c r="G73" s="93"/>
      <c r="H73" s="93"/>
      <c r="I73" s="93"/>
      <c r="J73" s="87" t="str">
        <f t="shared" si="1"/>
        <v/>
      </c>
      <c r="K73" s="93"/>
      <c r="L73" s="93"/>
      <c r="M73" s="93"/>
      <c r="N73" s="87" t="str">
        <f t="shared" si="2"/>
        <v/>
      </c>
      <c r="O73" s="93"/>
      <c r="P73" s="93"/>
      <c r="Q73" s="93"/>
      <c r="R73" s="87" t="str">
        <f t="shared" si="3"/>
        <v/>
      </c>
      <c r="S73" s="90" t="str">
        <f t="shared" si="4"/>
        <v/>
      </c>
      <c r="T73" s="91" t="str">
        <f t="shared" si="5"/>
        <v/>
      </c>
      <c r="U73" s="85">
        <f t="shared" si="6"/>
        <v>0</v>
      </c>
    </row>
    <row r="74">
      <c r="A74" s="85">
        <v>72.0</v>
      </c>
      <c r="B74" s="35"/>
      <c r="C74" s="65"/>
      <c r="D74" s="76"/>
      <c r="E74" s="93"/>
      <c r="F74" s="76"/>
      <c r="G74" s="93"/>
      <c r="H74" s="93"/>
      <c r="I74" s="93"/>
      <c r="J74" s="87" t="str">
        <f t="shared" si="1"/>
        <v/>
      </c>
      <c r="K74" s="93"/>
      <c r="L74" s="93"/>
      <c r="M74" s="93"/>
      <c r="N74" s="87" t="str">
        <f t="shared" si="2"/>
        <v/>
      </c>
      <c r="O74" s="93"/>
      <c r="P74" s="93"/>
      <c r="Q74" s="93"/>
      <c r="R74" s="87" t="str">
        <f t="shared" si="3"/>
        <v/>
      </c>
      <c r="S74" s="90" t="str">
        <f t="shared" si="4"/>
        <v/>
      </c>
      <c r="T74" s="91" t="str">
        <f t="shared" si="5"/>
        <v/>
      </c>
      <c r="U74" s="85">
        <f t="shared" si="6"/>
        <v>0</v>
      </c>
    </row>
    <row r="75">
      <c r="A75" s="85">
        <v>73.0</v>
      </c>
      <c r="B75" s="35"/>
      <c r="C75" s="65"/>
      <c r="D75" s="76"/>
      <c r="E75" s="93"/>
      <c r="F75" s="76"/>
      <c r="G75" s="93"/>
      <c r="H75" s="93"/>
      <c r="I75" s="93"/>
      <c r="J75" s="87" t="str">
        <f t="shared" si="1"/>
        <v/>
      </c>
      <c r="K75" s="93"/>
      <c r="L75" s="93"/>
      <c r="M75" s="93"/>
      <c r="N75" s="87" t="str">
        <f t="shared" si="2"/>
        <v/>
      </c>
      <c r="O75" s="93"/>
      <c r="P75" s="93"/>
      <c r="Q75" s="93"/>
      <c r="R75" s="87" t="str">
        <f t="shared" si="3"/>
        <v/>
      </c>
      <c r="S75" s="90" t="str">
        <f t="shared" si="4"/>
        <v/>
      </c>
      <c r="T75" s="91" t="str">
        <f t="shared" si="5"/>
        <v/>
      </c>
      <c r="U75" s="85">
        <f t="shared" si="6"/>
        <v>0</v>
      </c>
    </row>
    <row r="76">
      <c r="A76" s="85">
        <v>74.0</v>
      </c>
      <c r="B76" s="35"/>
      <c r="C76" s="65"/>
      <c r="D76" s="76"/>
      <c r="E76" s="93"/>
      <c r="F76" s="76"/>
      <c r="G76" s="93"/>
      <c r="H76" s="93"/>
      <c r="I76" s="93"/>
      <c r="J76" s="87" t="str">
        <f t="shared" si="1"/>
        <v/>
      </c>
      <c r="K76" s="93"/>
      <c r="L76" s="93"/>
      <c r="M76" s="93"/>
      <c r="N76" s="87" t="str">
        <f t="shared" si="2"/>
        <v/>
      </c>
      <c r="O76" s="93"/>
      <c r="P76" s="93"/>
      <c r="Q76" s="93"/>
      <c r="R76" s="87" t="str">
        <f t="shared" si="3"/>
        <v/>
      </c>
      <c r="S76" s="90" t="str">
        <f t="shared" si="4"/>
        <v/>
      </c>
      <c r="T76" s="91" t="str">
        <f t="shared" si="5"/>
        <v/>
      </c>
      <c r="U76" s="85">
        <f t="shared" si="6"/>
        <v>0</v>
      </c>
    </row>
    <row r="77">
      <c r="A77" s="85">
        <v>75.0</v>
      </c>
      <c r="B77" s="35"/>
      <c r="C77" s="65"/>
      <c r="D77" s="76"/>
      <c r="E77" s="93"/>
      <c r="F77" s="76"/>
      <c r="G77" s="93"/>
      <c r="H77" s="93"/>
      <c r="I77" s="93"/>
      <c r="J77" s="87" t="str">
        <f t="shared" si="1"/>
        <v/>
      </c>
      <c r="K77" s="93"/>
      <c r="L77" s="93"/>
      <c r="M77" s="93"/>
      <c r="N77" s="87" t="str">
        <f t="shared" si="2"/>
        <v/>
      </c>
      <c r="O77" s="93"/>
      <c r="P77" s="93"/>
      <c r="Q77" s="93"/>
      <c r="R77" s="87" t="str">
        <f t="shared" si="3"/>
        <v/>
      </c>
      <c r="S77" s="90" t="str">
        <f t="shared" si="4"/>
        <v/>
      </c>
      <c r="T77" s="91" t="str">
        <f t="shared" si="5"/>
        <v/>
      </c>
      <c r="U77" s="85">
        <f t="shared" si="6"/>
        <v>0</v>
      </c>
    </row>
  </sheetData>
  <autoFilter ref="$B$2:$T$77"/>
  <customSheetViews>
    <customSheetView guid="{B0C17AAF-6872-48F8-A58E-565BF6C8DB27}" filter="1" showAutoFilter="1">
      <autoFilter ref="$C$2:$T$52"/>
    </customSheetView>
  </customSheetViews>
  <mergeCells count="3">
    <mergeCell ref="K1:N1"/>
    <mergeCell ref="O1:R1"/>
    <mergeCell ref="G1:J1"/>
  </mergeCells>
  <conditionalFormatting sqref="G3:I77 K3:M77 O3:Q77">
    <cfRule type="endsWith" dxfId="2" priority="1" operator="endsWith" text="g">
      <formula>RIGHT((G3),LEN("g"))=("g")</formula>
    </cfRule>
  </conditionalFormatting>
  <conditionalFormatting sqref="G3:I77 K3:M77 O3:Q77">
    <cfRule type="endsWith" dxfId="1" priority="2" operator="endsWith" text="x">
      <formula>RIGHT((G3),LEN("x"))=("x")</formula>
    </cfRule>
  </conditionalFormatting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tabColor rgb="FF000000"/>
    <outlinePr summaryBelow="0" summaryRight="0"/>
  </sheetPr>
  <sheetViews>
    <sheetView workbookViewId="0">
      <pane xSplit="6.0" ySplit="2.0" topLeftCell="G3" activePane="bottomRight" state="frozen"/>
      <selection activeCell="G1" sqref="G1" pane="topRight"/>
      <selection activeCell="A3" sqref="A3" pane="bottomLeft"/>
      <selection activeCell="G3" sqref="G3" pane="bottomRight"/>
    </sheetView>
  </sheetViews>
  <sheetFormatPr customHeight="1" defaultColWidth="14.43" defaultRowHeight="15.75"/>
  <cols>
    <col customWidth="1" min="1" max="1" width="3.57"/>
    <col customWidth="1" min="2" max="2" width="10.29"/>
    <col customWidth="1" min="3" max="3" width="6.86"/>
    <col customWidth="1" min="4" max="4" width="14.71"/>
    <col customWidth="1" min="5" max="5" width="7.57"/>
    <col customWidth="1" min="6" max="6" width="18.29"/>
    <col customWidth="1" min="7" max="18" width="5.71"/>
    <col customWidth="1" min="19" max="19" width="9.86"/>
    <col customWidth="1" min="20" max="20" width="11.0"/>
    <col customWidth="1" hidden="1" min="21" max="21" width="11.0"/>
  </cols>
  <sheetData>
    <row r="1">
      <c r="A1" s="14"/>
      <c r="B1" s="16" t="s">
        <v>19</v>
      </c>
      <c r="C1" s="16" t="s">
        <v>135</v>
      </c>
      <c r="D1" s="57" t="s">
        <v>22</v>
      </c>
      <c r="E1" s="57" t="s">
        <v>23</v>
      </c>
      <c r="F1" s="57" t="s">
        <v>25</v>
      </c>
      <c r="G1" s="57" t="s">
        <v>115</v>
      </c>
      <c r="K1" s="57" t="s">
        <v>116</v>
      </c>
      <c r="O1" s="57" t="s">
        <v>117</v>
      </c>
      <c r="S1" s="57" t="s">
        <v>118</v>
      </c>
      <c r="T1" s="57" t="s">
        <v>119</v>
      </c>
      <c r="U1" s="57"/>
    </row>
    <row r="2">
      <c r="A2" s="81"/>
      <c r="B2" s="83" t="s">
        <v>19</v>
      </c>
      <c r="C2" s="83" t="s">
        <v>135</v>
      </c>
      <c r="D2" s="83" t="s">
        <v>22</v>
      </c>
      <c r="E2" s="84" t="s">
        <v>23</v>
      </c>
      <c r="F2" s="83" t="s">
        <v>25</v>
      </c>
      <c r="G2" s="83" t="s">
        <v>136</v>
      </c>
      <c r="H2" s="83" t="s">
        <v>137</v>
      </c>
      <c r="I2" s="83" t="s">
        <v>138</v>
      </c>
      <c r="J2" s="83" t="s">
        <v>139</v>
      </c>
      <c r="K2" s="83" t="s">
        <v>140</v>
      </c>
      <c r="L2" s="83" t="s">
        <v>141</v>
      </c>
      <c r="M2" s="83" t="s">
        <v>142</v>
      </c>
      <c r="N2" s="83" t="s">
        <v>143</v>
      </c>
      <c r="O2" s="83" t="s">
        <v>144</v>
      </c>
      <c r="P2" s="83" t="s">
        <v>145</v>
      </c>
      <c r="Q2" s="83" t="s">
        <v>146</v>
      </c>
      <c r="R2" s="83" t="s">
        <v>147</v>
      </c>
      <c r="S2" s="83"/>
      <c r="T2" s="84" t="s">
        <v>119</v>
      </c>
      <c r="U2" s="84"/>
    </row>
    <row r="3">
      <c r="A3" s="85">
        <v>1.0</v>
      </c>
      <c r="B3" s="35"/>
      <c r="C3" s="35"/>
      <c r="D3" s="86"/>
      <c r="E3" s="35"/>
      <c r="F3" s="86"/>
      <c r="G3" s="35"/>
      <c r="H3" s="85"/>
      <c r="I3" s="85"/>
      <c r="J3" s="87" t="str">
        <f t="shared" ref="J3:J77" si="1">IFERROR(__xludf.DUMMYFUNCTION("if(isblank(B3),,Max(if(right(G3,1)=""g"",split(G3,""g""),),if(right(H3,1)=""g"",split(H3,""g""),),if(right(I3,1)=""g"",split(I3,""g""),)))"),"")</f>
        <v/>
      </c>
      <c r="K3" s="35"/>
      <c r="L3" s="88"/>
      <c r="M3" s="88"/>
      <c r="N3" s="87" t="str">
        <f t="shared" ref="N3:N77" si="2">IFERROR(__xludf.DUMMYFUNCTION("if(isblank($B3),,Max(if(right(K3,1)=""g"",split(K3,""g""),),if(right(L3,1)=""g"",split(L3,""g""),),if(right(M3,1)=""g"",split(M3,""g""),)))"),"")</f>
        <v/>
      </c>
      <c r="O3" s="35"/>
      <c r="P3" s="88"/>
      <c r="Q3" s="88"/>
      <c r="R3" s="87" t="str">
        <f t="shared" ref="R3:R77" si="3">IFERROR(__xludf.DUMMYFUNCTION("if(isblank($B3),,Max(if(right(O3,1)=""g"",split(O3,""g""),),if(right(P3,1)=""g"",split(P3,""g""),),if(right(Q3,1)=""g"",split(Q3,""g""),)))"),"")</f>
        <v/>
      </c>
      <c r="S3" s="90" t="str">
        <f t="shared" ref="S3:S77" si="4">if(isblank(F3),,if(or(and(right(G3,1)="x",right(H3,1)="x",right(I3,1)="x"),and(right(K3,1)="x",right(L3,1)="x",right(M3,1)="x"),and(right(O3,1)="x",right(P3,1)="x",right(Q3,1)="x")),0,J3+N3+R3))</f>
        <v/>
      </c>
      <c r="T3" s="91" t="str">
        <f t="shared" ref="T3:T77" si="5">if(isblank(E3),,S3/E3)</f>
        <v/>
      </c>
      <c r="U3" s="85">
        <f t="shared" ref="U3:U77" si="6">countif(G3:Q3,"*g")</f>
        <v>0</v>
      </c>
    </row>
    <row r="4">
      <c r="A4" s="85">
        <v>2.0</v>
      </c>
      <c r="B4" s="35"/>
      <c r="C4" s="35"/>
      <c r="D4" s="86"/>
      <c r="E4" s="35"/>
      <c r="F4" s="86"/>
      <c r="G4" s="35"/>
      <c r="H4" s="85"/>
      <c r="I4" s="85"/>
      <c r="J4" s="87" t="str">
        <f t="shared" si="1"/>
        <v/>
      </c>
      <c r="K4" s="35"/>
      <c r="L4" s="88"/>
      <c r="M4" s="88"/>
      <c r="N4" s="87" t="str">
        <f t="shared" si="2"/>
        <v/>
      </c>
      <c r="O4" s="35"/>
      <c r="P4" s="88"/>
      <c r="Q4" s="88"/>
      <c r="R4" s="87" t="str">
        <f t="shared" si="3"/>
        <v/>
      </c>
      <c r="S4" s="90" t="str">
        <f t="shared" si="4"/>
        <v/>
      </c>
      <c r="T4" s="91" t="str">
        <f t="shared" si="5"/>
        <v/>
      </c>
      <c r="U4" s="85">
        <f t="shared" si="6"/>
        <v>0</v>
      </c>
    </row>
    <row r="5">
      <c r="A5" s="85">
        <v>3.0</v>
      </c>
      <c r="B5" s="35"/>
      <c r="C5" s="35"/>
      <c r="D5" s="86"/>
      <c r="E5" s="35"/>
      <c r="F5" s="86"/>
      <c r="G5" s="35"/>
      <c r="H5" s="85"/>
      <c r="I5" s="85"/>
      <c r="J5" s="87" t="str">
        <f t="shared" si="1"/>
        <v/>
      </c>
      <c r="K5" s="35"/>
      <c r="L5" s="88"/>
      <c r="M5" s="88"/>
      <c r="N5" s="87" t="str">
        <f t="shared" si="2"/>
        <v/>
      </c>
      <c r="O5" s="35"/>
      <c r="P5" s="88"/>
      <c r="Q5" s="88"/>
      <c r="R5" s="87" t="str">
        <f t="shared" si="3"/>
        <v/>
      </c>
      <c r="S5" s="90" t="str">
        <f t="shared" si="4"/>
        <v/>
      </c>
      <c r="T5" s="91" t="str">
        <f t="shared" si="5"/>
        <v/>
      </c>
      <c r="U5" s="85">
        <f t="shared" si="6"/>
        <v>0</v>
      </c>
    </row>
    <row r="6" ht="16.5" customHeight="1">
      <c r="A6" s="85">
        <v>4.0</v>
      </c>
      <c r="B6" s="35"/>
      <c r="C6" s="35"/>
      <c r="D6" s="86"/>
      <c r="E6" s="35"/>
      <c r="F6" s="86"/>
      <c r="G6" s="35"/>
      <c r="H6" s="85"/>
      <c r="I6" s="85"/>
      <c r="J6" s="87" t="str">
        <f t="shared" si="1"/>
        <v/>
      </c>
      <c r="K6" s="35"/>
      <c r="L6" s="88"/>
      <c r="M6" s="88"/>
      <c r="N6" s="87" t="str">
        <f t="shared" si="2"/>
        <v/>
      </c>
      <c r="O6" s="35"/>
      <c r="P6" s="88"/>
      <c r="Q6" s="88"/>
      <c r="R6" s="87" t="str">
        <f t="shared" si="3"/>
        <v/>
      </c>
      <c r="S6" s="90" t="str">
        <f t="shared" si="4"/>
        <v/>
      </c>
      <c r="T6" s="91" t="str">
        <f t="shared" si="5"/>
        <v/>
      </c>
      <c r="U6" s="85">
        <f t="shared" si="6"/>
        <v>0</v>
      </c>
    </row>
    <row r="7">
      <c r="A7" s="85">
        <v>5.0</v>
      </c>
      <c r="B7" s="35"/>
      <c r="C7" s="35"/>
      <c r="D7" s="86"/>
      <c r="E7" s="35"/>
      <c r="F7" s="86"/>
      <c r="G7" s="35"/>
      <c r="H7" s="85"/>
      <c r="I7" s="85"/>
      <c r="J7" s="87" t="str">
        <f t="shared" si="1"/>
        <v/>
      </c>
      <c r="K7" s="35"/>
      <c r="L7" s="88"/>
      <c r="M7" s="88"/>
      <c r="N7" s="87" t="str">
        <f t="shared" si="2"/>
        <v/>
      </c>
      <c r="O7" s="35"/>
      <c r="P7" s="88"/>
      <c r="Q7" s="88"/>
      <c r="R7" s="87" t="str">
        <f t="shared" si="3"/>
        <v/>
      </c>
      <c r="S7" s="90" t="str">
        <f t="shared" si="4"/>
        <v/>
      </c>
      <c r="T7" s="91" t="str">
        <f t="shared" si="5"/>
        <v/>
      </c>
      <c r="U7" s="85">
        <f t="shared" si="6"/>
        <v>0</v>
      </c>
    </row>
    <row r="8">
      <c r="A8" s="85">
        <v>6.0</v>
      </c>
      <c r="B8" s="35"/>
      <c r="C8" s="35"/>
      <c r="D8" s="86"/>
      <c r="E8" s="35"/>
      <c r="F8" s="86"/>
      <c r="G8" s="35"/>
      <c r="H8" s="85"/>
      <c r="I8" s="89"/>
      <c r="J8" s="87" t="str">
        <f t="shared" si="1"/>
        <v/>
      </c>
      <c r="K8" s="35"/>
      <c r="L8" s="88"/>
      <c r="M8" s="88"/>
      <c r="N8" s="87" t="str">
        <f t="shared" si="2"/>
        <v/>
      </c>
      <c r="O8" s="35"/>
      <c r="P8" s="88"/>
      <c r="Q8" s="88"/>
      <c r="R8" s="87" t="str">
        <f t="shared" si="3"/>
        <v/>
      </c>
      <c r="S8" s="90" t="str">
        <f t="shared" si="4"/>
        <v/>
      </c>
      <c r="T8" s="91" t="str">
        <f t="shared" si="5"/>
        <v/>
      </c>
      <c r="U8" s="85">
        <f t="shared" si="6"/>
        <v>0</v>
      </c>
    </row>
    <row r="9">
      <c r="A9" s="85">
        <v>7.0</v>
      </c>
      <c r="B9" s="35"/>
      <c r="C9" s="35"/>
      <c r="D9" s="86"/>
      <c r="E9" s="35"/>
      <c r="F9" s="86"/>
      <c r="G9" s="35"/>
      <c r="H9" s="85"/>
      <c r="I9" s="85"/>
      <c r="J9" s="87" t="str">
        <f t="shared" si="1"/>
        <v/>
      </c>
      <c r="K9" s="35"/>
      <c r="L9" s="88"/>
      <c r="M9" s="88"/>
      <c r="N9" s="87" t="str">
        <f t="shared" si="2"/>
        <v/>
      </c>
      <c r="O9" s="35"/>
      <c r="P9" s="88"/>
      <c r="Q9" s="88"/>
      <c r="R9" s="87" t="str">
        <f t="shared" si="3"/>
        <v/>
      </c>
      <c r="S9" s="90" t="str">
        <f t="shared" si="4"/>
        <v/>
      </c>
      <c r="T9" s="91" t="str">
        <f t="shared" si="5"/>
        <v/>
      </c>
      <c r="U9" s="85">
        <f t="shared" si="6"/>
        <v>0</v>
      </c>
    </row>
    <row r="10">
      <c r="A10" s="85">
        <v>8.0</v>
      </c>
      <c r="B10" s="35"/>
      <c r="C10" s="35"/>
      <c r="D10" s="86"/>
      <c r="E10" s="85"/>
      <c r="F10" s="86"/>
      <c r="G10" s="35"/>
      <c r="H10" s="85"/>
      <c r="I10" s="85"/>
      <c r="J10" s="87" t="str">
        <f t="shared" si="1"/>
        <v/>
      </c>
      <c r="K10" s="35"/>
      <c r="L10" s="88"/>
      <c r="M10" s="88"/>
      <c r="N10" s="87" t="str">
        <f t="shared" si="2"/>
        <v/>
      </c>
      <c r="O10" s="35"/>
      <c r="P10" s="88"/>
      <c r="Q10" s="88"/>
      <c r="R10" s="87" t="str">
        <f t="shared" si="3"/>
        <v/>
      </c>
      <c r="S10" s="90" t="str">
        <f t="shared" si="4"/>
        <v/>
      </c>
      <c r="T10" s="91" t="str">
        <f t="shared" si="5"/>
        <v/>
      </c>
      <c r="U10" s="85">
        <f t="shared" si="6"/>
        <v>0</v>
      </c>
    </row>
    <row r="11">
      <c r="A11" s="85">
        <v>9.0</v>
      </c>
      <c r="B11" s="35"/>
      <c r="C11" s="35"/>
      <c r="D11" s="86"/>
      <c r="E11" s="35"/>
      <c r="F11" s="86"/>
      <c r="G11" s="35"/>
      <c r="H11" s="85"/>
      <c r="I11" s="85"/>
      <c r="J11" s="87" t="str">
        <f t="shared" si="1"/>
        <v/>
      </c>
      <c r="K11" s="35"/>
      <c r="L11" s="88"/>
      <c r="M11" s="88"/>
      <c r="N11" s="87" t="str">
        <f t="shared" si="2"/>
        <v/>
      </c>
      <c r="O11" s="35"/>
      <c r="P11" s="88"/>
      <c r="Q11" s="88"/>
      <c r="R11" s="87" t="str">
        <f t="shared" si="3"/>
        <v/>
      </c>
      <c r="S11" s="90" t="str">
        <f t="shared" si="4"/>
        <v/>
      </c>
      <c r="T11" s="91" t="str">
        <f t="shared" si="5"/>
        <v/>
      </c>
      <c r="U11" s="85">
        <f t="shared" si="6"/>
        <v>0</v>
      </c>
    </row>
    <row r="12">
      <c r="A12" s="85">
        <v>10.0</v>
      </c>
      <c r="B12" s="35"/>
      <c r="C12" s="35"/>
      <c r="D12" s="86"/>
      <c r="E12" s="35"/>
      <c r="F12" s="86"/>
      <c r="G12" s="35"/>
      <c r="H12" s="85"/>
      <c r="I12" s="85"/>
      <c r="J12" s="87" t="str">
        <f t="shared" si="1"/>
        <v/>
      </c>
      <c r="K12" s="35"/>
      <c r="L12" s="88"/>
      <c r="M12" s="85"/>
      <c r="N12" s="87" t="str">
        <f t="shared" si="2"/>
        <v/>
      </c>
      <c r="O12" s="35"/>
      <c r="P12" s="88"/>
      <c r="Q12" s="85"/>
      <c r="R12" s="87" t="str">
        <f t="shared" si="3"/>
        <v/>
      </c>
      <c r="S12" s="90" t="str">
        <f t="shared" si="4"/>
        <v/>
      </c>
      <c r="T12" s="91" t="str">
        <f t="shared" si="5"/>
        <v/>
      </c>
      <c r="U12" s="85">
        <f t="shared" si="6"/>
        <v>0</v>
      </c>
    </row>
    <row r="13">
      <c r="A13" s="85">
        <v>11.0</v>
      </c>
      <c r="B13" s="35"/>
      <c r="C13" s="35"/>
      <c r="D13" s="86"/>
      <c r="E13" s="35"/>
      <c r="F13" s="86"/>
      <c r="G13" s="35"/>
      <c r="H13" s="85"/>
      <c r="I13" s="85"/>
      <c r="J13" s="87" t="str">
        <f t="shared" si="1"/>
        <v/>
      </c>
      <c r="K13" s="35"/>
      <c r="L13" s="88"/>
      <c r="M13" s="88"/>
      <c r="N13" s="87" t="str">
        <f t="shared" si="2"/>
        <v/>
      </c>
      <c r="O13" s="35"/>
      <c r="P13" s="88"/>
      <c r="Q13" s="88"/>
      <c r="R13" s="87" t="str">
        <f t="shared" si="3"/>
        <v/>
      </c>
      <c r="S13" s="90" t="str">
        <f t="shared" si="4"/>
        <v/>
      </c>
      <c r="T13" s="91" t="str">
        <f t="shared" si="5"/>
        <v/>
      </c>
      <c r="U13" s="85">
        <f t="shared" si="6"/>
        <v>0</v>
      </c>
    </row>
    <row r="14">
      <c r="A14" s="85">
        <v>12.0</v>
      </c>
      <c r="B14" s="35"/>
      <c r="C14" s="35"/>
      <c r="D14" s="86"/>
      <c r="E14" s="35"/>
      <c r="F14" s="86"/>
      <c r="G14" s="35"/>
      <c r="H14" s="85"/>
      <c r="I14" s="85"/>
      <c r="J14" s="87" t="str">
        <f t="shared" si="1"/>
        <v/>
      </c>
      <c r="K14" s="35"/>
      <c r="L14" s="88"/>
      <c r="M14" s="88"/>
      <c r="N14" s="87" t="str">
        <f t="shared" si="2"/>
        <v/>
      </c>
      <c r="O14" s="35"/>
      <c r="P14" s="88"/>
      <c r="Q14" s="88"/>
      <c r="R14" s="87" t="str">
        <f t="shared" si="3"/>
        <v/>
      </c>
      <c r="S14" s="90" t="str">
        <f t="shared" si="4"/>
        <v/>
      </c>
      <c r="T14" s="91" t="str">
        <f t="shared" si="5"/>
        <v/>
      </c>
      <c r="U14" s="85">
        <f t="shared" si="6"/>
        <v>0</v>
      </c>
    </row>
    <row r="15">
      <c r="A15" s="85">
        <v>13.0</v>
      </c>
      <c r="B15" s="35"/>
      <c r="C15" s="35"/>
      <c r="D15" s="86"/>
      <c r="E15" s="35"/>
      <c r="F15" s="86"/>
      <c r="G15" s="35"/>
      <c r="H15" s="85"/>
      <c r="I15" s="85"/>
      <c r="J15" s="87" t="str">
        <f t="shared" si="1"/>
        <v/>
      </c>
      <c r="K15" s="35"/>
      <c r="L15" s="88"/>
      <c r="M15" s="88"/>
      <c r="N15" s="87" t="str">
        <f t="shared" si="2"/>
        <v/>
      </c>
      <c r="O15" s="35"/>
      <c r="P15" s="88"/>
      <c r="Q15" s="88"/>
      <c r="R15" s="87" t="str">
        <f t="shared" si="3"/>
        <v/>
      </c>
      <c r="S15" s="90" t="str">
        <f t="shared" si="4"/>
        <v/>
      </c>
      <c r="T15" s="91" t="str">
        <f t="shared" si="5"/>
        <v/>
      </c>
      <c r="U15" s="85">
        <f t="shared" si="6"/>
        <v>0</v>
      </c>
    </row>
    <row r="16">
      <c r="A16" s="85">
        <v>14.0</v>
      </c>
      <c r="B16" s="35"/>
      <c r="C16" s="35"/>
      <c r="D16" s="86"/>
      <c r="E16" s="35"/>
      <c r="F16" s="86"/>
      <c r="G16" s="35"/>
      <c r="H16" s="85"/>
      <c r="I16" s="85"/>
      <c r="J16" s="87" t="str">
        <f t="shared" si="1"/>
        <v/>
      </c>
      <c r="K16" s="35"/>
      <c r="L16" s="88"/>
      <c r="M16" s="88"/>
      <c r="N16" s="87" t="str">
        <f t="shared" si="2"/>
        <v/>
      </c>
      <c r="O16" s="35"/>
      <c r="P16" s="88"/>
      <c r="Q16" s="88"/>
      <c r="R16" s="87" t="str">
        <f t="shared" si="3"/>
        <v/>
      </c>
      <c r="S16" s="90" t="str">
        <f t="shared" si="4"/>
        <v/>
      </c>
      <c r="T16" s="91" t="str">
        <f t="shared" si="5"/>
        <v/>
      </c>
      <c r="U16" s="85">
        <f t="shared" si="6"/>
        <v>0</v>
      </c>
    </row>
    <row r="17">
      <c r="A17" s="85">
        <v>15.0</v>
      </c>
      <c r="B17" s="35"/>
      <c r="C17" s="35"/>
      <c r="D17" s="86"/>
      <c r="E17" s="35"/>
      <c r="F17" s="86"/>
      <c r="G17" s="35"/>
      <c r="H17" s="85"/>
      <c r="I17" s="85"/>
      <c r="J17" s="87" t="str">
        <f t="shared" si="1"/>
        <v/>
      </c>
      <c r="K17" s="35"/>
      <c r="L17" s="88"/>
      <c r="M17" s="88"/>
      <c r="N17" s="87" t="str">
        <f t="shared" si="2"/>
        <v/>
      </c>
      <c r="O17" s="35"/>
      <c r="P17" s="88"/>
      <c r="Q17" s="88"/>
      <c r="R17" s="87" t="str">
        <f t="shared" si="3"/>
        <v/>
      </c>
      <c r="S17" s="90" t="str">
        <f t="shared" si="4"/>
        <v/>
      </c>
      <c r="T17" s="91" t="str">
        <f t="shared" si="5"/>
        <v/>
      </c>
      <c r="U17" s="85">
        <f t="shared" si="6"/>
        <v>0</v>
      </c>
    </row>
    <row r="18">
      <c r="A18" s="85">
        <v>16.0</v>
      </c>
      <c r="B18" s="35"/>
      <c r="C18" s="35"/>
      <c r="D18" s="86"/>
      <c r="E18" s="35"/>
      <c r="F18" s="86"/>
      <c r="G18" s="35"/>
      <c r="H18" s="85"/>
      <c r="I18" s="85"/>
      <c r="J18" s="87" t="str">
        <f t="shared" si="1"/>
        <v/>
      </c>
      <c r="K18" s="35"/>
      <c r="L18" s="88"/>
      <c r="M18" s="88"/>
      <c r="N18" s="87" t="str">
        <f t="shared" si="2"/>
        <v/>
      </c>
      <c r="O18" s="35"/>
      <c r="P18" s="88"/>
      <c r="Q18" s="88"/>
      <c r="R18" s="87" t="str">
        <f t="shared" si="3"/>
        <v/>
      </c>
      <c r="S18" s="90" t="str">
        <f t="shared" si="4"/>
        <v/>
      </c>
      <c r="T18" s="91" t="str">
        <f t="shared" si="5"/>
        <v/>
      </c>
      <c r="U18" s="85">
        <f t="shared" si="6"/>
        <v>0</v>
      </c>
    </row>
    <row r="19">
      <c r="A19" s="85">
        <v>17.0</v>
      </c>
      <c r="B19" s="35"/>
      <c r="C19" s="35"/>
      <c r="D19" s="86"/>
      <c r="E19" s="35"/>
      <c r="F19" s="86"/>
      <c r="G19" s="35"/>
      <c r="H19" s="85"/>
      <c r="I19" s="85"/>
      <c r="J19" s="87" t="str">
        <f t="shared" si="1"/>
        <v/>
      </c>
      <c r="K19" s="35"/>
      <c r="L19" s="88"/>
      <c r="M19" s="85"/>
      <c r="N19" s="87" t="str">
        <f t="shared" si="2"/>
        <v/>
      </c>
      <c r="O19" s="35"/>
      <c r="P19" s="88"/>
      <c r="Q19" s="85"/>
      <c r="R19" s="87" t="str">
        <f t="shared" si="3"/>
        <v/>
      </c>
      <c r="S19" s="90" t="str">
        <f t="shared" si="4"/>
        <v/>
      </c>
      <c r="T19" s="91" t="str">
        <f t="shared" si="5"/>
        <v/>
      </c>
      <c r="U19" s="85">
        <f t="shared" si="6"/>
        <v>0</v>
      </c>
    </row>
    <row r="20">
      <c r="A20" s="85">
        <v>18.0</v>
      </c>
      <c r="B20" s="35"/>
      <c r="C20" s="35"/>
      <c r="D20" s="86"/>
      <c r="E20" s="85"/>
      <c r="F20" s="86"/>
      <c r="G20" s="35"/>
      <c r="H20" s="85"/>
      <c r="I20" s="85"/>
      <c r="J20" s="87" t="str">
        <f t="shared" si="1"/>
        <v/>
      </c>
      <c r="K20" s="35"/>
      <c r="L20" s="88"/>
      <c r="M20" s="89"/>
      <c r="N20" s="87" t="str">
        <f t="shared" si="2"/>
        <v/>
      </c>
      <c r="O20" s="35"/>
      <c r="P20" s="88"/>
      <c r="Q20" s="88"/>
      <c r="R20" s="87" t="str">
        <f t="shared" si="3"/>
        <v/>
      </c>
      <c r="S20" s="90" t="str">
        <f t="shared" si="4"/>
        <v/>
      </c>
      <c r="T20" s="91" t="str">
        <f t="shared" si="5"/>
        <v/>
      </c>
      <c r="U20" s="85">
        <f t="shared" si="6"/>
        <v>0</v>
      </c>
    </row>
    <row r="21">
      <c r="A21" s="85">
        <v>19.0</v>
      </c>
      <c r="B21" s="35"/>
      <c r="C21" s="35"/>
      <c r="D21" s="86"/>
      <c r="E21" s="35"/>
      <c r="F21" s="86"/>
      <c r="G21" s="35"/>
      <c r="H21" s="85"/>
      <c r="I21" s="85"/>
      <c r="J21" s="87" t="str">
        <f t="shared" si="1"/>
        <v/>
      </c>
      <c r="K21" s="35"/>
      <c r="L21" s="88"/>
      <c r="M21" s="85"/>
      <c r="N21" s="87" t="str">
        <f t="shared" si="2"/>
        <v/>
      </c>
      <c r="O21" s="35"/>
      <c r="P21" s="88"/>
      <c r="Q21" s="85"/>
      <c r="R21" s="87" t="str">
        <f t="shared" si="3"/>
        <v/>
      </c>
      <c r="S21" s="90" t="str">
        <f t="shared" si="4"/>
        <v/>
      </c>
      <c r="T21" s="91" t="str">
        <f t="shared" si="5"/>
        <v/>
      </c>
      <c r="U21" s="85">
        <f t="shared" si="6"/>
        <v>0</v>
      </c>
    </row>
    <row r="22">
      <c r="A22" s="85">
        <v>20.0</v>
      </c>
      <c r="B22" s="35"/>
      <c r="C22" s="35"/>
      <c r="D22" s="86"/>
      <c r="E22" s="35"/>
      <c r="F22" s="86"/>
      <c r="G22" s="35"/>
      <c r="H22" s="85"/>
      <c r="I22" s="85"/>
      <c r="J22" s="87" t="str">
        <f t="shared" si="1"/>
        <v/>
      </c>
      <c r="K22" s="35"/>
      <c r="L22" s="88"/>
      <c r="M22" s="88"/>
      <c r="N22" s="87" t="str">
        <f t="shared" si="2"/>
        <v/>
      </c>
      <c r="O22" s="35"/>
      <c r="P22" s="88"/>
      <c r="Q22" s="88"/>
      <c r="R22" s="87" t="str">
        <f t="shared" si="3"/>
        <v/>
      </c>
      <c r="S22" s="90" t="str">
        <f t="shared" si="4"/>
        <v/>
      </c>
      <c r="T22" s="91" t="str">
        <f t="shared" si="5"/>
        <v/>
      </c>
      <c r="U22" s="85">
        <f t="shared" si="6"/>
        <v>0</v>
      </c>
    </row>
    <row r="23">
      <c r="A23" s="85">
        <v>21.0</v>
      </c>
      <c r="B23" s="35"/>
      <c r="C23" s="35"/>
      <c r="D23" s="86"/>
      <c r="E23" s="35"/>
      <c r="F23" s="86"/>
      <c r="G23" s="35"/>
      <c r="H23" s="85"/>
      <c r="I23" s="85"/>
      <c r="J23" s="87" t="str">
        <f t="shared" si="1"/>
        <v/>
      </c>
      <c r="K23" s="35"/>
      <c r="L23" s="88"/>
      <c r="M23" s="88"/>
      <c r="N23" s="87" t="str">
        <f t="shared" si="2"/>
        <v/>
      </c>
      <c r="O23" s="35"/>
      <c r="P23" s="88"/>
      <c r="Q23" s="88"/>
      <c r="R23" s="87" t="str">
        <f t="shared" si="3"/>
        <v/>
      </c>
      <c r="S23" s="90" t="str">
        <f t="shared" si="4"/>
        <v/>
      </c>
      <c r="T23" s="91" t="str">
        <f t="shared" si="5"/>
        <v/>
      </c>
      <c r="U23" s="85">
        <f t="shared" si="6"/>
        <v>0</v>
      </c>
    </row>
    <row r="24">
      <c r="A24" s="85">
        <v>22.0</v>
      </c>
      <c r="B24" s="35"/>
      <c r="C24" s="35"/>
      <c r="D24" s="86"/>
      <c r="E24" s="35"/>
      <c r="F24" s="86"/>
      <c r="G24" s="35"/>
      <c r="H24" s="85"/>
      <c r="I24" s="85"/>
      <c r="J24" s="87" t="str">
        <f t="shared" si="1"/>
        <v/>
      </c>
      <c r="K24" s="35"/>
      <c r="L24" s="88"/>
      <c r="M24" s="88"/>
      <c r="N24" s="87" t="str">
        <f t="shared" si="2"/>
        <v/>
      </c>
      <c r="O24" s="35"/>
      <c r="P24" s="88"/>
      <c r="Q24" s="88"/>
      <c r="R24" s="87" t="str">
        <f t="shared" si="3"/>
        <v/>
      </c>
      <c r="S24" s="90" t="str">
        <f t="shared" si="4"/>
        <v/>
      </c>
      <c r="T24" s="91" t="str">
        <f t="shared" si="5"/>
        <v/>
      </c>
      <c r="U24" s="85">
        <f t="shared" si="6"/>
        <v>0</v>
      </c>
    </row>
    <row r="25">
      <c r="A25" s="85">
        <v>23.0</v>
      </c>
      <c r="B25" s="35"/>
      <c r="C25" s="35"/>
      <c r="D25" s="86"/>
      <c r="E25" s="35"/>
      <c r="F25" s="86"/>
      <c r="G25" s="35"/>
      <c r="H25" s="85"/>
      <c r="I25" s="85"/>
      <c r="J25" s="87" t="str">
        <f t="shared" si="1"/>
        <v/>
      </c>
      <c r="K25" s="35"/>
      <c r="L25" s="88"/>
      <c r="M25" s="88"/>
      <c r="N25" s="87" t="str">
        <f t="shared" si="2"/>
        <v/>
      </c>
      <c r="O25" s="35"/>
      <c r="P25" s="88"/>
      <c r="Q25" s="88"/>
      <c r="R25" s="87" t="str">
        <f t="shared" si="3"/>
        <v/>
      </c>
      <c r="S25" s="90" t="str">
        <f t="shared" si="4"/>
        <v/>
      </c>
      <c r="T25" s="91" t="str">
        <f t="shared" si="5"/>
        <v/>
      </c>
      <c r="U25" s="85">
        <f t="shared" si="6"/>
        <v>0</v>
      </c>
    </row>
    <row r="26">
      <c r="A26" s="85">
        <v>24.0</v>
      </c>
      <c r="B26" s="35"/>
      <c r="C26" s="65"/>
      <c r="D26" s="76"/>
      <c r="E26" s="93"/>
      <c r="F26" s="76"/>
      <c r="G26" s="93"/>
      <c r="H26" s="93"/>
      <c r="I26" s="93"/>
      <c r="J26" s="87" t="str">
        <f t="shared" si="1"/>
        <v/>
      </c>
      <c r="K26" s="93"/>
      <c r="L26" s="93"/>
      <c r="M26" s="93"/>
      <c r="N26" s="87" t="str">
        <f t="shared" si="2"/>
        <v/>
      </c>
      <c r="O26" s="93"/>
      <c r="P26" s="93"/>
      <c r="Q26" s="93"/>
      <c r="R26" s="87" t="str">
        <f t="shared" si="3"/>
        <v/>
      </c>
      <c r="S26" s="90" t="str">
        <f t="shared" si="4"/>
        <v/>
      </c>
      <c r="T26" s="91" t="str">
        <f t="shared" si="5"/>
        <v/>
      </c>
      <c r="U26" s="85">
        <f t="shared" si="6"/>
        <v>0</v>
      </c>
    </row>
    <row r="27">
      <c r="A27" s="85">
        <v>25.0</v>
      </c>
      <c r="B27" s="35"/>
      <c r="C27" s="65"/>
      <c r="D27" s="76"/>
      <c r="E27" s="93"/>
      <c r="F27" s="76"/>
      <c r="G27" s="93"/>
      <c r="H27" s="93"/>
      <c r="I27" s="93"/>
      <c r="J27" s="87" t="str">
        <f t="shared" si="1"/>
        <v/>
      </c>
      <c r="K27" s="93"/>
      <c r="L27" s="93"/>
      <c r="M27" s="93"/>
      <c r="N27" s="87" t="str">
        <f t="shared" si="2"/>
        <v/>
      </c>
      <c r="O27" s="93"/>
      <c r="P27" s="93"/>
      <c r="Q27" s="93"/>
      <c r="R27" s="87" t="str">
        <f t="shared" si="3"/>
        <v/>
      </c>
      <c r="S27" s="90" t="str">
        <f t="shared" si="4"/>
        <v/>
      </c>
      <c r="T27" s="91" t="str">
        <f t="shared" si="5"/>
        <v/>
      </c>
      <c r="U27" s="85">
        <f t="shared" si="6"/>
        <v>0</v>
      </c>
    </row>
    <row r="28">
      <c r="A28" s="85">
        <v>26.0</v>
      </c>
      <c r="B28" s="35"/>
      <c r="C28" s="65"/>
      <c r="D28" s="76"/>
      <c r="E28" s="93"/>
      <c r="F28" s="76"/>
      <c r="G28" s="93"/>
      <c r="H28" s="93"/>
      <c r="I28" s="93"/>
      <c r="J28" s="87" t="str">
        <f t="shared" si="1"/>
        <v/>
      </c>
      <c r="K28" s="93"/>
      <c r="L28" s="93"/>
      <c r="M28" s="93"/>
      <c r="N28" s="87" t="str">
        <f t="shared" si="2"/>
        <v/>
      </c>
      <c r="O28" s="93"/>
      <c r="P28" s="93"/>
      <c r="Q28" s="93"/>
      <c r="R28" s="87" t="str">
        <f t="shared" si="3"/>
        <v/>
      </c>
      <c r="S28" s="90" t="str">
        <f t="shared" si="4"/>
        <v/>
      </c>
      <c r="T28" s="91" t="str">
        <f t="shared" si="5"/>
        <v/>
      </c>
      <c r="U28" s="85">
        <f t="shared" si="6"/>
        <v>0</v>
      </c>
    </row>
    <row r="29">
      <c r="A29" s="85">
        <v>27.0</v>
      </c>
      <c r="B29" s="35"/>
      <c r="C29" s="65"/>
      <c r="D29" s="76"/>
      <c r="E29" s="93"/>
      <c r="F29" s="76"/>
      <c r="G29" s="93"/>
      <c r="H29" s="93"/>
      <c r="I29" s="93"/>
      <c r="J29" s="87" t="str">
        <f t="shared" si="1"/>
        <v/>
      </c>
      <c r="K29" s="93"/>
      <c r="L29" s="93"/>
      <c r="M29" s="93"/>
      <c r="N29" s="87" t="str">
        <f t="shared" si="2"/>
        <v/>
      </c>
      <c r="O29" s="93"/>
      <c r="P29" s="93"/>
      <c r="Q29" s="93"/>
      <c r="R29" s="87" t="str">
        <f t="shared" si="3"/>
        <v/>
      </c>
      <c r="S29" s="90" t="str">
        <f t="shared" si="4"/>
        <v/>
      </c>
      <c r="T29" s="91" t="str">
        <f t="shared" si="5"/>
        <v/>
      </c>
      <c r="U29" s="85">
        <f t="shared" si="6"/>
        <v>0</v>
      </c>
    </row>
    <row r="30">
      <c r="A30" s="85">
        <v>28.0</v>
      </c>
      <c r="B30" s="35"/>
      <c r="C30" s="65"/>
      <c r="D30" s="76"/>
      <c r="E30" s="93"/>
      <c r="F30" s="76"/>
      <c r="G30" s="93"/>
      <c r="H30" s="93"/>
      <c r="I30" s="93"/>
      <c r="J30" s="87" t="str">
        <f t="shared" si="1"/>
        <v/>
      </c>
      <c r="K30" s="93"/>
      <c r="L30" s="93"/>
      <c r="M30" s="93"/>
      <c r="N30" s="87" t="str">
        <f t="shared" si="2"/>
        <v/>
      </c>
      <c r="O30" s="93"/>
      <c r="P30" s="93"/>
      <c r="Q30" s="93"/>
      <c r="R30" s="87" t="str">
        <f t="shared" si="3"/>
        <v/>
      </c>
      <c r="S30" s="90" t="str">
        <f t="shared" si="4"/>
        <v/>
      </c>
      <c r="T30" s="91" t="str">
        <f t="shared" si="5"/>
        <v/>
      </c>
      <c r="U30" s="85">
        <f t="shared" si="6"/>
        <v>0</v>
      </c>
    </row>
    <row r="31">
      <c r="A31" s="85">
        <v>29.0</v>
      </c>
      <c r="B31" s="35"/>
      <c r="C31" s="65"/>
      <c r="D31" s="76"/>
      <c r="E31" s="93"/>
      <c r="F31" s="76"/>
      <c r="G31" s="93"/>
      <c r="H31" s="93"/>
      <c r="I31" s="93"/>
      <c r="J31" s="87" t="str">
        <f t="shared" si="1"/>
        <v/>
      </c>
      <c r="K31" s="93"/>
      <c r="L31" s="93"/>
      <c r="M31" s="93"/>
      <c r="N31" s="87" t="str">
        <f t="shared" si="2"/>
        <v/>
      </c>
      <c r="O31" s="93"/>
      <c r="P31" s="93"/>
      <c r="Q31" s="93"/>
      <c r="R31" s="87" t="str">
        <f t="shared" si="3"/>
        <v/>
      </c>
      <c r="S31" s="90" t="str">
        <f t="shared" si="4"/>
        <v/>
      </c>
      <c r="T31" s="91" t="str">
        <f t="shared" si="5"/>
        <v/>
      </c>
      <c r="U31" s="85">
        <f t="shared" si="6"/>
        <v>0</v>
      </c>
    </row>
    <row r="32">
      <c r="A32" s="85">
        <v>30.0</v>
      </c>
      <c r="B32" s="35"/>
      <c r="C32" s="65"/>
      <c r="D32" s="76"/>
      <c r="E32" s="93"/>
      <c r="F32" s="76"/>
      <c r="G32" s="93"/>
      <c r="H32" s="93"/>
      <c r="I32" s="93"/>
      <c r="J32" s="87" t="str">
        <f t="shared" si="1"/>
        <v/>
      </c>
      <c r="K32" s="93"/>
      <c r="L32" s="93"/>
      <c r="M32" s="93"/>
      <c r="N32" s="87" t="str">
        <f t="shared" si="2"/>
        <v/>
      </c>
      <c r="O32" s="93"/>
      <c r="P32" s="93"/>
      <c r="Q32" s="93"/>
      <c r="R32" s="87" t="str">
        <f t="shared" si="3"/>
        <v/>
      </c>
      <c r="S32" s="90" t="str">
        <f t="shared" si="4"/>
        <v/>
      </c>
      <c r="T32" s="91" t="str">
        <f t="shared" si="5"/>
        <v/>
      </c>
      <c r="U32" s="85">
        <f t="shared" si="6"/>
        <v>0</v>
      </c>
    </row>
    <row r="33">
      <c r="A33" s="85">
        <v>31.0</v>
      </c>
      <c r="B33" s="35"/>
      <c r="C33" s="65"/>
      <c r="D33" s="76"/>
      <c r="E33" s="93"/>
      <c r="F33" s="76"/>
      <c r="G33" s="93"/>
      <c r="H33" s="93"/>
      <c r="I33" s="93"/>
      <c r="J33" s="87" t="str">
        <f t="shared" si="1"/>
        <v/>
      </c>
      <c r="K33" s="93"/>
      <c r="L33" s="93"/>
      <c r="M33" s="93"/>
      <c r="N33" s="87" t="str">
        <f t="shared" si="2"/>
        <v/>
      </c>
      <c r="O33" s="93"/>
      <c r="P33" s="93"/>
      <c r="Q33" s="93"/>
      <c r="R33" s="87" t="str">
        <f t="shared" si="3"/>
        <v/>
      </c>
      <c r="S33" s="90" t="str">
        <f t="shared" si="4"/>
        <v/>
      </c>
      <c r="T33" s="91" t="str">
        <f t="shared" si="5"/>
        <v/>
      </c>
      <c r="U33" s="85">
        <f t="shared" si="6"/>
        <v>0</v>
      </c>
    </row>
    <row r="34">
      <c r="A34" s="85">
        <v>32.0</v>
      </c>
      <c r="B34" s="35"/>
      <c r="C34" s="65"/>
      <c r="D34" s="76"/>
      <c r="E34" s="93"/>
      <c r="F34" s="76"/>
      <c r="G34" s="93"/>
      <c r="H34" s="93"/>
      <c r="I34" s="93"/>
      <c r="J34" s="87" t="str">
        <f t="shared" si="1"/>
        <v/>
      </c>
      <c r="K34" s="93"/>
      <c r="L34" s="93"/>
      <c r="M34" s="93"/>
      <c r="N34" s="87" t="str">
        <f t="shared" si="2"/>
        <v/>
      </c>
      <c r="O34" s="93"/>
      <c r="P34" s="93"/>
      <c r="Q34" s="93"/>
      <c r="R34" s="87" t="str">
        <f t="shared" si="3"/>
        <v/>
      </c>
      <c r="S34" s="90" t="str">
        <f t="shared" si="4"/>
        <v/>
      </c>
      <c r="T34" s="91" t="str">
        <f t="shared" si="5"/>
        <v/>
      </c>
      <c r="U34" s="85">
        <f t="shared" si="6"/>
        <v>0</v>
      </c>
    </row>
    <row r="35">
      <c r="A35" s="85">
        <v>33.0</v>
      </c>
      <c r="B35" s="35"/>
      <c r="C35" s="65"/>
      <c r="D35" s="76"/>
      <c r="E35" s="93"/>
      <c r="F35" s="76"/>
      <c r="G35" s="93"/>
      <c r="H35" s="93"/>
      <c r="I35" s="93"/>
      <c r="J35" s="87" t="str">
        <f t="shared" si="1"/>
        <v/>
      </c>
      <c r="K35" s="93"/>
      <c r="L35" s="93"/>
      <c r="M35" s="93"/>
      <c r="N35" s="87" t="str">
        <f t="shared" si="2"/>
        <v/>
      </c>
      <c r="O35" s="93"/>
      <c r="P35" s="93"/>
      <c r="Q35" s="93"/>
      <c r="R35" s="87" t="str">
        <f t="shared" si="3"/>
        <v/>
      </c>
      <c r="S35" s="90" t="str">
        <f t="shared" si="4"/>
        <v/>
      </c>
      <c r="T35" s="91" t="str">
        <f t="shared" si="5"/>
        <v/>
      </c>
      <c r="U35" s="85">
        <f t="shared" si="6"/>
        <v>0</v>
      </c>
    </row>
    <row r="36">
      <c r="A36" s="85">
        <v>34.0</v>
      </c>
      <c r="B36" s="35"/>
      <c r="C36" s="65"/>
      <c r="D36" s="76"/>
      <c r="E36" s="93"/>
      <c r="F36" s="76"/>
      <c r="G36" s="93"/>
      <c r="H36" s="93"/>
      <c r="I36" s="93"/>
      <c r="J36" s="87" t="str">
        <f t="shared" si="1"/>
        <v/>
      </c>
      <c r="K36" s="93"/>
      <c r="L36" s="93"/>
      <c r="M36" s="93"/>
      <c r="N36" s="87" t="str">
        <f t="shared" si="2"/>
        <v/>
      </c>
      <c r="O36" s="93"/>
      <c r="P36" s="93"/>
      <c r="Q36" s="93"/>
      <c r="R36" s="87" t="str">
        <f t="shared" si="3"/>
        <v/>
      </c>
      <c r="S36" s="90" t="str">
        <f t="shared" si="4"/>
        <v/>
      </c>
      <c r="T36" s="91" t="str">
        <f t="shared" si="5"/>
        <v/>
      </c>
      <c r="U36" s="85">
        <f t="shared" si="6"/>
        <v>0</v>
      </c>
    </row>
    <row r="37">
      <c r="A37" s="85">
        <v>35.0</v>
      </c>
      <c r="B37" s="35"/>
      <c r="C37" s="65"/>
      <c r="D37" s="76"/>
      <c r="E37" s="93"/>
      <c r="F37" s="76"/>
      <c r="G37" s="93"/>
      <c r="H37" s="93"/>
      <c r="I37" s="93"/>
      <c r="J37" s="87" t="str">
        <f t="shared" si="1"/>
        <v/>
      </c>
      <c r="K37" s="93"/>
      <c r="L37" s="93"/>
      <c r="M37" s="93"/>
      <c r="N37" s="87" t="str">
        <f t="shared" si="2"/>
        <v/>
      </c>
      <c r="O37" s="93"/>
      <c r="P37" s="93"/>
      <c r="Q37" s="93"/>
      <c r="R37" s="87" t="str">
        <f t="shared" si="3"/>
        <v/>
      </c>
      <c r="S37" s="90" t="str">
        <f t="shared" si="4"/>
        <v/>
      </c>
      <c r="T37" s="91" t="str">
        <f t="shared" si="5"/>
        <v/>
      </c>
      <c r="U37" s="85">
        <f t="shared" si="6"/>
        <v>0</v>
      </c>
    </row>
    <row r="38">
      <c r="A38" s="85">
        <v>36.0</v>
      </c>
      <c r="B38" s="35"/>
      <c r="C38" s="65"/>
      <c r="D38" s="76"/>
      <c r="E38" s="93"/>
      <c r="F38" s="76"/>
      <c r="G38" s="93"/>
      <c r="H38" s="93"/>
      <c r="I38" s="93"/>
      <c r="J38" s="87" t="str">
        <f t="shared" si="1"/>
        <v/>
      </c>
      <c r="K38" s="93"/>
      <c r="L38" s="93"/>
      <c r="M38" s="93"/>
      <c r="N38" s="87" t="str">
        <f t="shared" si="2"/>
        <v/>
      </c>
      <c r="O38" s="93"/>
      <c r="P38" s="93"/>
      <c r="Q38" s="93"/>
      <c r="R38" s="87" t="str">
        <f t="shared" si="3"/>
        <v/>
      </c>
      <c r="S38" s="90" t="str">
        <f t="shared" si="4"/>
        <v/>
      </c>
      <c r="T38" s="91" t="str">
        <f t="shared" si="5"/>
        <v/>
      </c>
      <c r="U38" s="85">
        <f t="shared" si="6"/>
        <v>0</v>
      </c>
    </row>
    <row r="39">
      <c r="A39" s="85">
        <v>37.0</v>
      </c>
      <c r="B39" s="35"/>
      <c r="C39" s="65"/>
      <c r="D39" s="76"/>
      <c r="E39" s="93"/>
      <c r="F39" s="76"/>
      <c r="G39" s="93"/>
      <c r="H39" s="93"/>
      <c r="I39" s="93"/>
      <c r="J39" s="87" t="str">
        <f t="shared" si="1"/>
        <v/>
      </c>
      <c r="K39" s="93"/>
      <c r="L39" s="93"/>
      <c r="M39" s="93"/>
      <c r="N39" s="87" t="str">
        <f t="shared" si="2"/>
        <v/>
      </c>
      <c r="O39" s="93"/>
      <c r="P39" s="93"/>
      <c r="Q39" s="93"/>
      <c r="R39" s="87" t="str">
        <f t="shared" si="3"/>
        <v/>
      </c>
      <c r="S39" s="90" t="str">
        <f t="shared" si="4"/>
        <v/>
      </c>
      <c r="T39" s="91" t="str">
        <f t="shared" si="5"/>
        <v/>
      </c>
      <c r="U39" s="85">
        <f t="shared" si="6"/>
        <v>0</v>
      </c>
    </row>
    <row r="40">
      <c r="A40" s="85">
        <v>38.0</v>
      </c>
      <c r="B40" s="35"/>
      <c r="C40" s="65"/>
      <c r="D40" s="76"/>
      <c r="E40" s="93"/>
      <c r="F40" s="76"/>
      <c r="G40" s="93"/>
      <c r="H40" s="93"/>
      <c r="I40" s="93"/>
      <c r="J40" s="87" t="str">
        <f t="shared" si="1"/>
        <v/>
      </c>
      <c r="K40" s="93"/>
      <c r="L40" s="93"/>
      <c r="M40" s="93"/>
      <c r="N40" s="87" t="str">
        <f t="shared" si="2"/>
        <v/>
      </c>
      <c r="O40" s="93"/>
      <c r="P40" s="93"/>
      <c r="Q40" s="93"/>
      <c r="R40" s="87" t="str">
        <f t="shared" si="3"/>
        <v/>
      </c>
      <c r="S40" s="90" t="str">
        <f t="shared" si="4"/>
        <v/>
      </c>
      <c r="T40" s="91" t="str">
        <f t="shared" si="5"/>
        <v/>
      </c>
      <c r="U40" s="85">
        <f t="shared" si="6"/>
        <v>0</v>
      </c>
    </row>
    <row r="41">
      <c r="A41" s="85">
        <v>39.0</v>
      </c>
      <c r="B41" s="35"/>
      <c r="C41" s="65"/>
      <c r="D41" s="76"/>
      <c r="E41" s="93"/>
      <c r="F41" s="76"/>
      <c r="G41" s="93"/>
      <c r="H41" s="93"/>
      <c r="I41" s="93"/>
      <c r="J41" s="87" t="str">
        <f t="shared" si="1"/>
        <v/>
      </c>
      <c r="K41" s="93"/>
      <c r="L41" s="93"/>
      <c r="M41" s="93"/>
      <c r="N41" s="87" t="str">
        <f t="shared" si="2"/>
        <v/>
      </c>
      <c r="O41" s="93"/>
      <c r="P41" s="93"/>
      <c r="Q41" s="93"/>
      <c r="R41" s="87" t="str">
        <f t="shared" si="3"/>
        <v/>
      </c>
      <c r="S41" s="90" t="str">
        <f t="shared" si="4"/>
        <v/>
      </c>
      <c r="T41" s="91" t="str">
        <f t="shared" si="5"/>
        <v/>
      </c>
      <c r="U41" s="85">
        <f t="shared" si="6"/>
        <v>0</v>
      </c>
    </row>
    <row r="42">
      <c r="A42" s="85">
        <v>40.0</v>
      </c>
      <c r="B42" s="35"/>
      <c r="C42" s="65"/>
      <c r="D42" s="76"/>
      <c r="E42" s="93"/>
      <c r="F42" s="76"/>
      <c r="G42" s="93"/>
      <c r="H42" s="93"/>
      <c r="I42" s="93"/>
      <c r="J42" s="87" t="str">
        <f t="shared" si="1"/>
        <v/>
      </c>
      <c r="K42" s="93"/>
      <c r="L42" s="93"/>
      <c r="M42" s="93"/>
      <c r="N42" s="87" t="str">
        <f t="shared" si="2"/>
        <v/>
      </c>
      <c r="O42" s="93"/>
      <c r="P42" s="93"/>
      <c r="Q42" s="93"/>
      <c r="R42" s="87" t="str">
        <f t="shared" si="3"/>
        <v/>
      </c>
      <c r="S42" s="90" t="str">
        <f t="shared" si="4"/>
        <v/>
      </c>
      <c r="T42" s="91" t="str">
        <f t="shared" si="5"/>
        <v/>
      </c>
      <c r="U42" s="85">
        <f t="shared" si="6"/>
        <v>0</v>
      </c>
    </row>
    <row r="43">
      <c r="A43" s="85">
        <v>41.0</v>
      </c>
      <c r="B43" s="35"/>
      <c r="C43" s="65"/>
      <c r="D43" s="76"/>
      <c r="E43" s="93"/>
      <c r="F43" s="76"/>
      <c r="G43" s="93"/>
      <c r="H43" s="93"/>
      <c r="I43" s="93"/>
      <c r="J43" s="87" t="str">
        <f t="shared" si="1"/>
        <v/>
      </c>
      <c r="K43" s="93"/>
      <c r="L43" s="93"/>
      <c r="M43" s="93"/>
      <c r="N43" s="87" t="str">
        <f t="shared" si="2"/>
        <v/>
      </c>
      <c r="O43" s="93"/>
      <c r="P43" s="93"/>
      <c r="Q43" s="93"/>
      <c r="R43" s="87" t="str">
        <f t="shared" si="3"/>
        <v/>
      </c>
      <c r="S43" s="90" t="str">
        <f t="shared" si="4"/>
        <v/>
      </c>
      <c r="T43" s="91" t="str">
        <f t="shared" si="5"/>
        <v/>
      </c>
      <c r="U43" s="85">
        <f t="shared" si="6"/>
        <v>0</v>
      </c>
    </row>
    <row r="44">
      <c r="A44" s="85">
        <v>42.0</v>
      </c>
      <c r="B44" s="35"/>
      <c r="C44" s="65"/>
      <c r="D44" s="76"/>
      <c r="E44" s="93"/>
      <c r="F44" s="76"/>
      <c r="G44" s="93"/>
      <c r="H44" s="93"/>
      <c r="I44" s="93"/>
      <c r="J44" s="87" t="str">
        <f t="shared" si="1"/>
        <v/>
      </c>
      <c r="K44" s="93"/>
      <c r="L44" s="93"/>
      <c r="M44" s="93"/>
      <c r="N44" s="87" t="str">
        <f t="shared" si="2"/>
        <v/>
      </c>
      <c r="O44" s="93"/>
      <c r="P44" s="93"/>
      <c r="Q44" s="93"/>
      <c r="R44" s="87" t="str">
        <f t="shared" si="3"/>
        <v/>
      </c>
      <c r="S44" s="90" t="str">
        <f t="shared" si="4"/>
        <v/>
      </c>
      <c r="T44" s="91" t="str">
        <f t="shared" si="5"/>
        <v/>
      </c>
      <c r="U44" s="85">
        <f t="shared" si="6"/>
        <v>0</v>
      </c>
    </row>
    <row r="45">
      <c r="A45" s="85">
        <v>43.0</v>
      </c>
      <c r="B45" s="35"/>
      <c r="C45" s="65"/>
      <c r="D45" s="76"/>
      <c r="E45" s="93"/>
      <c r="F45" s="76"/>
      <c r="G45" s="93"/>
      <c r="H45" s="93"/>
      <c r="I45" s="93"/>
      <c r="J45" s="87" t="str">
        <f t="shared" si="1"/>
        <v/>
      </c>
      <c r="K45" s="93"/>
      <c r="L45" s="93"/>
      <c r="M45" s="93"/>
      <c r="N45" s="87" t="str">
        <f t="shared" si="2"/>
        <v/>
      </c>
      <c r="O45" s="93"/>
      <c r="P45" s="93"/>
      <c r="Q45" s="93"/>
      <c r="R45" s="87" t="str">
        <f t="shared" si="3"/>
        <v/>
      </c>
      <c r="S45" s="90" t="str">
        <f t="shared" si="4"/>
        <v/>
      </c>
      <c r="T45" s="91" t="str">
        <f t="shared" si="5"/>
        <v/>
      </c>
      <c r="U45" s="85">
        <f t="shared" si="6"/>
        <v>0</v>
      </c>
    </row>
    <row r="46">
      <c r="A46" s="85">
        <v>44.0</v>
      </c>
      <c r="B46" s="35"/>
      <c r="C46" s="65"/>
      <c r="D46" s="76"/>
      <c r="E46" s="93"/>
      <c r="F46" s="76"/>
      <c r="G46" s="93"/>
      <c r="H46" s="93"/>
      <c r="I46" s="93"/>
      <c r="J46" s="87" t="str">
        <f t="shared" si="1"/>
        <v/>
      </c>
      <c r="K46" s="93"/>
      <c r="L46" s="93"/>
      <c r="M46" s="93"/>
      <c r="N46" s="87" t="str">
        <f t="shared" si="2"/>
        <v/>
      </c>
      <c r="O46" s="93"/>
      <c r="P46" s="93"/>
      <c r="Q46" s="93"/>
      <c r="R46" s="87" t="str">
        <f t="shared" si="3"/>
        <v/>
      </c>
      <c r="S46" s="90" t="str">
        <f t="shared" si="4"/>
        <v/>
      </c>
      <c r="T46" s="91" t="str">
        <f t="shared" si="5"/>
        <v/>
      </c>
      <c r="U46" s="85">
        <f t="shared" si="6"/>
        <v>0</v>
      </c>
    </row>
    <row r="47">
      <c r="A47" s="85">
        <v>45.0</v>
      </c>
      <c r="B47" s="35"/>
      <c r="C47" s="65"/>
      <c r="D47" s="76"/>
      <c r="E47" s="93"/>
      <c r="F47" s="76"/>
      <c r="G47" s="93"/>
      <c r="H47" s="93"/>
      <c r="I47" s="93"/>
      <c r="J47" s="87" t="str">
        <f t="shared" si="1"/>
        <v/>
      </c>
      <c r="K47" s="93"/>
      <c r="L47" s="93"/>
      <c r="M47" s="93"/>
      <c r="N47" s="87" t="str">
        <f t="shared" si="2"/>
        <v/>
      </c>
      <c r="O47" s="93"/>
      <c r="P47" s="93"/>
      <c r="Q47" s="93"/>
      <c r="R47" s="87" t="str">
        <f t="shared" si="3"/>
        <v/>
      </c>
      <c r="S47" s="90" t="str">
        <f t="shared" si="4"/>
        <v/>
      </c>
      <c r="T47" s="91" t="str">
        <f t="shared" si="5"/>
        <v/>
      </c>
      <c r="U47" s="85">
        <f t="shared" si="6"/>
        <v>0</v>
      </c>
    </row>
    <row r="48">
      <c r="A48" s="85">
        <v>46.0</v>
      </c>
      <c r="B48" s="35"/>
      <c r="C48" s="65"/>
      <c r="D48" s="76"/>
      <c r="E48" s="93"/>
      <c r="F48" s="76"/>
      <c r="G48" s="93"/>
      <c r="H48" s="93"/>
      <c r="I48" s="93"/>
      <c r="J48" s="87" t="str">
        <f t="shared" si="1"/>
        <v/>
      </c>
      <c r="K48" s="93"/>
      <c r="L48" s="93"/>
      <c r="M48" s="93"/>
      <c r="N48" s="87" t="str">
        <f t="shared" si="2"/>
        <v/>
      </c>
      <c r="O48" s="93"/>
      <c r="P48" s="93"/>
      <c r="Q48" s="93"/>
      <c r="R48" s="87" t="str">
        <f t="shared" si="3"/>
        <v/>
      </c>
      <c r="S48" s="90" t="str">
        <f t="shared" si="4"/>
        <v/>
      </c>
      <c r="T48" s="91" t="str">
        <f t="shared" si="5"/>
        <v/>
      </c>
      <c r="U48" s="85">
        <f t="shared" si="6"/>
        <v>0</v>
      </c>
    </row>
    <row r="49">
      <c r="A49" s="85">
        <v>47.0</v>
      </c>
      <c r="B49" s="35"/>
      <c r="C49" s="65"/>
      <c r="D49" s="76"/>
      <c r="E49" s="93"/>
      <c r="F49" s="76"/>
      <c r="G49" s="93"/>
      <c r="H49" s="93"/>
      <c r="I49" s="93"/>
      <c r="J49" s="87" t="str">
        <f t="shared" si="1"/>
        <v/>
      </c>
      <c r="K49" s="93"/>
      <c r="L49" s="93"/>
      <c r="M49" s="93"/>
      <c r="N49" s="87" t="str">
        <f t="shared" si="2"/>
        <v/>
      </c>
      <c r="O49" s="93"/>
      <c r="P49" s="93"/>
      <c r="Q49" s="93"/>
      <c r="R49" s="87" t="str">
        <f t="shared" si="3"/>
        <v/>
      </c>
      <c r="S49" s="90" t="str">
        <f t="shared" si="4"/>
        <v/>
      </c>
      <c r="T49" s="91" t="str">
        <f t="shared" si="5"/>
        <v/>
      </c>
      <c r="U49" s="85">
        <f t="shared" si="6"/>
        <v>0</v>
      </c>
    </row>
    <row r="50">
      <c r="A50" s="85">
        <v>48.0</v>
      </c>
      <c r="B50" s="35"/>
      <c r="C50" s="65"/>
      <c r="D50" s="76"/>
      <c r="E50" s="93"/>
      <c r="F50" s="76"/>
      <c r="G50" s="93"/>
      <c r="H50" s="93"/>
      <c r="I50" s="93"/>
      <c r="J50" s="87" t="str">
        <f t="shared" si="1"/>
        <v/>
      </c>
      <c r="K50" s="93"/>
      <c r="L50" s="93"/>
      <c r="M50" s="93"/>
      <c r="N50" s="87" t="str">
        <f t="shared" si="2"/>
        <v/>
      </c>
      <c r="O50" s="93"/>
      <c r="P50" s="93"/>
      <c r="Q50" s="93"/>
      <c r="R50" s="87" t="str">
        <f t="shared" si="3"/>
        <v/>
      </c>
      <c r="S50" s="90" t="str">
        <f t="shared" si="4"/>
        <v/>
      </c>
      <c r="T50" s="91" t="str">
        <f t="shared" si="5"/>
        <v/>
      </c>
      <c r="U50" s="85">
        <f t="shared" si="6"/>
        <v>0</v>
      </c>
    </row>
    <row r="51">
      <c r="A51" s="85">
        <v>49.0</v>
      </c>
      <c r="B51" s="35"/>
      <c r="C51" s="65"/>
      <c r="D51" s="76"/>
      <c r="E51" s="93"/>
      <c r="F51" s="76"/>
      <c r="G51" s="93"/>
      <c r="H51" s="93"/>
      <c r="I51" s="93"/>
      <c r="J51" s="87" t="str">
        <f t="shared" si="1"/>
        <v/>
      </c>
      <c r="K51" s="93"/>
      <c r="L51" s="93"/>
      <c r="M51" s="93"/>
      <c r="N51" s="87" t="str">
        <f t="shared" si="2"/>
        <v/>
      </c>
      <c r="O51" s="93"/>
      <c r="P51" s="93"/>
      <c r="Q51" s="93"/>
      <c r="R51" s="87" t="str">
        <f t="shared" si="3"/>
        <v/>
      </c>
      <c r="S51" s="90" t="str">
        <f t="shared" si="4"/>
        <v/>
      </c>
      <c r="T51" s="91" t="str">
        <f t="shared" si="5"/>
        <v/>
      </c>
      <c r="U51" s="85">
        <f t="shared" si="6"/>
        <v>0</v>
      </c>
    </row>
    <row r="52">
      <c r="A52" s="85">
        <v>50.0</v>
      </c>
      <c r="B52" s="35"/>
      <c r="C52" s="65"/>
      <c r="D52" s="76"/>
      <c r="E52" s="93"/>
      <c r="F52" s="76"/>
      <c r="G52" s="93"/>
      <c r="H52" s="93"/>
      <c r="I52" s="93"/>
      <c r="J52" s="87" t="str">
        <f t="shared" si="1"/>
        <v/>
      </c>
      <c r="K52" s="93"/>
      <c r="L52" s="93"/>
      <c r="M52" s="93"/>
      <c r="N52" s="87" t="str">
        <f t="shared" si="2"/>
        <v/>
      </c>
      <c r="O52" s="93"/>
      <c r="P52" s="93"/>
      <c r="Q52" s="93"/>
      <c r="R52" s="87" t="str">
        <f t="shared" si="3"/>
        <v/>
      </c>
      <c r="S52" s="90" t="str">
        <f t="shared" si="4"/>
        <v/>
      </c>
      <c r="T52" s="91" t="str">
        <f t="shared" si="5"/>
        <v/>
      </c>
      <c r="U52" s="85">
        <f t="shared" si="6"/>
        <v>0</v>
      </c>
    </row>
    <row r="53">
      <c r="A53" s="85">
        <v>51.0</v>
      </c>
      <c r="B53" s="35"/>
      <c r="C53" s="65"/>
      <c r="D53" s="76"/>
      <c r="E53" s="93"/>
      <c r="F53" s="76"/>
      <c r="G53" s="93"/>
      <c r="H53" s="93"/>
      <c r="I53" s="93"/>
      <c r="J53" s="87" t="str">
        <f t="shared" si="1"/>
        <v/>
      </c>
      <c r="K53" s="93"/>
      <c r="L53" s="93"/>
      <c r="M53" s="93"/>
      <c r="N53" s="87" t="str">
        <f t="shared" si="2"/>
        <v/>
      </c>
      <c r="O53" s="93"/>
      <c r="P53" s="93"/>
      <c r="Q53" s="93"/>
      <c r="R53" s="87" t="str">
        <f t="shared" si="3"/>
        <v/>
      </c>
      <c r="S53" s="90" t="str">
        <f t="shared" si="4"/>
        <v/>
      </c>
      <c r="T53" s="91" t="str">
        <f t="shared" si="5"/>
        <v/>
      </c>
      <c r="U53" s="85">
        <f t="shared" si="6"/>
        <v>0</v>
      </c>
    </row>
    <row r="54">
      <c r="A54" s="85">
        <v>52.0</v>
      </c>
      <c r="B54" s="35"/>
      <c r="C54" s="65"/>
      <c r="D54" s="76"/>
      <c r="E54" s="93"/>
      <c r="F54" s="76"/>
      <c r="G54" s="93"/>
      <c r="H54" s="93"/>
      <c r="I54" s="93"/>
      <c r="J54" s="87" t="str">
        <f t="shared" si="1"/>
        <v/>
      </c>
      <c r="K54" s="93"/>
      <c r="L54" s="93"/>
      <c r="M54" s="93"/>
      <c r="N54" s="87" t="str">
        <f t="shared" si="2"/>
        <v/>
      </c>
      <c r="O54" s="93"/>
      <c r="P54" s="93"/>
      <c r="Q54" s="93"/>
      <c r="R54" s="87" t="str">
        <f t="shared" si="3"/>
        <v/>
      </c>
      <c r="S54" s="90" t="str">
        <f t="shared" si="4"/>
        <v/>
      </c>
      <c r="T54" s="91" t="str">
        <f t="shared" si="5"/>
        <v/>
      </c>
      <c r="U54" s="85">
        <f t="shared" si="6"/>
        <v>0</v>
      </c>
    </row>
    <row r="55">
      <c r="A55" s="85">
        <v>53.0</v>
      </c>
      <c r="B55" s="35"/>
      <c r="C55" s="65"/>
      <c r="D55" s="76"/>
      <c r="E55" s="93"/>
      <c r="F55" s="76"/>
      <c r="G55" s="93"/>
      <c r="H55" s="93"/>
      <c r="I55" s="93"/>
      <c r="J55" s="87" t="str">
        <f t="shared" si="1"/>
        <v/>
      </c>
      <c r="K55" s="93"/>
      <c r="L55" s="93"/>
      <c r="M55" s="93"/>
      <c r="N55" s="87" t="str">
        <f t="shared" si="2"/>
        <v/>
      </c>
      <c r="O55" s="93"/>
      <c r="P55" s="93"/>
      <c r="Q55" s="93"/>
      <c r="R55" s="87" t="str">
        <f t="shared" si="3"/>
        <v/>
      </c>
      <c r="S55" s="90" t="str">
        <f t="shared" si="4"/>
        <v/>
      </c>
      <c r="T55" s="91" t="str">
        <f t="shared" si="5"/>
        <v/>
      </c>
      <c r="U55" s="85">
        <f t="shared" si="6"/>
        <v>0</v>
      </c>
    </row>
    <row r="56">
      <c r="A56" s="85">
        <v>54.0</v>
      </c>
      <c r="B56" s="35"/>
      <c r="C56" s="65"/>
      <c r="D56" s="76"/>
      <c r="E56" s="93"/>
      <c r="F56" s="76"/>
      <c r="G56" s="93"/>
      <c r="H56" s="93"/>
      <c r="I56" s="93"/>
      <c r="J56" s="87" t="str">
        <f t="shared" si="1"/>
        <v/>
      </c>
      <c r="K56" s="93"/>
      <c r="L56" s="93"/>
      <c r="M56" s="93"/>
      <c r="N56" s="87" t="str">
        <f t="shared" si="2"/>
        <v/>
      </c>
      <c r="O56" s="93"/>
      <c r="P56" s="93"/>
      <c r="Q56" s="93"/>
      <c r="R56" s="87" t="str">
        <f t="shared" si="3"/>
        <v/>
      </c>
      <c r="S56" s="90" t="str">
        <f t="shared" si="4"/>
        <v/>
      </c>
      <c r="T56" s="91" t="str">
        <f t="shared" si="5"/>
        <v/>
      </c>
      <c r="U56" s="85">
        <f t="shared" si="6"/>
        <v>0</v>
      </c>
    </row>
    <row r="57">
      <c r="A57" s="85">
        <v>55.0</v>
      </c>
      <c r="B57" s="35"/>
      <c r="C57" s="65"/>
      <c r="D57" s="76"/>
      <c r="E57" s="93"/>
      <c r="F57" s="76"/>
      <c r="G57" s="93"/>
      <c r="H57" s="93"/>
      <c r="I57" s="93"/>
      <c r="J57" s="87" t="str">
        <f t="shared" si="1"/>
        <v/>
      </c>
      <c r="K57" s="93"/>
      <c r="L57" s="93"/>
      <c r="M57" s="93"/>
      <c r="N57" s="87" t="str">
        <f t="shared" si="2"/>
        <v/>
      </c>
      <c r="O57" s="93"/>
      <c r="P57" s="93"/>
      <c r="Q57" s="93"/>
      <c r="R57" s="87" t="str">
        <f t="shared" si="3"/>
        <v/>
      </c>
      <c r="S57" s="90" t="str">
        <f t="shared" si="4"/>
        <v/>
      </c>
      <c r="T57" s="91" t="str">
        <f t="shared" si="5"/>
        <v/>
      </c>
      <c r="U57" s="85">
        <f t="shared" si="6"/>
        <v>0</v>
      </c>
    </row>
    <row r="58">
      <c r="A58" s="85">
        <v>56.0</v>
      </c>
      <c r="B58" s="35"/>
      <c r="C58" s="65"/>
      <c r="D58" s="76"/>
      <c r="E58" s="93"/>
      <c r="F58" s="76"/>
      <c r="G58" s="93"/>
      <c r="H58" s="93"/>
      <c r="I58" s="93"/>
      <c r="J58" s="87" t="str">
        <f t="shared" si="1"/>
        <v/>
      </c>
      <c r="K58" s="93"/>
      <c r="L58" s="93"/>
      <c r="M58" s="93"/>
      <c r="N58" s="87" t="str">
        <f t="shared" si="2"/>
        <v/>
      </c>
      <c r="O58" s="93"/>
      <c r="P58" s="93"/>
      <c r="Q58" s="93"/>
      <c r="R58" s="87" t="str">
        <f t="shared" si="3"/>
        <v/>
      </c>
      <c r="S58" s="90" t="str">
        <f t="shared" si="4"/>
        <v/>
      </c>
      <c r="T58" s="91" t="str">
        <f t="shared" si="5"/>
        <v/>
      </c>
      <c r="U58" s="85">
        <f t="shared" si="6"/>
        <v>0</v>
      </c>
    </row>
    <row r="59">
      <c r="A59" s="85">
        <v>57.0</v>
      </c>
      <c r="B59" s="35"/>
      <c r="C59" s="65"/>
      <c r="D59" s="76"/>
      <c r="E59" s="93"/>
      <c r="F59" s="76"/>
      <c r="G59" s="93"/>
      <c r="H59" s="93"/>
      <c r="I59" s="93"/>
      <c r="J59" s="87" t="str">
        <f t="shared" si="1"/>
        <v/>
      </c>
      <c r="K59" s="93"/>
      <c r="L59" s="93"/>
      <c r="M59" s="93"/>
      <c r="N59" s="87" t="str">
        <f t="shared" si="2"/>
        <v/>
      </c>
      <c r="O59" s="93"/>
      <c r="P59" s="93"/>
      <c r="Q59" s="93"/>
      <c r="R59" s="87" t="str">
        <f t="shared" si="3"/>
        <v/>
      </c>
      <c r="S59" s="90" t="str">
        <f t="shared" si="4"/>
        <v/>
      </c>
      <c r="T59" s="91" t="str">
        <f t="shared" si="5"/>
        <v/>
      </c>
      <c r="U59" s="85">
        <f t="shared" si="6"/>
        <v>0</v>
      </c>
    </row>
    <row r="60">
      <c r="A60" s="85">
        <v>58.0</v>
      </c>
      <c r="B60" s="35"/>
      <c r="C60" s="65"/>
      <c r="D60" s="76"/>
      <c r="E60" s="93"/>
      <c r="F60" s="76"/>
      <c r="G60" s="93"/>
      <c r="H60" s="93"/>
      <c r="I60" s="93"/>
      <c r="J60" s="87" t="str">
        <f t="shared" si="1"/>
        <v/>
      </c>
      <c r="K60" s="93"/>
      <c r="L60" s="93"/>
      <c r="M60" s="93"/>
      <c r="N60" s="87" t="str">
        <f t="shared" si="2"/>
        <v/>
      </c>
      <c r="O60" s="93"/>
      <c r="P60" s="93"/>
      <c r="Q60" s="93"/>
      <c r="R60" s="87" t="str">
        <f t="shared" si="3"/>
        <v/>
      </c>
      <c r="S60" s="90" t="str">
        <f t="shared" si="4"/>
        <v/>
      </c>
      <c r="T60" s="91" t="str">
        <f t="shared" si="5"/>
        <v/>
      </c>
      <c r="U60" s="85">
        <f t="shared" si="6"/>
        <v>0</v>
      </c>
    </row>
    <row r="61">
      <c r="A61" s="85">
        <v>59.0</v>
      </c>
      <c r="B61" s="35"/>
      <c r="C61" s="65"/>
      <c r="D61" s="76"/>
      <c r="E61" s="93"/>
      <c r="F61" s="76"/>
      <c r="G61" s="93"/>
      <c r="H61" s="93"/>
      <c r="I61" s="93"/>
      <c r="J61" s="87" t="str">
        <f t="shared" si="1"/>
        <v/>
      </c>
      <c r="K61" s="93"/>
      <c r="L61" s="93"/>
      <c r="M61" s="93"/>
      <c r="N61" s="87" t="str">
        <f t="shared" si="2"/>
        <v/>
      </c>
      <c r="O61" s="93"/>
      <c r="P61" s="93"/>
      <c r="Q61" s="93"/>
      <c r="R61" s="87" t="str">
        <f t="shared" si="3"/>
        <v/>
      </c>
      <c r="S61" s="90" t="str">
        <f t="shared" si="4"/>
        <v/>
      </c>
      <c r="T61" s="91" t="str">
        <f t="shared" si="5"/>
        <v/>
      </c>
      <c r="U61" s="85">
        <f t="shared" si="6"/>
        <v>0</v>
      </c>
    </row>
    <row r="62">
      <c r="A62" s="85">
        <v>60.0</v>
      </c>
      <c r="B62" s="35"/>
      <c r="C62" s="65"/>
      <c r="D62" s="76"/>
      <c r="E62" s="93"/>
      <c r="F62" s="76"/>
      <c r="G62" s="93"/>
      <c r="H62" s="93"/>
      <c r="I62" s="93"/>
      <c r="J62" s="87" t="str">
        <f t="shared" si="1"/>
        <v/>
      </c>
      <c r="K62" s="93"/>
      <c r="L62" s="93"/>
      <c r="M62" s="93"/>
      <c r="N62" s="87" t="str">
        <f t="shared" si="2"/>
        <v/>
      </c>
      <c r="O62" s="93"/>
      <c r="P62" s="93"/>
      <c r="Q62" s="93"/>
      <c r="R62" s="87" t="str">
        <f t="shared" si="3"/>
        <v/>
      </c>
      <c r="S62" s="90" t="str">
        <f t="shared" si="4"/>
        <v/>
      </c>
      <c r="T62" s="91" t="str">
        <f t="shared" si="5"/>
        <v/>
      </c>
      <c r="U62" s="85">
        <f t="shared" si="6"/>
        <v>0</v>
      </c>
    </row>
    <row r="63">
      <c r="A63" s="85">
        <v>61.0</v>
      </c>
      <c r="B63" s="35"/>
      <c r="C63" s="65"/>
      <c r="D63" s="76"/>
      <c r="E63" s="93"/>
      <c r="F63" s="76"/>
      <c r="G63" s="93"/>
      <c r="H63" s="93"/>
      <c r="I63" s="93"/>
      <c r="J63" s="87" t="str">
        <f t="shared" si="1"/>
        <v/>
      </c>
      <c r="K63" s="93"/>
      <c r="L63" s="93"/>
      <c r="M63" s="93"/>
      <c r="N63" s="87" t="str">
        <f t="shared" si="2"/>
        <v/>
      </c>
      <c r="O63" s="93"/>
      <c r="P63" s="93"/>
      <c r="Q63" s="93"/>
      <c r="R63" s="87" t="str">
        <f t="shared" si="3"/>
        <v/>
      </c>
      <c r="S63" s="90" t="str">
        <f t="shared" si="4"/>
        <v/>
      </c>
      <c r="T63" s="91" t="str">
        <f t="shared" si="5"/>
        <v/>
      </c>
      <c r="U63" s="85">
        <f t="shared" si="6"/>
        <v>0</v>
      </c>
    </row>
    <row r="64">
      <c r="A64" s="85">
        <v>62.0</v>
      </c>
      <c r="B64" s="35"/>
      <c r="C64" s="65"/>
      <c r="D64" s="76"/>
      <c r="E64" s="93"/>
      <c r="F64" s="76"/>
      <c r="G64" s="93"/>
      <c r="H64" s="93"/>
      <c r="I64" s="93"/>
      <c r="J64" s="87" t="str">
        <f t="shared" si="1"/>
        <v/>
      </c>
      <c r="K64" s="93"/>
      <c r="L64" s="93"/>
      <c r="M64" s="93"/>
      <c r="N64" s="87" t="str">
        <f t="shared" si="2"/>
        <v/>
      </c>
      <c r="O64" s="93"/>
      <c r="P64" s="93"/>
      <c r="Q64" s="93"/>
      <c r="R64" s="87" t="str">
        <f t="shared" si="3"/>
        <v/>
      </c>
      <c r="S64" s="90" t="str">
        <f t="shared" si="4"/>
        <v/>
      </c>
      <c r="T64" s="91" t="str">
        <f t="shared" si="5"/>
        <v/>
      </c>
      <c r="U64" s="85">
        <f t="shared" si="6"/>
        <v>0</v>
      </c>
    </row>
    <row r="65">
      <c r="A65" s="85">
        <v>63.0</v>
      </c>
      <c r="B65" s="35"/>
      <c r="C65" s="65"/>
      <c r="D65" s="76"/>
      <c r="E65" s="93"/>
      <c r="F65" s="76"/>
      <c r="G65" s="93"/>
      <c r="H65" s="93"/>
      <c r="I65" s="93"/>
      <c r="J65" s="87" t="str">
        <f t="shared" si="1"/>
        <v/>
      </c>
      <c r="K65" s="93"/>
      <c r="L65" s="93"/>
      <c r="M65" s="93"/>
      <c r="N65" s="87" t="str">
        <f t="shared" si="2"/>
        <v/>
      </c>
      <c r="O65" s="93"/>
      <c r="P65" s="93"/>
      <c r="Q65" s="93"/>
      <c r="R65" s="87" t="str">
        <f t="shared" si="3"/>
        <v/>
      </c>
      <c r="S65" s="90" t="str">
        <f t="shared" si="4"/>
        <v/>
      </c>
      <c r="T65" s="91" t="str">
        <f t="shared" si="5"/>
        <v/>
      </c>
      <c r="U65" s="85">
        <f t="shared" si="6"/>
        <v>0</v>
      </c>
    </row>
    <row r="66">
      <c r="A66" s="85">
        <v>64.0</v>
      </c>
      <c r="B66" s="35"/>
      <c r="C66" s="65"/>
      <c r="D66" s="76"/>
      <c r="E66" s="93"/>
      <c r="F66" s="76"/>
      <c r="G66" s="93"/>
      <c r="H66" s="93"/>
      <c r="I66" s="93"/>
      <c r="J66" s="87" t="str">
        <f t="shared" si="1"/>
        <v/>
      </c>
      <c r="K66" s="93"/>
      <c r="L66" s="93"/>
      <c r="M66" s="93"/>
      <c r="N66" s="87" t="str">
        <f t="shared" si="2"/>
        <v/>
      </c>
      <c r="O66" s="93"/>
      <c r="P66" s="93"/>
      <c r="Q66" s="93"/>
      <c r="R66" s="87" t="str">
        <f t="shared" si="3"/>
        <v/>
      </c>
      <c r="S66" s="90" t="str">
        <f t="shared" si="4"/>
        <v/>
      </c>
      <c r="T66" s="91" t="str">
        <f t="shared" si="5"/>
        <v/>
      </c>
      <c r="U66" s="85">
        <f t="shared" si="6"/>
        <v>0</v>
      </c>
    </row>
    <row r="67">
      <c r="A67" s="85">
        <v>65.0</v>
      </c>
      <c r="B67" s="35"/>
      <c r="C67" s="65"/>
      <c r="D67" s="76"/>
      <c r="E67" s="93"/>
      <c r="F67" s="76"/>
      <c r="G67" s="93"/>
      <c r="H67" s="93"/>
      <c r="I67" s="93"/>
      <c r="J67" s="87" t="str">
        <f t="shared" si="1"/>
        <v/>
      </c>
      <c r="K67" s="93"/>
      <c r="L67" s="93"/>
      <c r="M67" s="93"/>
      <c r="N67" s="87" t="str">
        <f t="shared" si="2"/>
        <v/>
      </c>
      <c r="O67" s="93"/>
      <c r="P67" s="93"/>
      <c r="Q67" s="93"/>
      <c r="R67" s="87" t="str">
        <f t="shared" si="3"/>
        <v/>
      </c>
      <c r="S67" s="90" t="str">
        <f t="shared" si="4"/>
        <v/>
      </c>
      <c r="T67" s="91" t="str">
        <f t="shared" si="5"/>
        <v/>
      </c>
      <c r="U67" s="85">
        <f t="shared" si="6"/>
        <v>0</v>
      </c>
    </row>
    <row r="68">
      <c r="A68" s="85">
        <v>66.0</v>
      </c>
      <c r="B68" s="35"/>
      <c r="C68" s="65"/>
      <c r="D68" s="76"/>
      <c r="E68" s="93"/>
      <c r="F68" s="76"/>
      <c r="G68" s="93"/>
      <c r="H68" s="93"/>
      <c r="I68" s="93"/>
      <c r="J68" s="87" t="str">
        <f t="shared" si="1"/>
        <v/>
      </c>
      <c r="K68" s="93"/>
      <c r="L68" s="93"/>
      <c r="M68" s="93"/>
      <c r="N68" s="87" t="str">
        <f t="shared" si="2"/>
        <v/>
      </c>
      <c r="O68" s="93"/>
      <c r="P68" s="93"/>
      <c r="Q68" s="93"/>
      <c r="R68" s="87" t="str">
        <f t="shared" si="3"/>
        <v/>
      </c>
      <c r="S68" s="90" t="str">
        <f t="shared" si="4"/>
        <v/>
      </c>
      <c r="T68" s="91" t="str">
        <f t="shared" si="5"/>
        <v/>
      </c>
      <c r="U68" s="85">
        <f t="shared" si="6"/>
        <v>0</v>
      </c>
    </row>
    <row r="69">
      <c r="A69" s="85">
        <v>67.0</v>
      </c>
      <c r="B69" s="35"/>
      <c r="C69" s="65"/>
      <c r="D69" s="76"/>
      <c r="E69" s="93"/>
      <c r="F69" s="76"/>
      <c r="G69" s="93"/>
      <c r="H69" s="93"/>
      <c r="I69" s="93"/>
      <c r="J69" s="87" t="str">
        <f t="shared" si="1"/>
        <v/>
      </c>
      <c r="K69" s="93"/>
      <c r="L69" s="93"/>
      <c r="M69" s="93"/>
      <c r="N69" s="87" t="str">
        <f t="shared" si="2"/>
        <v/>
      </c>
      <c r="O69" s="93"/>
      <c r="P69" s="93"/>
      <c r="Q69" s="93"/>
      <c r="R69" s="87" t="str">
        <f t="shared" si="3"/>
        <v/>
      </c>
      <c r="S69" s="90" t="str">
        <f t="shared" si="4"/>
        <v/>
      </c>
      <c r="T69" s="91" t="str">
        <f t="shared" si="5"/>
        <v/>
      </c>
      <c r="U69" s="85">
        <f t="shared" si="6"/>
        <v>0</v>
      </c>
    </row>
    <row r="70">
      <c r="A70" s="85">
        <v>68.0</v>
      </c>
      <c r="B70" s="35"/>
      <c r="C70" s="65"/>
      <c r="D70" s="76"/>
      <c r="E70" s="93"/>
      <c r="F70" s="76"/>
      <c r="G70" s="93"/>
      <c r="H70" s="93"/>
      <c r="I70" s="93"/>
      <c r="J70" s="87" t="str">
        <f t="shared" si="1"/>
        <v/>
      </c>
      <c r="K70" s="93"/>
      <c r="L70" s="93"/>
      <c r="M70" s="93"/>
      <c r="N70" s="87" t="str">
        <f t="shared" si="2"/>
        <v/>
      </c>
      <c r="O70" s="93"/>
      <c r="P70" s="93"/>
      <c r="Q70" s="93"/>
      <c r="R70" s="87" t="str">
        <f t="shared" si="3"/>
        <v/>
      </c>
      <c r="S70" s="90" t="str">
        <f t="shared" si="4"/>
        <v/>
      </c>
      <c r="T70" s="91" t="str">
        <f t="shared" si="5"/>
        <v/>
      </c>
      <c r="U70" s="85">
        <f t="shared" si="6"/>
        <v>0</v>
      </c>
    </row>
    <row r="71">
      <c r="A71" s="85">
        <v>69.0</v>
      </c>
      <c r="B71" s="35"/>
      <c r="C71" s="65"/>
      <c r="D71" s="76"/>
      <c r="E71" s="93"/>
      <c r="F71" s="76"/>
      <c r="G71" s="93"/>
      <c r="H71" s="93"/>
      <c r="I71" s="93"/>
      <c r="J71" s="87" t="str">
        <f t="shared" si="1"/>
        <v/>
      </c>
      <c r="K71" s="93"/>
      <c r="L71" s="93"/>
      <c r="M71" s="93"/>
      <c r="N71" s="87" t="str">
        <f t="shared" si="2"/>
        <v/>
      </c>
      <c r="O71" s="93"/>
      <c r="P71" s="93"/>
      <c r="Q71" s="93"/>
      <c r="R71" s="87" t="str">
        <f t="shared" si="3"/>
        <v/>
      </c>
      <c r="S71" s="90" t="str">
        <f t="shared" si="4"/>
        <v/>
      </c>
      <c r="T71" s="91" t="str">
        <f t="shared" si="5"/>
        <v/>
      </c>
      <c r="U71" s="85">
        <f t="shared" si="6"/>
        <v>0</v>
      </c>
    </row>
    <row r="72">
      <c r="A72" s="85">
        <v>70.0</v>
      </c>
      <c r="B72" s="35"/>
      <c r="C72" s="65"/>
      <c r="D72" s="76"/>
      <c r="E72" s="93"/>
      <c r="F72" s="76"/>
      <c r="G72" s="93"/>
      <c r="H72" s="93"/>
      <c r="I72" s="93"/>
      <c r="J72" s="87" t="str">
        <f t="shared" si="1"/>
        <v/>
      </c>
      <c r="K72" s="93"/>
      <c r="L72" s="93"/>
      <c r="M72" s="93"/>
      <c r="N72" s="87" t="str">
        <f t="shared" si="2"/>
        <v/>
      </c>
      <c r="O72" s="93"/>
      <c r="P72" s="93"/>
      <c r="Q72" s="93"/>
      <c r="R72" s="87" t="str">
        <f t="shared" si="3"/>
        <v/>
      </c>
      <c r="S72" s="90" t="str">
        <f t="shared" si="4"/>
        <v/>
      </c>
      <c r="T72" s="91" t="str">
        <f t="shared" si="5"/>
        <v/>
      </c>
      <c r="U72" s="85">
        <f t="shared" si="6"/>
        <v>0</v>
      </c>
    </row>
    <row r="73">
      <c r="A73" s="85">
        <v>71.0</v>
      </c>
      <c r="B73" s="35"/>
      <c r="C73" s="65"/>
      <c r="D73" s="76"/>
      <c r="E73" s="93"/>
      <c r="F73" s="76"/>
      <c r="G73" s="93"/>
      <c r="H73" s="93"/>
      <c r="I73" s="93"/>
      <c r="J73" s="87" t="str">
        <f t="shared" si="1"/>
        <v/>
      </c>
      <c r="K73" s="93"/>
      <c r="L73" s="93"/>
      <c r="M73" s="93"/>
      <c r="N73" s="87" t="str">
        <f t="shared" si="2"/>
        <v/>
      </c>
      <c r="O73" s="93"/>
      <c r="P73" s="93"/>
      <c r="Q73" s="93"/>
      <c r="R73" s="87" t="str">
        <f t="shared" si="3"/>
        <v/>
      </c>
      <c r="S73" s="90" t="str">
        <f t="shared" si="4"/>
        <v/>
      </c>
      <c r="T73" s="91" t="str">
        <f t="shared" si="5"/>
        <v/>
      </c>
      <c r="U73" s="85">
        <f t="shared" si="6"/>
        <v>0</v>
      </c>
    </row>
    <row r="74">
      <c r="A74" s="85">
        <v>72.0</v>
      </c>
      <c r="B74" s="35"/>
      <c r="C74" s="65"/>
      <c r="D74" s="76"/>
      <c r="E74" s="93"/>
      <c r="F74" s="76"/>
      <c r="G74" s="93"/>
      <c r="H74" s="93"/>
      <c r="I74" s="93"/>
      <c r="J74" s="87" t="str">
        <f t="shared" si="1"/>
        <v/>
      </c>
      <c r="K74" s="93"/>
      <c r="L74" s="93"/>
      <c r="M74" s="93"/>
      <c r="N74" s="87" t="str">
        <f t="shared" si="2"/>
        <v/>
      </c>
      <c r="O74" s="93"/>
      <c r="P74" s="93"/>
      <c r="Q74" s="93"/>
      <c r="R74" s="87" t="str">
        <f t="shared" si="3"/>
        <v/>
      </c>
      <c r="S74" s="90" t="str">
        <f t="shared" si="4"/>
        <v/>
      </c>
      <c r="T74" s="91" t="str">
        <f t="shared" si="5"/>
        <v/>
      </c>
      <c r="U74" s="85">
        <f t="shared" si="6"/>
        <v>0</v>
      </c>
    </row>
    <row r="75">
      <c r="A75" s="85">
        <v>73.0</v>
      </c>
      <c r="B75" s="35"/>
      <c r="C75" s="65"/>
      <c r="D75" s="76"/>
      <c r="E75" s="93"/>
      <c r="F75" s="76"/>
      <c r="G75" s="93"/>
      <c r="H75" s="93"/>
      <c r="I75" s="93"/>
      <c r="J75" s="87" t="str">
        <f t="shared" si="1"/>
        <v/>
      </c>
      <c r="K75" s="93"/>
      <c r="L75" s="93"/>
      <c r="M75" s="93"/>
      <c r="N75" s="87" t="str">
        <f t="shared" si="2"/>
        <v/>
      </c>
      <c r="O75" s="93"/>
      <c r="P75" s="93"/>
      <c r="Q75" s="93"/>
      <c r="R75" s="87" t="str">
        <f t="shared" si="3"/>
        <v/>
      </c>
      <c r="S75" s="90" t="str">
        <f t="shared" si="4"/>
        <v/>
      </c>
      <c r="T75" s="91" t="str">
        <f t="shared" si="5"/>
        <v/>
      </c>
      <c r="U75" s="85">
        <f t="shared" si="6"/>
        <v>0</v>
      </c>
    </row>
    <row r="76">
      <c r="A76" s="85">
        <v>74.0</v>
      </c>
      <c r="B76" s="35"/>
      <c r="C76" s="65"/>
      <c r="D76" s="76"/>
      <c r="E76" s="93"/>
      <c r="F76" s="76"/>
      <c r="G76" s="93"/>
      <c r="H76" s="93"/>
      <c r="I76" s="93"/>
      <c r="J76" s="87" t="str">
        <f t="shared" si="1"/>
        <v/>
      </c>
      <c r="K76" s="93"/>
      <c r="L76" s="93"/>
      <c r="M76" s="93"/>
      <c r="N76" s="87" t="str">
        <f t="shared" si="2"/>
        <v/>
      </c>
      <c r="O76" s="93"/>
      <c r="P76" s="93"/>
      <c r="Q76" s="93"/>
      <c r="R76" s="87" t="str">
        <f t="shared" si="3"/>
        <v/>
      </c>
      <c r="S76" s="90" t="str">
        <f t="shared" si="4"/>
        <v/>
      </c>
      <c r="T76" s="91" t="str">
        <f t="shared" si="5"/>
        <v/>
      </c>
      <c r="U76" s="85">
        <f t="shared" si="6"/>
        <v>0</v>
      </c>
    </row>
    <row r="77">
      <c r="A77" s="85">
        <v>75.0</v>
      </c>
      <c r="B77" s="35"/>
      <c r="C77" s="65"/>
      <c r="D77" s="76"/>
      <c r="E77" s="93"/>
      <c r="F77" s="76"/>
      <c r="G77" s="93"/>
      <c r="H77" s="93"/>
      <c r="I77" s="93"/>
      <c r="J77" s="87" t="str">
        <f t="shared" si="1"/>
        <v/>
      </c>
      <c r="K77" s="93"/>
      <c r="L77" s="93"/>
      <c r="M77" s="93"/>
      <c r="N77" s="87" t="str">
        <f t="shared" si="2"/>
        <v/>
      </c>
      <c r="O77" s="93"/>
      <c r="P77" s="93"/>
      <c r="Q77" s="93"/>
      <c r="R77" s="87" t="str">
        <f t="shared" si="3"/>
        <v/>
      </c>
      <c r="S77" s="90" t="str">
        <f t="shared" si="4"/>
        <v/>
      </c>
      <c r="T77" s="91" t="str">
        <f t="shared" si="5"/>
        <v/>
      </c>
      <c r="U77" s="85">
        <f t="shared" si="6"/>
        <v>0</v>
      </c>
    </row>
  </sheetData>
  <autoFilter ref="$B$2:$T$77"/>
  <customSheetViews>
    <customSheetView guid="{B0C17AAF-6872-48F8-A58E-565BF6C8DB27}" filter="1" showAutoFilter="1">
      <autoFilter ref="$C$2:$T$52"/>
    </customSheetView>
  </customSheetViews>
  <mergeCells count="3">
    <mergeCell ref="K1:N1"/>
    <mergeCell ref="O1:R1"/>
    <mergeCell ref="G1:J1"/>
  </mergeCells>
  <conditionalFormatting sqref="G3:I77 K3:M77 O3:Q77">
    <cfRule type="endsWith" dxfId="2" priority="1" operator="endsWith" text="g">
      <formula>RIGHT((G3),LEN("g"))=("g")</formula>
    </cfRule>
  </conditionalFormatting>
  <conditionalFormatting sqref="G3:I77 K3:M77 O3:Q77">
    <cfRule type="endsWith" dxfId="1" priority="2" operator="endsWith" text="x">
      <formula>RIGHT((G3),LEN("x"))=("x")</formula>
    </cfRule>
  </conditionalFormatting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tabColor rgb="FF000000"/>
    <outlinePr summaryBelow="0" summaryRight="0"/>
  </sheetPr>
  <sheetViews>
    <sheetView workbookViewId="0">
      <pane xSplit="6.0" ySplit="2.0" topLeftCell="G3" activePane="bottomRight" state="frozen"/>
      <selection activeCell="G1" sqref="G1" pane="topRight"/>
      <selection activeCell="A3" sqref="A3" pane="bottomLeft"/>
      <selection activeCell="G3" sqref="G3" pane="bottomRight"/>
    </sheetView>
  </sheetViews>
  <sheetFormatPr customHeight="1" defaultColWidth="14.43" defaultRowHeight="15.75"/>
  <cols>
    <col customWidth="1" min="1" max="1" width="3.57"/>
    <col customWidth="1" min="2" max="2" width="10.57"/>
    <col customWidth="1" min="3" max="3" width="6.86"/>
    <col customWidth="1" min="4" max="4" width="14.71"/>
    <col customWidth="1" min="5" max="5" width="7.57"/>
    <col customWidth="1" min="6" max="6" width="18.29"/>
    <col customWidth="1" min="7" max="18" width="5.71"/>
    <col customWidth="1" min="19" max="19" width="9.86"/>
    <col customWidth="1" min="20" max="20" width="11.0"/>
    <col customWidth="1" hidden="1" min="21" max="21" width="11.0"/>
  </cols>
  <sheetData>
    <row r="1">
      <c r="A1" s="14"/>
      <c r="B1" s="16" t="s">
        <v>19</v>
      </c>
      <c r="C1" s="16" t="s">
        <v>135</v>
      </c>
      <c r="D1" s="57" t="s">
        <v>22</v>
      </c>
      <c r="E1" s="57" t="s">
        <v>23</v>
      </c>
      <c r="F1" s="57" t="s">
        <v>25</v>
      </c>
      <c r="G1" s="57" t="s">
        <v>115</v>
      </c>
      <c r="K1" s="57" t="s">
        <v>116</v>
      </c>
      <c r="O1" s="57" t="s">
        <v>117</v>
      </c>
      <c r="S1" s="57" t="s">
        <v>118</v>
      </c>
      <c r="T1" s="57" t="s">
        <v>119</v>
      </c>
      <c r="U1" s="57"/>
    </row>
    <row r="2">
      <c r="A2" s="81"/>
      <c r="B2" s="83" t="s">
        <v>19</v>
      </c>
      <c r="C2" s="83" t="s">
        <v>135</v>
      </c>
      <c r="D2" s="83" t="s">
        <v>22</v>
      </c>
      <c r="E2" s="84" t="s">
        <v>23</v>
      </c>
      <c r="F2" s="83" t="s">
        <v>25</v>
      </c>
      <c r="G2" s="83" t="s">
        <v>136</v>
      </c>
      <c r="H2" s="83" t="s">
        <v>137</v>
      </c>
      <c r="I2" s="83" t="s">
        <v>138</v>
      </c>
      <c r="J2" s="83" t="s">
        <v>139</v>
      </c>
      <c r="K2" s="83" t="s">
        <v>140</v>
      </c>
      <c r="L2" s="83" t="s">
        <v>141</v>
      </c>
      <c r="M2" s="83" t="s">
        <v>142</v>
      </c>
      <c r="N2" s="83" t="s">
        <v>143</v>
      </c>
      <c r="O2" s="83" t="s">
        <v>144</v>
      </c>
      <c r="P2" s="83" t="s">
        <v>145</v>
      </c>
      <c r="Q2" s="83" t="s">
        <v>146</v>
      </c>
      <c r="R2" s="83" t="s">
        <v>147</v>
      </c>
      <c r="S2" s="83"/>
      <c r="T2" s="84" t="s">
        <v>119</v>
      </c>
      <c r="U2" s="84"/>
    </row>
    <row r="3">
      <c r="A3" s="85">
        <v>1.0</v>
      </c>
      <c r="B3" s="35"/>
      <c r="C3" s="35"/>
      <c r="D3" s="86"/>
      <c r="E3" s="35"/>
      <c r="F3" s="86"/>
      <c r="G3" s="35"/>
      <c r="H3" s="85"/>
      <c r="I3" s="85"/>
      <c r="J3" s="87" t="str">
        <f t="shared" ref="J3:J77" si="1">IFERROR(__xludf.DUMMYFUNCTION("if(isblank(B3),,Max(if(right(G3,1)=""g"",split(G3,""g""),),if(right(H3,1)=""g"",split(H3,""g""),),if(right(I3,1)=""g"",split(I3,""g""),)))"),"")</f>
        <v/>
      </c>
      <c r="K3" s="35"/>
      <c r="L3" s="88"/>
      <c r="M3" s="88"/>
      <c r="N3" s="87" t="str">
        <f t="shared" ref="N3:N77" si="2">IFERROR(__xludf.DUMMYFUNCTION("if(isblank($B3),,Max(if(right(K3,1)=""g"",split(K3,""g""),),if(right(L3,1)=""g"",split(L3,""g""),),if(right(M3,1)=""g"",split(M3,""g""),)))"),"")</f>
        <v/>
      </c>
      <c r="O3" s="35"/>
      <c r="P3" s="88"/>
      <c r="Q3" s="88"/>
      <c r="R3" s="87" t="str">
        <f t="shared" ref="R3:R77" si="3">IFERROR(__xludf.DUMMYFUNCTION("if(isblank($B3),,Max(if(right(O3,1)=""g"",split(O3,""g""),),if(right(P3,1)=""g"",split(P3,""g""),),if(right(Q3,1)=""g"",split(Q3,""g""),)))"),"")</f>
        <v/>
      </c>
      <c r="S3" s="90" t="str">
        <f t="shared" ref="S3:S77" si="4">if(isblank(F3),,if(or(and(right(G3,1)="x",right(H3,1)="x",right(I3,1)="x"),and(right(K3,1)="x",right(L3,1)="x",right(M3,1)="x"),and(right(O3,1)="x",right(P3,1)="x",right(Q3,1)="x")),0,J3+N3+R3))</f>
        <v/>
      </c>
      <c r="T3" s="91" t="str">
        <f t="shared" ref="T3:T77" si="5">if(isblank(E3),,S3/E3)</f>
        <v/>
      </c>
      <c r="U3" s="85">
        <f t="shared" ref="U3:U77" si="6">countif(G3:Q3,"*g")</f>
        <v>0</v>
      </c>
    </row>
    <row r="4">
      <c r="A4" s="85">
        <v>2.0</v>
      </c>
      <c r="B4" s="35"/>
      <c r="C4" s="35"/>
      <c r="D4" s="86"/>
      <c r="E4" s="35"/>
      <c r="F4" s="86"/>
      <c r="G4" s="35"/>
      <c r="H4" s="85"/>
      <c r="I4" s="85"/>
      <c r="J4" s="87" t="str">
        <f t="shared" si="1"/>
        <v/>
      </c>
      <c r="K4" s="35"/>
      <c r="L4" s="88"/>
      <c r="M4" s="88"/>
      <c r="N4" s="87" t="str">
        <f t="shared" si="2"/>
        <v/>
      </c>
      <c r="O4" s="35"/>
      <c r="P4" s="88"/>
      <c r="Q4" s="88"/>
      <c r="R4" s="87" t="str">
        <f t="shared" si="3"/>
        <v/>
      </c>
      <c r="S4" s="90" t="str">
        <f t="shared" si="4"/>
        <v/>
      </c>
      <c r="T4" s="91" t="str">
        <f t="shared" si="5"/>
        <v/>
      </c>
      <c r="U4" s="85">
        <f t="shared" si="6"/>
        <v>0</v>
      </c>
    </row>
    <row r="5">
      <c r="A5" s="85">
        <v>3.0</v>
      </c>
      <c r="B5" s="35"/>
      <c r="C5" s="35"/>
      <c r="D5" s="86"/>
      <c r="E5" s="35"/>
      <c r="F5" s="86"/>
      <c r="G5" s="35"/>
      <c r="H5" s="85"/>
      <c r="I5" s="85"/>
      <c r="J5" s="87" t="str">
        <f t="shared" si="1"/>
        <v/>
      </c>
      <c r="K5" s="35"/>
      <c r="L5" s="88"/>
      <c r="M5" s="88"/>
      <c r="N5" s="87" t="str">
        <f t="shared" si="2"/>
        <v/>
      </c>
      <c r="O5" s="35"/>
      <c r="P5" s="88"/>
      <c r="Q5" s="88"/>
      <c r="R5" s="87" t="str">
        <f t="shared" si="3"/>
        <v/>
      </c>
      <c r="S5" s="90" t="str">
        <f t="shared" si="4"/>
        <v/>
      </c>
      <c r="T5" s="91" t="str">
        <f t="shared" si="5"/>
        <v/>
      </c>
      <c r="U5" s="85">
        <f t="shared" si="6"/>
        <v>0</v>
      </c>
    </row>
    <row r="6" ht="16.5" customHeight="1">
      <c r="A6" s="85">
        <v>4.0</v>
      </c>
      <c r="B6" s="35"/>
      <c r="C6" s="35"/>
      <c r="D6" s="86"/>
      <c r="E6" s="35"/>
      <c r="F6" s="86"/>
      <c r="G6" s="35"/>
      <c r="H6" s="85"/>
      <c r="I6" s="85"/>
      <c r="J6" s="87" t="str">
        <f t="shared" si="1"/>
        <v/>
      </c>
      <c r="K6" s="35"/>
      <c r="L6" s="88"/>
      <c r="M6" s="88"/>
      <c r="N6" s="87" t="str">
        <f t="shared" si="2"/>
        <v/>
      </c>
      <c r="O6" s="35"/>
      <c r="P6" s="88"/>
      <c r="Q6" s="88"/>
      <c r="R6" s="87" t="str">
        <f t="shared" si="3"/>
        <v/>
      </c>
      <c r="S6" s="90" t="str">
        <f t="shared" si="4"/>
        <v/>
      </c>
      <c r="T6" s="91" t="str">
        <f t="shared" si="5"/>
        <v/>
      </c>
      <c r="U6" s="85">
        <f t="shared" si="6"/>
        <v>0</v>
      </c>
    </row>
    <row r="7">
      <c r="A7" s="85">
        <v>5.0</v>
      </c>
      <c r="B7" s="35"/>
      <c r="C7" s="35"/>
      <c r="D7" s="86"/>
      <c r="E7" s="35"/>
      <c r="F7" s="86"/>
      <c r="G7" s="35"/>
      <c r="H7" s="85"/>
      <c r="I7" s="85"/>
      <c r="J7" s="87" t="str">
        <f t="shared" si="1"/>
        <v/>
      </c>
      <c r="K7" s="35"/>
      <c r="L7" s="88"/>
      <c r="M7" s="88"/>
      <c r="N7" s="87" t="str">
        <f t="shared" si="2"/>
        <v/>
      </c>
      <c r="O7" s="35"/>
      <c r="P7" s="88"/>
      <c r="Q7" s="88"/>
      <c r="R7" s="87" t="str">
        <f t="shared" si="3"/>
        <v/>
      </c>
      <c r="S7" s="90" t="str">
        <f t="shared" si="4"/>
        <v/>
      </c>
      <c r="T7" s="91" t="str">
        <f t="shared" si="5"/>
        <v/>
      </c>
      <c r="U7" s="85">
        <f t="shared" si="6"/>
        <v>0</v>
      </c>
    </row>
    <row r="8">
      <c r="A8" s="85">
        <v>6.0</v>
      </c>
      <c r="B8" s="35"/>
      <c r="C8" s="35"/>
      <c r="D8" s="86"/>
      <c r="E8" s="35"/>
      <c r="F8" s="86"/>
      <c r="G8" s="35"/>
      <c r="H8" s="85"/>
      <c r="I8" s="89"/>
      <c r="J8" s="87" t="str">
        <f t="shared" si="1"/>
        <v/>
      </c>
      <c r="K8" s="35"/>
      <c r="L8" s="88"/>
      <c r="M8" s="88"/>
      <c r="N8" s="87" t="str">
        <f t="shared" si="2"/>
        <v/>
      </c>
      <c r="O8" s="35"/>
      <c r="P8" s="88"/>
      <c r="Q8" s="88"/>
      <c r="R8" s="87" t="str">
        <f t="shared" si="3"/>
        <v/>
      </c>
      <c r="S8" s="90" t="str">
        <f t="shared" si="4"/>
        <v/>
      </c>
      <c r="T8" s="91" t="str">
        <f t="shared" si="5"/>
        <v/>
      </c>
      <c r="U8" s="85">
        <f t="shared" si="6"/>
        <v>0</v>
      </c>
    </row>
    <row r="9">
      <c r="A9" s="85">
        <v>7.0</v>
      </c>
      <c r="B9" s="35"/>
      <c r="C9" s="35"/>
      <c r="D9" s="86"/>
      <c r="E9" s="35"/>
      <c r="F9" s="86"/>
      <c r="G9" s="35"/>
      <c r="H9" s="85"/>
      <c r="I9" s="85"/>
      <c r="J9" s="87" t="str">
        <f t="shared" si="1"/>
        <v/>
      </c>
      <c r="K9" s="35"/>
      <c r="L9" s="88"/>
      <c r="M9" s="88"/>
      <c r="N9" s="87" t="str">
        <f t="shared" si="2"/>
        <v/>
      </c>
      <c r="O9" s="35"/>
      <c r="P9" s="88"/>
      <c r="Q9" s="88"/>
      <c r="R9" s="87" t="str">
        <f t="shared" si="3"/>
        <v/>
      </c>
      <c r="S9" s="90" t="str">
        <f t="shared" si="4"/>
        <v/>
      </c>
      <c r="T9" s="91" t="str">
        <f t="shared" si="5"/>
        <v/>
      </c>
      <c r="U9" s="85">
        <f t="shared" si="6"/>
        <v>0</v>
      </c>
    </row>
    <row r="10">
      <c r="A10" s="85">
        <v>8.0</v>
      </c>
      <c r="B10" s="35"/>
      <c r="C10" s="35"/>
      <c r="D10" s="86"/>
      <c r="E10" s="85"/>
      <c r="F10" s="86"/>
      <c r="G10" s="35"/>
      <c r="H10" s="85"/>
      <c r="I10" s="85"/>
      <c r="J10" s="87" t="str">
        <f t="shared" si="1"/>
        <v/>
      </c>
      <c r="K10" s="35"/>
      <c r="L10" s="88"/>
      <c r="M10" s="88"/>
      <c r="N10" s="87" t="str">
        <f t="shared" si="2"/>
        <v/>
      </c>
      <c r="O10" s="35"/>
      <c r="P10" s="88"/>
      <c r="Q10" s="88"/>
      <c r="R10" s="87" t="str">
        <f t="shared" si="3"/>
        <v/>
      </c>
      <c r="S10" s="90" t="str">
        <f t="shared" si="4"/>
        <v/>
      </c>
      <c r="T10" s="91" t="str">
        <f t="shared" si="5"/>
        <v/>
      </c>
      <c r="U10" s="85">
        <f t="shared" si="6"/>
        <v>0</v>
      </c>
    </row>
    <row r="11">
      <c r="A11" s="85">
        <v>9.0</v>
      </c>
      <c r="B11" s="35"/>
      <c r="C11" s="35"/>
      <c r="D11" s="86"/>
      <c r="E11" s="35"/>
      <c r="F11" s="86"/>
      <c r="G11" s="35"/>
      <c r="H11" s="85"/>
      <c r="I11" s="85"/>
      <c r="J11" s="87" t="str">
        <f t="shared" si="1"/>
        <v/>
      </c>
      <c r="K11" s="35"/>
      <c r="L11" s="88"/>
      <c r="M11" s="88"/>
      <c r="N11" s="87" t="str">
        <f t="shared" si="2"/>
        <v/>
      </c>
      <c r="O11" s="35"/>
      <c r="P11" s="88"/>
      <c r="Q11" s="88"/>
      <c r="R11" s="87" t="str">
        <f t="shared" si="3"/>
        <v/>
      </c>
      <c r="S11" s="90" t="str">
        <f t="shared" si="4"/>
        <v/>
      </c>
      <c r="T11" s="91" t="str">
        <f t="shared" si="5"/>
        <v/>
      </c>
      <c r="U11" s="85">
        <f t="shared" si="6"/>
        <v>0</v>
      </c>
    </row>
    <row r="12">
      <c r="A12" s="85">
        <v>10.0</v>
      </c>
      <c r="B12" s="35"/>
      <c r="C12" s="35"/>
      <c r="D12" s="86"/>
      <c r="E12" s="35"/>
      <c r="F12" s="86"/>
      <c r="G12" s="35"/>
      <c r="H12" s="85"/>
      <c r="I12" s="85"/>
      <c r="J12" s="87" t="str">
        <f t="shared" si="1"/>
        <v/>
      </c>
      <c r="K12" s="35"/>
      <c r="L12" s="88"/>
      <c r="M12" s="85"/>
      <c r="N12" s="87" t="str">
        <f t="shared" si="2"/>
        <v/>
      </c>
      <c r="O12" s="35"/>
      <c r="P12" s="88"/>
      <c r="Q12" s="85"/>
      <c r="R12" s="87" t="str">
        <f t="shared" si="3"/>
        <v/>
      </c>
      <c r="S12" s="90" t="str">
        <f t="shared" si="4"/>
        <v/>
      </c>
      <c r="T12" s="91" t="str">
        <f t="shared" si="5"/>
        <v/>
      </c>
      <c r="U12" s="85">
        <f t="shared" si="6"/>
        <v>0</v>
      </c>
    </row>
    <row r="13">
      <c r="A13" s="85">
        <v>11.0</v>
      </c>
      <c r="B13" s="35"/>
      <c r="C13" s="35"/>
      <c r="D13" s="86"/>
      <c r="E13" s="35"/>
      <c r="F13" s="86"/>
      <c r="G13" s="35"/>
      <c r="H13" s="85"/>
      <c r="I13" s="85"/>
      <c r="J13" s="87" t="str">
        <f t="shared" si="1"/>
        <v/>
      </c>
      <c r="K13" s="35"/>
      <c r="L13" s="88"/>
      <c r="M13" s="88"/>
      <c r="N13" s="87" t="str">
        <f t="shared" si="2"/>
        <v/>
      </c>
      <c r="O13" s="35"/>
      <c r="P13" s="88"/>
      <c r="Q13" s="88"/>
      <c r="R13" s="87" t="str">
        <f t="shared" si="3"/>
        <v/>
      </c>
      <c r="S13" s="90" t="str">
        <f t="shared" si="4"/>
        <v/>
      </c>
      <c r="T13" s="91" t="str">
        <f t="shared" si="5"/>
        <v/>
      </c>
      <c r="U13" s="85">
        <f t="shared" si="6"/>
        <v>0</v>
      </c>
    </row>
    <row r="14">
      <c r="A14" s="85">
        <v>12.0</v>
      </c>
      <c r="B14" s="35"/>
      <c r="C14" s="35"/>
      <c r="D14" s="86"/>
      <c r="E14" s="35"/>
      <c r="F14" s="86"/>
      <c r="G14" s="35"/>
      <c r="H14" s="85"/>
      <c r="I14" s="85"/>
      <c r="J14" s="87" t="str">
        <f t="shared" si="1"/>
        <v/>
      </c>
      <c r="K14" s="35"/>
      <c r="L14" s="88"/>
      <c r="M14" s="88"/>
      <c r="N14" s="87" t="str">
        <f t="shared" si="2"/>
        <v/>
      </c>
      <c r="O14" s="35"/>
      <c r="P14" s="88"/>
      <c r="Q14" s="88"/>
      <c r="R14" s="87" t="str">
        <f t="shared" si="3"/>
        <v/>
      </c>
      <c r="S14" s="90" t="str">
        <f t="shared" si="4"/>
        <v/>
      </c>
      <c r="T14" s="91" t="str">
        <f t="shared" si="5"/>
        <v/>
      </c>
      <c r="U14" s="85">
        <f t="shared" si="6"/>
        <v>0</v>
      </c>
    </row>
    <row r="15">
      <c r="A15" s="85">
        <v>13.0</v>
      </c>
      <c r="B15" s="35"/>
      <c r="C15" s="35"/>
      <c r="D15" s="86"/>
      <c r="E15" s="35"/>
      <c r="F15" s="86"/>
      <c r="G15" s="35"/>
      <c r="H15" s="85"/>
      <c r="I15" s="85"/>
      <c r="J15" s="87" t="str">
        <f t="shared" si="1"/>
        <v/>
      </c>
      <c r="K15" s="35"/>
      <c r="L15" s="88"/>
      <c r="M15" s="88"/>
      <c r="N15" s="87" t="str">
        <f t="shared" si="2"/>
        <v/>
      </c>
      <c r="O15" s="35"/>
      <c r="P15" s="88"/>
      <c r="Q15" s="88"/>
      <c r="R15" s="87" t="str">
        <f t="shared" si="3"/>
        <v/>
      </c>
      <c r="S15" s="90" t="str">
        <f t="shared" si="4"/>
        <v/>
      </c>
      <c r="T15" s="91" t="str">
        <f t="shared" si="5"/>
        <v/>
      </c>
      <c r="U15" s="85">
        <f t="shared" si="6"/>
        <v>0</v>
      </c>
    </row>
    <row r="16">
      <c r="A16" s="85">
        <v>14.0</v>
      </c>
      <c r="B16" s="35"/>
      <c r="C16" s="35"/>
      <c r="D16" s="86"/>
      <c r="E16" s="35"/>
      <c r="F16" s="86"/>
      <c r="G16" s="35"/>
      <c r="H16" s="85"/>
      <c r="I16" s="85"/>
      <c r="J16" s="87" t="str">
        <f t="shared" si="1"/>
        <v/>
      </c>
      <c r="K16" s="35"/>
      <c r="L16" s="88"/>
      <c r="M16" s="88"/>
      <c r="N16" s="87" t="str">
        <f t="shared" si="2"/>
        <v/>
      </c>
      <c r="O16" s="35"/>
      <c r="P16" s="88"/>
      <c r="Q16" s="88"/>
      <c r="R16" s="87" t="str">
        <f t="shared" si="3"/>
        <v/>
      </c>
      <c r="S16" s="90" t="str">
        <f t="shared" si="4"/>
        <v/>
      </c>
      <c r="T16" s="91" t="str">
        <f t="shared" si="5"/>
        <v/>
      </c>
      <c r="U16" s="85">
        <f t="shared" si="6"/>
        <v>0</v>
      </c>
    </row>
    <row r="17">
      <c r="A17" s="85">
        <v>15.0</v>
      </c>
      <c r="B17" s="35"/>
      <c r="C17" s="35"/>
      <c r="D17" s="86"/>
      <c r="E17" s="35"/>
      <c r="F17" s="86"/>
      <c r="G17" s="35"/>
      <c r="H17" s="85"/>
      <c r="I17" s="85"/>
      <c r="J17" s="87" t="str">
        <f t="shared" si="1"/>
        <v/>
      </c>
      <c r="K17" s="35"/>
      <c r="L17" s="88"/>
      <c r="M17" s="88"/>
      <c r="N17" s="87" t="str">
        <f t="shared" si="2"/>
        <v/>
      </c>
      <c r="O17" s="35"/>
      <c r="P17" s="88"/>
      <c r="Q17" s="88"/>
      <c r="R17" s="87" t="str">
        <f t="shared" si="3"/>
        <v/>
      </c>
      <c r="S17" s="90" t="str">
        <f t="shared" si="4"/>
        <v/>
      </c>
      <c r="T17" s="91" t="str">
        <f t="shared" si="5"/>
        <v/>
      </c>
      <c r="U17" s="85">
        <f t="shared" si="6"/>
        <v>0</v>
      </c>
    </row>
    <row r="18">
      <c r="A18" s="85">
        <v>16.0</v>
      </c>
      <c r="B18" s="35"/>
      <c r="C18" s="35"/>
      <c r="D18" s="86"/>
      <c r="E18" s="35"/>
      <c r="F18" s="86"/>
      <c r="G18" s="35"/>
      <c r="H18" s="85"/>
      <c r="I18" s="85"/>
      <c r="J18" s="87" t="str">
        <f t="shared" si="1"/>
        <v/>
      </c>
      <c r="K18" s="35"/>
      <c r="L18" s="88"/>
      <c r="M18" s="88"/>
      <c r="N18" s="87" t="str">
        <f t="shared" si="2"/>
        <v/>
      </c>
      <c r="O18" s="35"/>
      <c r="P18" s="88"/>
      <c r="Q18" s="88"/>
      <c r="R18" s="87" t="str">
        <f t="shared" si="3"/>
        <v/>
      </c>
      <c r="S18" s="90" t="str">
        <f t="shared" si="4"/>
        <v/>
      </c>
      <c r="T18" s="91" t="str">
        <f t="shared" si="5"/>
        <v/>
      </c>
      <c r="U18" s="85">
        <f t="shared" si="6"/>
        <v>0</v>
      </c>
    </row>
    <row r="19">
      <c r="A19" s="85">
        <v>17.0</v>
      </c>
      <c r="B19" s="35"/>
      <c r="C19" s="35"/>
      <c r="D19" s="86"/>
      <c r="E19" s="35"/>
      <c r="F19" s="86"/>
      <c r="G19" s="35"/>
      <c r="H19" s="85"/>
      <c r="I19" s="85"/>
      <c r="J19" s="87" t="str">
        <f t="shared" si="1"/>
        <v/>
      </c>
      <c r="K19" s="35"/>
      <c r="L19" s="88"/>
      <c r="M19" s="85"/>
      <c r="N19" s="87" t="str">
        <f t="shared" si="2"/>
        <v/>
      </c>
      <c r="O19" s="35"/>
      <c r="P19" s="88"/>
      <c r="Q19" s="85"/>
      <c r="R19" s="87" t="str">
        <f t="shared" si="3"/>
        <v/>
      </c>
      <c r="S19" s="90" t="str">
        <f t="shared" si="4"/>
        <v/>
      </c>
      <c r="T19" s="91" t="str">
        <f t="shared" si="5"/>
        <v/>
      </c>
      <c r="U19" s="85">
        <f t="shared" si="6"/>
        <v>0</v>
      </c>
    </row>
    <row r="20">
      <c r="A20" s="85">
        <v>18.0</v>
      </c>
      <c r="B20" s="35"/>
      <c r="C20" s="35"/>
      <c r="D20" s="86"/>
      <c r="E20" s="85"/>
      <c r="F20" s="86"/>
      <c r="G20" s="35"/>
      <c r="H20" s="85"/>
      <c r="I20" s="85"/>
      <c r="J20" s="87" t="str">
        <f t="shared" si="1"/>
        <v/>
      </c>
      <c r="K20" s="35"/>
      <c r="L20" s="88"/>
      <c r="M20" s="89"/>
      <c r="N20" s="87" t="str">
        <f t="shared" si="2"/>
        <v/>
      </c>
      <c r="O20" s="35"/>
      <c r="P20" s="88"/>
      <c r="Q20" s="88"/>
      <c r="R20" s="87" t="str">
        <f t="shared" si="3"/>
        <v/>
      </c>
      <c r="S20" s="90" t="str">
        <f t="shared" si="4"/>
        <v/>
      </c>
      <c r="T20" s="91" t="str">
        <f t="shared" si="5"/>
        <v/>
      </c>
      <c r="U20" s="85">
        <f t="shared" si="6"/>
        <v>0</v>
      </c>
    </row>
    <row r="21">
      <c r="A21" s="85">
        <v>19.0</v>
      </c>
      <c r="B21" s="35"/>
      <c r="C21" s="35"/>
      <c r="D21" s="86"/>
      <c r="E21" s="35"/>
      <c r="F21" s="86"/>
      <c r="G21" s="35"/>
      <c r="H21" s="85"/>
      <c r="I21" s="85"/>
      <c r="J21" s="87" t="str">
        <f t="shared" si="1"/>
        <v/>
      </c>
      <c r="K21" s="35"/>
      <c r="L21" s="88"/>
      <c r="M21" s="85"/>
      <c r="N21" s="87" t="str">
        <f t="shared" si="2"/>
        <v/>
      </c>
      <c r="O21" s="35"/>
      <c r="P21" s="88"/>
      <c r="Q21" s="85"/>
      <c r="R21" s="87" t="str">
        <f t="shared" si="3"/>
        <v/>
      </c>
      <c r="S21" s="90" t="str">
        <f t="shared" si="4"/>
        <v/>
      </c>
      <c r="T21" s="91" t="str">
        <f t="shared" si="5"/>
        <v/>
      </c>
      <c r="U21" s="85">
        <f t="shared" si="6"/>
        <v>0</v>
      </c>
    </row>
    <row r="22">
      <c r="A22" s="85">
        <v>20.0</v>
      </c>
      <c r="B22" s="35"/>
      <c r="C22" s="35"/>
      <c r="D22" s="86"/>
      <c r="E22" s="35"/>
      <c r="F22" s="86"/>
      <c r="G22" s="35"/>
      <c r="H22" s="85"/>
      <c r="I22" s="85"/>
      <c r="J22" s="87" t="str">
        <f t="shared" si="1"/>
        <v/>
      </c>
      <c r="K22" s="35"/>
      <c r="L22" s="88"/>
      <c r="M22" s="88"/>
      <c r="N22" s="87" t="str">
        <f t="shared" si="2"/>
        <v/>
      </c>
      <c r="O22" s="35"/>
      <c r="P22" s="88"/>
      <c r="Q22" s="88"/>
      <c r="R22" s="87" t="str">
        <f t="shared" si="3"/>
        <v/>
      </c>
      <c r="S22" s="90" t="str">
        <f t="shared" si="4"/>
        <v/>
      </c>
      <c r="T22" s="91" t="str">
        <f t="shared" si="5"/>
        <v/>
      </c>
      <c r="U22" s="85">
        <f t="shared" si="6"/>
        <v>0</v>
      </c>
    </row>
    <row r="23">
      <c r="A23" s="85">
        <v>21.0</v>
      </c>
      <c r="B23" s="35"/>
      <c r="C23" s="35"/>
      <c r="D23" s="86"/>
      <c r="E23" s="35"/>
      <c r="F23" s="86"/>
      <c r="G23" s="35"/>
      <c r="H23" s="85"/>
      <c r="I23" s="85"/>
      <c r="J23" s="87" t="str">
        <f t="shared" si="1"/>
        <v/>
      </c>
      <c r="K23" s="35"/>
      <c r="L23" s="88"/>
      <c r="M23" s="88"/>
      <c r="N23" s="87" t="str">
        <f t="shared" si="2"/>
        <v/>
      </c>
      <c r="O23" s="35"/>
      <c r="P23" s="88"/>
      <c r="Q23" s="88"/>
      <c r="R23" s="87" t="str">
        <f t="shared" si="3"/>
        <v/>
      </c>
      <c r="S23" s="90" t="str">
        <f t="shared" si="4"/>
        <v/>
      </c>
      <c r="T23" s="91" t="str">
        <f t="shared" si="5"/>
        <v/>
      </c>
      <c r="U23" s="85">
        <f t="shared" si="6"/>
        <v>0</v>
      </c>
    </row>
    <row r="24">
      <c r="A24" s="85">
        <v>22.0</v>
      </c>
      <c r="B24" s="35"/>
      <c r="C24" s="35"/>
      <c r="D24" s="86"/>
      <c r="E24" s="35"/>
      <c r="F24" s="86"/>
      <c r="G24" s="35"/>
      <c r="H24" s="85"/>
      <c r="I24" s="85"/>
      <c r="J24" s="87" t="str">
        <f t="shared" si="1"/>
        <v/>
      </c>
      <c r="K24" s="35"/>
      <c r="L24" s="88"/>
      <c r="M24" s="88"/>
      <c r="N24" s="87" t="str">
        <f t="shared" si="2"/>
        <v/>
      </c>
      <c r="O24" s="35"/>
      <c r="P24" s="88"/>
      <c r="Q24" s="88"/>
      <c r="R24" s="87" t="str">
        <f t="shared" si="3"/>
        <v/>
      </c>
      <c r="S24" s="90" t="str">
        <f t="shared" si="4"/>
        <v/>
      </c>
      <c r="T24" s="91" t="str">
        <f t="shared" si="5"/>
        <v/>
      </c>
      <c r="U24" s="85">
        <f t="shared" si="6"/>
        <v>0</v>
      </c>
    </row>
    <row r="25">
      <c r="A25" s="85">
        <v>23.0</v>
      </c>
      <c r="B25" s="35"/>
      <c r="C25" s="35"/>
      <c r="D25" s="86"/>
      <c r="E25" s="35"/>
      <c r="F25" s="86"/>
      <c r="G25" s="35"/>
      <c r="H25" s="85"/>
      <c r="I25" s="85"/>
      <c r="J25" s="87" t="str">
        <f t="shared" si="1"/>
        <v/>
      </c>
      <c r="K25" s="35"/>
      <c r="L25" s="88"/>
      <c r="M25" s="88"/>
      <c r="N25" s="87" t="str">
        <f t="shared" si="2"/>
        <v/>
      </c>
      <c r="O25" s="35"/>
      <c r="P25" s="88"/>
      <c r="Q25" s="88"/>
      <c r="R25" s="87" t="str">
        <f t="shared" si="3"/>
        <v/>
      </c>
      <c r="S25" s="90" t="str">
        <f t="shared" si="4"/>
        <v/>
      </c>
      <c r="T25" s="91" t="str">
        <f t="shared" si="5"/>
        <v/>
      </c>
      <c r="U25" s="85">
        <f t="shared" si="6"/>
        <v>0</v>
      </c>
    </row>
    <row r="26">
      <c r="A26" s="85">
        <v>24.0</v>
      </c>
      <c r="B26" s="35"/>
      <c r="C26" s="65"/>
      <c r="D26" s="76"/>
      <c r="E26" s="93"/>
      <c r="F26" s="76"/>
      <c r="G26" s="93"/>
      <c r="H26" s="93"/>
      <c r="I26" s="93"/>
      <c r="J26" s="87" t="str">
        <f t="shared" si="1"/>
        <v/>
      </c>
      <c r="K26" s="93"/>
      <c r="L26" s="93"/>
      <c r="M26" s="93"/>
      <c r="N26" s="87" t="str">
        <f t="shared" si="2"/>
        <v/>
      </c>
      <c r="O26" s="93"/>
      <c r="P26" s="93"/>
      <c r="Q26" s="93"/>
      <c r="R26" s="87" t="str">
        <f t="shared" si="3"/>
        <v/>
      </c>
      <c r="S26" s="90" t="str">
        <f t="shared" si="4"/>
        <v/>
      </c>
      <c r="T26" s="91" t="str">
        <f t="shared" si="5"/>
        <v/>
      </c>
      <c r="U26" s="85">
        <f t="shared" si="6"/>
        <v>0</v>
      </c>
    </row>
    <row r="27">
      <c r="A27" s="85">
        <v>25.0</v>
      </c>
      <c r="B27" s="35"/>
      <c r="C27" s="65"/>
      <c r="D27" s="76"/>
      <c r="E27" s="93"/>
      <c r="F27" s="76"/>
      <c r="G27" s="93"/>
      <c r="H27" s="93"/>
      <c r="I27" s="93"/>
      <c r="J27" s="87" t="str">
        <f t="shared" si="1"/>
        <v/>
      </c>
      <c r="K27" s="93"/>
      <c r="L27" s="93"/>
      <c r="M27" s="93"/>
      <c r="N27" s="87" t="str">
        <f t="shared" si="2"/>
        <v/>
      </c>
      <c r="O27" s="93"/>
      <c r="P27" s="93"/>
      <c r="Q27" s="93"/>
      <c r="R27" s="87" t="str">
        <f t="shared" si="3"/>
        <v/>
      </c>
      <c r="S27" s="90" t="str">
        <f t="shared" si="4"/>
        <v/>
      </c>
      <c r="T27" s="91" t="str">
        <f t="shared" si="5"/>
        <v/>
      </c>
      <c r="U27" s="85">
        <f t="shared" si="6"/>
        <v>0</v>
      </c>
    </row>
    <row r="28">
      <c r="A28" s="85">
        <v>26.0</v>
      </c>
      <c r="B28" s="35"/>
      <c r="C28" s="65"/>
      <c r="D28" s="76"/>
      <c r="E28" s="93"/>
      <c r="F28" s="76"/>
      <c r="G28" s="93"/>
      <c r="H28" s="93"/>
      <c r="I28" s="93"/>
      <c r="J28" s="87" t="str">
        <f t="shared" si="1"/>
        <v/>
      </c>
      <c r="K28" s="93"/>
      <c r="L28" s="93"/>
      <c r="M28" s="93"/>
      <c r="N28" s="87" t="str">
        <f t="shared" si="2"/>
        <v/>
      </c>
      <c r="O28" s="93"/>
      <c r="P28" s="93"/>
      <c r="Q28" s="93"/>
      <c r="R28" s="87" t="str">
        <f t="shared" si="3"/>
        <v/>
      </c>
      <c r="S28" s="90" t="str">
        <f t="shared" si="4"/>
        <v/>
      </c>
      <c r="T28" s="91" t="str">
        <f t="shared" si="5"/>
        <v/>
      </c>
      <c r="U28" s="85">
        <f t="shared" si="6"/>
        <v>0</v>
      </c>
    </row>
    <row r="29">
      <c r="A29" s="85">
        <v>27.0</v>
      </c>
      <c r="B29" s="35"/>
      <c r="C29" s="65"/>
      <c r="D29" s="76"/>
      <c r="E29" s="93"/>
      <c r="F29" s="76"/>
      <c r="G29" s="93"/>
      <c r="H29" s="93"/>
      <c r="I29" s="93"/>
      <c r="J29" s="87" t="str">
        <f t="shared" si="1"/>
        <v/>
      </c>
      <c r="K29" s="93"/>
      <c r="L29" s="93"/>
      <c r="M29" s="93"/>
      <c r="N29" s="87" t="str">
        <f t="shared" si="2"/>
        <v/>
      </c>
      <c r="O29" s="93"/>
      <c r="P29" s="93"/>
      <c r="Q29" s="93"/>
      <c r="R29" s="87" t="str">
        <f t="shared" si="3"/>
        <v/>
      </c>
      <c r="S29" s="90" t="str">
        <f t="shared" si="4"/>
        <v/>
      </c>
      <c r="T29" s="91" t="str">
        <f t="shared" si="5"/>
        <v/>
      </c>
      <c r="U29" s="85">
        <f t="shared" si="6"/>
        <v>0</v>
      </c>
    </row>
    <row r="30">
      <c r="A30" s="85">
        <v>28.0</v>
      </c>
      <c r="B30" s="35"/>
      <c r="C30" s="65"/>
      <c r="D30" s="76"/>
      <c r="E30" s="93"/>
      <c r="F30" s="76"/>
      <c r="G30" s="93"/>
      <c r="H30" s="93"/>
      <c r="I30" s="93"/>
      <c r="J30" s="87" t="str">
        <f t="shared" si="1"/>
        <v/>
      </c>
      <c r="K30" s="93"/>
      <c r="L30" s="93"/>
      <c r="M30" s="93"/>
      <c r="N30" s="87" t="str">
        <f t="shared" si="2"/>
        <v/>
      </c>
      <c r="O30" s="93"/>
      <c r="P30" s="93"/>
      <c r="Q30" s="93"/>
      <c r="R30" s="87" t="str">
        <f t="shared" si="3"/>
        <v/>
      </c>
      <c r="S30" s="90" t="str">
        <f t="shared" si="4"/>
        <v/>
      </c>
      <c r="T30" s="91" t="str">
        <f t="shared" si="5"/>
        <v/>
      </c>
      <c r="U30" s="85">
        <f t="shared" si="6"/>
        <v>0</v>
      </c>
    </row>
    <row r="31">
      <c r="A31" s="85">
        <v>29.0</v>
      </c>
      <c r="B31" s="35"/>
      <c r="C31" s="65"/>
      <c r="D31" s="76"/>
      <c r="E31" s="93"/>
      <c r="F31" s="76"/>
      <c r="G31" s="93"/>
      <c r="H31" s="93"/>
      <c r="I31" s="93"/>
      <c r="J31" s="87" t="str">
        <f t="shared" si="1"/>
        <v/>
      </c>
      <c r="K31" s="93"/>
      <c r="L31" s="93"/>
      <c r="M31" s="93"/>
      <c r="N31" s="87" t="str">
        <f t="shared" si="2"/>
        <v/>
      </c>
      <c r="O31" s="93"/>
      <c r="P31" s="93"/>
      <c r="Q31" s="93"/>
      <c r="R31" s="87" t="str">
        <f t="shared" si="3"/>
        <v/>
      </c>
      <c r="S31" s="90" t="str">
        <f t="shared" si="4"/>
        <v/>
      </c>
      <c r="T31" s="91" t="str">
        <f t="shared" si="5"/>
        <v/>
      </c>
      <c r="U31" s="85">
        <f t="shared" si="6"/>
        <v>0</v>
      </c>
    </row>
    <row r="32">
      <c r="A32" s="85">
        <v>30.0</v>
      </c>
      <c r="B32" s="35"/>
      <c r="C32" s="65"/>
      <c r="D32" s="76"/>
      <c r="E32" s="93"/>
      <c r="F32" s="76"/>
      <c r="G32" s="93"/>
      <c r="H32" s="93"/>
      <c r="I32" s="93"/>
      <c r="J32" s="87" t="str">
        <f t="shared" si="1"/>
        <v/>
      </c>
      <c r="K32" s="93"/>
      <c r="L32" s="93"/>
      <c r="M32" s="93"/>
      <c r="N32" s="87" t="str">
        <f t="shared" si="2"/>
        <v/>
      </c>
      <c r="O32" s="93"/>
      <c r="P32" s="93"/>
      <c r="Q32" s="93"/>
      <c r="R32" s="87" t="str">
        <f t="shared" si="3"/>
        <v/>
      </c>
      <c r="S32" s="90" t="str">
        <f t="shared" si="4"/>
        <v/>
      </c>
      <c r="T32" s="91" t="str">
        <f t="shared" si="5"/>
        <v/>
      </c>
      <c r="U32" s="85">
        <f t="shared" si="6"/>
        <v>0</v>
      </c>
    </row>
    <row r="33">
      <c r="A33" s="85">
        <v>31.0</v>
      </c>
      <c r="B33" s="35"/>
      <c r="C33" s="65"/>
      <c r="D33" s="76"/>
      <c r="E33" s="93"/>
      <c r="F33" s="76"/>
      <c r="G33" s="93"/>
      <c r="H33" s="93"/>
      <c r="I33" s="93"/>
      <c r="J33" s="87" t="str">
        <f t="shared" si="1"/>
        <v/>
      </c>
      <c r="K33" s="93"/>
      <c r="L33" s="93"/>
      <c r="M33" s="93"/>
      <c r="N33" s="87" t="str">
        <f t="shared" si="2"/>
        <v/>
      </c>
      <c r="O33" s="93"/>
      <c r="P33" s="93"/>
      <c r="Q33" s="93"/>
      <c r="R33" s="87" t="str">
        <f t="shared" si="3"/>
        <v/>
      </c>
      <c r="S33" s="90" t="str">
        <f t="shared" si="4"/>
        <v/>
      </c>
      <c r="T33" s="91" t="str">
        <f t="shared" si="5"/>
        <v/>
      </c>
      <c r="U33" s="85">
        <f t="shared" si="6"/>
        <v>0</v>
      </c>
    </row>
    <row r="34">
      <c r="A34" s="85">
        <v>32.0</v>
      </c>
      <c r="B34" s="35"/>
      <c r="C34" s="65"/>
      <c r="D34" s="76"/>
      <c r="E34" s="93"/>
      <c r="F34" s="76"/>
      <c r="G34" s="93"/>
      <c r="H34" s="93"/>
      <c r="I34" s="93"/>
      <c r="J34" s="87" t="str">
        <f t="shared" si="1"/>
        <v/>
      </c>
      <c r="K34" s="93"/>
      <c r="L34" s="93"/>
      <c r="M34" s="93"/>
      <c r="N34" s="87" t="str">
        <f t="shared" si="2"/>
        <v/>
      </c>
      <c r="O34" s="93"/>
      <c r="P34" s="93"/>
      <c r="Q34" s="93"/>
      <c r="R34" s="87" t="str">
        <f t="shared" si="3"/>
        <v/>
      </c>
      <c r="S34" s="90" t="str">
        <f t="shared" si="4"/>
        <v/>
      </c>
      <c r="T34" s="91" t="str">
        <f t="shared" si="5"/>
        <v/>
      </c>
      <c r="U34" s="85">
        <f t="shared" si="6"/>
        <v>0</v>
      </c>
    </row>
    <row r="35">
      <c r="A35" s="85">
        <v>33.0</v>
      </c>
      <c r="B35" s="35"/>
      <c r="C35" s="65"/>
      <c r="D35" s="76"/>
      <c r="E35" s="93"/>
      <c r="F35" s="76"/>
      <c r="G35" s="93"/>
      <c r="H35" s="93"/>
      <c r="I35" s="93"/>
      <c r="J35" s="87" t="str">
        <f t="shared" si="1"/>
        <v/>
      </c>
      <c r="K35" s="93"/>
      <c r="L35" s="93"/>
      <c r="M35" s="93"/>
      <c r="N35" s="87" t="str">
        <f t="shared" si="2"/>
        <v/>
      </c>
      <c r="O35" s="93"/>
      <c r="P35" s="93"/>
      <c r="Q35" s="93"/>
      <c r="R35" s="87" t="str">
        <f t="shared" si="3"/>
        <v/>
      </c>
      <c r="S35" s="90" t="str">
        <f t="shared" si="4"/>
        <v/>
      </c>
      <c r="T35" s="91" t="str">
        <f t="shared" si="5"/>
        <v/>
      </c>
      <c r="U35" s="85">
        <f t="shared" si="6"/>
        <v>0</v>
      </c>
    </row>
    <row r="36">
      <c r="A36" s="85">
        <v>34.0</v>
      </c>
      <c r="B36" s="35"/>
      <c r="C36" s="65"/>
      <c r="D36" s="76"/>
      <c r="E36" s="93"/>
      <c r="F36" s="76"/>
      <c r="G36" s="93"/>
      <c r="H36" s="93"/>
      <c r="I36" s="93"/>
      <c r="J36" s="87" t="str">
        <f t="shared" si="1"/>
        <v/>
      </c>
      <c r="K36" s="93"/>
      <c r="L36" s="93"/>
      <c r="M36" s="93"/>
      <c r="N36" s="87" t="str">
        <f t="shared" si="2"/>
        <v/>
      </c>
      <c r="O36" s="93"/>
      <c r="P36" s="93"/>
      <c r="Q36" s="93"/>
      <c r="R36" s="87" t="str">
        <f t="shared" si="3"/>
        <v/>
      </c>
      <c r="S36" s="90" t="str">
        <f t="shared" si="4"/>
        <v/>
      </c>
      <c r="T36" s="91" t="str">
        <f t="shared" si="5"/>
        <v/>
      </c>
      <c r="U36" s="85">
        <f t="shared" si="6"/>
        <v>0</v>
      </c>
    </row>
    <row r="37">
      <c r="A37" s="85">
        <v>35.0</v>
      </c>
      <c r="B37" s="35"/>
      <c r="C37" s="65"/>
      <c r="D37" s="76"/>
      <c r="E37" s="93"/>
      <c r="F37" s="76"/>
      <c r="G37" s="93"/>
      <c r="H37" s="93"/>
      <c r="I37" s="93"/>
      <c r="J37" s="87" t="str">
        <f t="shared" si="1"/>
        <v/>
      </c>
      <c r="K37" s="93"/>
      <c r="L37" s="93"/>
      <c r="M37" s="93"/>
      <c r="N37" s="87" t="str">
        <f t="shared" si="2"/>
        <v/>
      </c>
      <c r="O37" s="93"/>
      <c r="P37" s="93"/>
      <c r="Q37" s="93"/>
      <c r="R37" s="87" t="str">
        <f t="shared" si="3"/>
        <v/>
      </c>
      <c r="S37" s="90" t="str">
        <f t="shared" si="4"/>
        <v/>
      </c>
      <c r="T37" s="91" t="str">
        <f t="shared" si="5"/>
        <v/>
      </c>
      <c r="U37" s="85">
        <f t="shared" si="6"/>
        <v>0</v>
      </c>
    </row>
    <row r="38">
      <c r="A38" s="85">
        <v>36.0</v>
      </c>
      <c r="B38" s="35"/>
      <c r="C38" s="65"/>
      <c r="D38" s="76"/>
      <c r="E38" s="93"/>
      <c r="F38" s="76"/>
      <c r="G38" s="93"/>
      <c r="H38" s="93"/>
      <c r="I38" s="93"/>
      <c r="J38" s="87" t="str">
        <f t="shared" si="1"/>
        <v/>
      </c>
      <c r="K38" s="93"/>
      <c r="L38" s="93"/>
      <c r="M38" s="93"/>
      <c r="N38" s="87" t="str">
        <f t="shared" si="2"/>
        <v/>
      </c>
      <c r="O38" s="93"/>
      <c r="P38" s="93"/>
      <c r="Q38" s="93"/>
      <c r="R38" s="87" t="str">
        <f t="shared" si="3"/>
        <v/>
      </c>
      <c r="S38" s="90" t="str">
        <f t="shared" si="4"/>
        <v/>
      </c>
      <c r="T38" s="91" t="str">
        <f t="shared" si="5"/>
        <v/>
      </c>
      <c r="U38" s="85">
        <f t="shared" si="6"/>
        <v>0</v>
      </c>
    </row>
    <row r="39">
      <c r="A39" s="85">
        <v>37.0</v>
      </c>
      <c r="B39" s="35"/>
      <c r="C39" s="65"/>
      <c r="D39" s="76"/>
      <c r="E39" s="93"/>
      <c r="F39" s="76"/>
      <c r="G39" s="93"/>
      <c r="H39" s="93"/>
      <c r="I39" s="93"/>
      <c r="J39" s="87" t="str">
        <f t="shared" si="1"/>
        <v/>
      </c>
      <c r="K39" s="93"/>
      <c r="L39" s="93"/>
      <c r="M39" s="93"/>
      <c r="N39" s="87" t="str">
        <f t="shared" si="2"/>
        <v/>
      </c>
      <c r="O39" s="93"/>
      <c r="P39" s="93"/>
      <c r="Q39" s="93"/>
      <c r="R39" s="87" t="str">
        <f t="shared" si="3"/>
        <v/>
      </c>
      <c r="S39" s="90" t="str">
        <f t="shared" si="4"/>
        <v/>
      </c>
      <c r="T39" s="91" t="str">
        <f t="shared" si="5"/>
        <v/>
      </c>
      <c r="U39" s="85">
        <f t="shared" si="6"/>
        <v>0</v>
      </c>
    </row>
    <row r="40">
      <c r="A40" s="85">
        <v>38.0</v>
      </c>
      <c r="B40" s="35"/>
      <c r="C40" s="65"/>
      <c r="D40" s="76"/>
      <c r="E40" s="93"/>
      <c r="F40" s="76"/>
      <c r="G40" s="93"/>
      <c r="H40" s="93"/>
      <c r="I40" s="93"/>
      <c r="J40" s="87" t="str">
        <f t="shared" si="1"/>
        <v/>
      </c>
      <c r="K40" s="93"/>
      <c r="L40" s="93"/>
      <c r="M40" s="93"/>
      <c r="N40" s="87" t="str">
        <f t="shared" si="2"/>
        <v/>
      </c>
      <c r="O40" s="93"/>
      <c r="P40" s="93"/>
      <c r="Q40" s="93"/>
      <c r="R40" s="87" t="str">
        <f t="shared" si="3"/>
        <v/>
      </c>
      <c r="S40" s="90" t="str">
        <f t="shared" si="4"/>
        <v/>
      </c>
      <c r="T40" s="91" t="str">
        <f t="shared" si="5"/>
        <v/>
      </c>
      <c r="U40" s="85">
        <f t="shared" si="6"/>
        <v>0</v>
      </c>
    </row>
    <row r="41">
      <c r="A41" s="85">
        <v>39.0</v>
      </c>
      <c r="B41" s="35"/>
      <c r="C41" s="65"/>
      <c r="D41" s="76"/>
      <c r="E41" s="93"/>
      <c r="F41" s="76"/>
      <c r="G41" s="93"/>
      <c r="H41" s="93"/>
      <c r="I41" s="93"/>
      <c r="J41" s="87" t="str">
        <f t="shared" si="1"/>
        <v/>
      </c>
      <c r="K41" s="93"/>
      <c r="L41" s="93"/>
      <c r="M41" s="93"/>
      <c r="N41" s="87" t="str">
        <f t="shared" si="2"/>
        <v/>
      </c>
      <c r="O41" s="93"/>
      <c r="P41" s="93"/>
      <c r="Q41" s="93"/>
      <c r="R41" s="87" t="str">
        <f t="shared" si="3"/>
        <v/>
      </c>
      <c r="S41" s="90" t="str">
        <f t="shared" si="4"/>
        <v/>
      </c>
      <c r="T41" s="91" t="str">
        <f t="shared" si="5"/>
        <v/>
      </c>
      <c r="U41" s="85">
        <f t="shared" si="6"/>
        <v>0</v>
      </c>
    </row>
    <row r="42">
      <c r="A42" s="85">
        <v>40.0</v>
      </c>
      <c r="B42" s="35"/>
      <c r="C42" s="65"/>
      <c r="D42" s="76"/>
      <c r="E42" s="93"/>
      <c r="F42" s="76"/>
      <c r="G42" s="93"/>
      <c r="H42" s="93"/>
      <c r="I42" s="93"/>
      <c r="J42" s="87" t="str">
        <f t="shared" si="1"/>
        <v/>
      </c>
      <c r="K42" s="93"/>
      <c r="L42" s="93"/>
      <c r="M42" s="93"/>
      <c r="N42" s="87" t="str">
        <f t="shared" si="2"/>
        <v/>
      </c>
      <c r="O42" s="93"/>
      <c r="P42" s="93"/>
      <c r="Q42" s="93"/>
      <c r="R42" s="87" t="str">
        <f t="shared" si="3"/>
        <v/>
      </c>
      <c r="S42" s="90" t="str">
        <f t="shared" si="4"/>
        <v/>
      </c>
      <c r="T42" s="91" t="str">
        <f t="shared" si="5"/>
        <v/>
      </c>
      <c r="U42" s="85">
        <f t="shared" si="6"/>
        <v>0</v>
      </c>
    </row>
    <row r="43">
      <c r="A43" s="85">
        <v>41.0</v>
      </c>
      <c r="B43" s="35"/>
      <c r="C43" s="65"/>
      <c r="D43" s="76"/>
      <c r="E43" s="93"/>
      <c r="F43" s="76"/>
      <c r="G43" s="93"/>
      <c r="H43" s="93"/>
      <c r="I43" s="93"/>
      <c r="J43" s="87" t="str">
        <f t="shared" si="1"/>
        <v/>
      </c>
      <c r="K43" s="93"/>
      <c r="L43" s="93"/>
      <c r="M43" s="93"/>
      <c r="N43" s="87" t="str">
        <f t="shared" si="2"/>
        <v/>
      </c>
      <c r="O43" s="93"/>
      <c r="P43" s="93"/>
      <c r="Q43" s="93"/>
      <c r="R43" s="87" t="str">
        <f t="shared" si="3"/>
        <v/>
      </c>
      <c r="S43" s="90" t="str">
        <f t="shared" si="4"/>
        <v/>
      </c>
      <c r="T43" s="91" t="str">
        <f t="shared" si="5"/>
        <v/>
      </c>
      <c r="U43" s="85">
        <f t="shared" si="6"/>
        <v>0</v>
      </c>
    </row>
    <row r="44">
      <c r="A44" s="85">
        <v>42.0</v>
      </c>
      <c r="B44" s="35"/>
      <c r="C44" s="65"/>
      <c r="D44" s="76"/>
      <c r="E44" s="93"/>
      <c r="F44" s="76"/>
      <c r="G44" s="93"/>
      <c r="H44" s="93"/>
      <c r="I44" s="93"/>
      <c r="J44" s="87" t="str">
        <f t="shared" si="1"/>
        <v/>
      </c>
      <c r="K44" s="93"/>
      <c r="L44" s="93"/>
      <c r="M44" s="93"/>
      <c r="N44" s="87" t="str">
        <f t="shared" si="2"/>
        <v/>
      </c>
      <c r="O44" s="93"/>
      <c r="P44" s="93"/>
      <c r="Q44" s="93"/>
      <c r="R44" s="87" t="str">
        <f t="shared" si="3"/>
        <v/>
      </c>
      <c r="S44" s="90" t="str">
        <f t="shared" si="4"/>
        <v/>
      </c>
      <c r="T44" s="91" t="str">
        <f t="shared" si="5"/>
        <v/>
      </c>
      <c r="U44" s="85">
        <f t="shared" si="6"/>
        <v>0</v>
      </c>
    </row>
    <row r="45">
      <c r="A45" s="85">
        <v>43.0</v>
      </c>
      <c r="B45" s="35"/>
      <c r="C45" s="65"/>
      <c r="D45" s="76"/>
      <c r="E45" s="93"/>
      <c r="F45" s="76"/>
      <c r="G45" s="93"/>
      <c r="H45" s="93"/>
      <c r="I45" s="93"/>
      <c r="J45" s="87" t="str">
        <f t="shared" si="1"/>
        <v/>
      </c>
      <c r="K45" s="93"/>
      <c r="L45" s="93"/>
      <c r="M45" s="93"/>
      <c r="N45" s="87" t="str">
        <f t="shared" si="2"/>
        <v/>
      </c>
      <c r="O45" s="93"/>
      <c r="P45" s="93"/>
      <c r="Q45" s="93"/>
      <c r="R45" s="87" t="str">
        <f t="shared" si="3"/>
        <v/>
      </c>
      <c r="S45" s="90" t="str">
        <f t="shared" si="4"/>
        <v/>
      </c>
      <c r="T45" s="91" t="str">
        <f t="shared" si="5"/>
        <v/>
      </c>
      <c r="U45" s="85">
        <f t="shared" si="6"/>
        <v>0</v>
      </c>
    </row>
    <row r="46">
      <c r="A46" s="85">
        <v>44.0</v>
      </c>
      <c r="B46" s="35"/>
      <c r="C46" s="65"/>
      <c r="D46" s="76"/>
      <c r="E46" s="93"/>
      <c r="F46" s="76"/>
      <c r="G46" s="93"/>
      <c r="H46" s="93"/>
      <c r="I46" s="93"/>
      <c r="J46" s="87" t="str">
        <f t="shared" si="1"/>
        <v/>
      </c>
      <c r="K46" s="93"/>
      <c r="L46" s="93"/>
      <c r="M46" s="93"/>
      <c r="N46" s="87" t="str">
        <f t="shared" si="2"/>
        <v/>
      </c>
      <c r="O46" s="93"/>
      <c r="P46" s="93"/>
      <c r="Q46" s="93"/>
      <c r="R46" s="87" t="str">
        <f t="shared" si="3"/>
        <v/>
      </c>
      <c r="S46" s="90" t="str">
        <f t="shared" si="4"/>
        <v/>
      </c>
      <c r="T46" s="91" t="str">
        <f t="shared" si="5"/>
        <v/>
      </c>
      <c r="U46" s="85">
        <f t="shared" si="6"/>
        <v>0</v>
      </c>
    </row>
    <row r="47">
      <c r="A47" s="85">
        <v>45.0</v>
      </c>
      <c r="B47" s="35"/>
      <c r="C47" s="65"/>
      <c r="D47" s="76"/>
      <c r="E47" s="93"/>
      <c r="F47" s="76"/>
      <c r="G47" s="93"/>
      <c r="H47" s="93"/>
      <c r="I47" s="93"/>
      <c r="J47" s="87" t="str">
        <f t="shared" si="1"/>
        <v/>
      </c>
      <c r="K47" s="93"/>
      <c r="L47" s="93"/>
      <c r="M47" s="93"/>
      <c r="N47" s="87" t="str">
        <f t="shared" si="2"/>
        <v/>
      </c>
      <c r="O47" s="93"/>
      <c r="P47" s="93"/>
      <c r="Q47" s="93"/>
      <c r="R47" s="87" t="str">
        <f t="shared" si="3"/>
        <v/>
      </c>
      <c r="S47" s="90" t="str">
        <f t="shared" si="4"/>
        <v/>
      </c>
      <c r="T47" s="91" t="str">
        <f t="shared" si="5"/>
        <v/>
      </c>
      <c r="U47" s="85">
        <f t="shared" si="6"/>
        <v>0</v>
      </c>
    </row>
    <row r="48">
      <c r="A48" s="85">
        <v>46.0</v>
      </c>
      <c r="B48" s="35"/>
      <c r="C48" s="65"/>
      <c r="D48" s="76"/>
      <c r="E48" s="93"/>
      <c r="F48" s="76"/>
      <c r="G48" s="93"/>
      <c r="H48" s="93"/>
      <c r="I48" s="93"/>
      <c r="J48" s="87" t="str">
        <f t="shared" si="1"/>
        <v/>
      </c>
      <c r="K48" s="93"/>
      <c r="L48" s="93"/>
      <c r="M48" s="93"/>
      <c r="N48" s="87" t="str">
        <f t="shared" si="2"/>
        <v/>
      </c>
      <c r="O48" s="93"/>
      <c r="P48" s="93"/>
      <c r="Q48" s="93"/>
      <c r="R48" s="87" t="str">
        <f t="shared" si="3"/>
        <v/>
      </c>
      <c r="S48" s="90" t="str">
        <f t="shared" si="4"/>
        <v/>
      </c>
      <c r="T48" s="91" t="str">
        <f t="shared" si="5"/>
        <v/>
      </c>
      <c r="U48" s="85">
        <f t="shared" si="6"/>
        <v>0</v>
      </c>
    </row>
    <row r="49">
      <c r="A49" s="85">
        <v>47.0</v>
      </c>
      <c r="B49" s="35"/>
      <c r="C49" s="65"/>
      <c r="D49" s="76"/>
      <c r="E49" s="93"/>
      <c r="F49" s="76"/>
      <c r="G49" s="93"/>
      <c r="H49" s="93"/>
      <c r="I49" s="93"/>
      <c r="J49" s="87" t="str">
        <f t="shared" si="1"/>
        <v/>
      </c>
      <c r="K49" s="93"/>
      <c r="L49" s="93"/>
      <c r="M49" s="93"/>
      <c r="N49" s="87" t="str">
        <f t="shared" si="2"/>
        <v/>
      </c>
      <c r="O49" s="93"/>
      <c r="P49" s="93"/>
      <c r="Q49" s="93"/>
      <c r="R49" s="87" t="str">
        <f t="shared" si="3"/>
        <v/>
      </c>
      <c r="S49" s="90" t="str">
        <f t="shared" si="4"/>
        <v/>
      </c>
      <c r="T49" s="91" t="str">
        <f t="shared" si="5"/>
        <v/>
      </c>
      <c r="U49" s="85">
        <f t="shared" si="6"/>
        <v>0</v>
      </c>
    </row>
    <row r="50">
      <c r="A50" s="85">
        <v>48.0</v>
      </c>
      <c r="B50" s="35"/>
      <c r="C50" s="65"/>
      <c r="D50" s="76"/>
      <c r="E50" s="93"/>
      <c r="F50" s="76"/>
      <c r="G50" s="93"/>
      <c r="H50" s="93"/>
      <c r="I50" s="93"/>
      <c r="J50" s="87" t="str">
        <f t="shared" si="1"/>
        <v/>
      </c>
      <c r="K50" s="93"/>
      <c r="L50" s="93"/>
      <c r="M50" s="93"/>
      <c r="N50" s="87" t="str">
        <f t="shared" si="2"/>
        <v/>
      </c>
      <c r="O50" s="93"/>
      <c r="P50" s="93"/>
      <c r="Q50" s="93"/>
      <c r="R50" s="87" t="str">
        <f t="shared" si="3"/>
        <v/>
      </c>
      <c r="S50" s="90" t="str">
        <f t="shared" si="4"/>
        <v/>
      </c>
      <c r="T50" s="91" t="str">
        <f t="shared" si="5"/>
        <v/>
      </c>
      <c r="U50" s="85">
        <f t="shared" si="6"/>
        <v>0</v>
      </c>
    </row>
    <row r="51">
      <c r="A51" s="85">
        <v>49.0</v>
      </c>
      <c r="B51" s="35"/>
      <c r="C51" s="65"/>
      <c r="D51" s="76"/>
      <c r="E51" s="93"/>
      <c r="F51" s="76"/>
      <c r="G51" s="93"/>
      <c r="H51" s="93"/>
      <c r="I51" s="93"/>
      <c r="J51" s="87" t="str">
        <f t="shared" si="1"/>
        <v/>
      </c>
      <c r="K51" s="93"/>
      <c r="L51" s="93"/>
      <c r="M51" s="93"/>
      <c r="N51" s="87" t="str">
        <f t="shared" si="2"/>
        <v/>
      </c>
      <c r="O51" s="93"/>
      <c r="P51" s="93"/>
      <c r="Q51" s="93"/>
      <c r="R51" s="87" t="str">
        <f t="shared" si="3"/>
        <v/>
      </c>
      <c r="S51" s="90" t="str">
        <f t="shared" si="4"/>
        <v/>
      </c>
      <c r="T51" s="91" t="str">
        <f t="shared" si="5"/>
        <v/>
      </c>
      <c r="U51" s="85">
        <f t="shared" si="6"/>
        <v>0</v>
      </c>
    </row>
    <row r="52">
      <c r="A52" s="85">
        <v>50.0</v>
      </c>
      <c r="B52" s="35"/>
      <c r="C52" s="65"/>
      <c r="D52" s="76"/>
      <c r="E52" s="93"/>
      <c r="F52" s="76"/>
      <c r="G52" s="93"/>
      <c r="H52" s="93"/>
      <c r="I52" s="93"/>
      <c r="J52" s="87" t="str">
        <f t="shared" si="1"/>
        <v/>
      </c>
      <c r="K52" s="93"/>
      <c r="L52" s="93"/>
      <c r="M52" s="93"/>
      <c r="N52" s="87" t="str">
        <f t="shared" si="2"/>
        <v/>
      </c>
      <c r="O52" s="93"/>
      <c r="P52" s="93"/>
      <c r="Q52" s="93"/>
      <c r="R52" s="87" t="str">
        <f t="shared" si="3"/>
        <v/>
      </c>
      <c r="S52" s="90" t="str">
        <f t="shared" si="4"/>
        <v/>
      </c>
      <c r="T52" s="91" t="str">
        <f t="shared" si="5"/>
        <v/>
      </c>
      <c r="U52" s="85">
        <f t="shared" si="6"/>
        <v>0</v>
      </c>
    </row>
    <row r="53">
      <c r="A53" s="85">
        <v>51.0</v>
      </c>
      <c r="B53" s="35"/>
      <c r="C53" s="65"/>
      <c r="D53" s="76"/>
      <c r="E53" s="93"/>
      <c r="F53" s="76"/>
      <c r="G53" s="93"/>
      <c r="H53" s="93"/>
      <c r="I53" s="93"/>
      <c r="J53" s="87" t="str">
        <f t="shared" si="1"/>
        <v/>
      </c>
      <c r="K53" s="93"/>
      <c r="L53" s="93"/>
      <c r="M53" s="93"/>
      <c r="N53" s="87" t="str">
        <f t="shared" si="2"/>
        <v/>
      </c>
      <c r="O53" s="93"/>
      <c r="P53" s="93"/>
      <c r="Q53" s="93"/>
      <c r="R53" s="87" t="str">
        <f t="shared" si="3"/>
        <v/>
      </c>
      <c r="S53" s="90" t="str">
        <f t="shared" si="4"/>
        <v/>
      </c>
      <c r="T53" s="91" t="str">
        <f t="shared" si="5"/>
        <v/>
      </c>
      <c r="U53" s="85">
        <f t="shared" si="6"/>
        <v>0</v>
      </c>
    </row>
    <row r="54">
      <c r="A54" s="85">
        <v>52.0</v>
      </c>
      <c r="B54" s="35"/>
      <c r="C54" s="65"/>
      <c r="D54" s="76"/>
      <c r="E54" s="93"/>
      <c r="F54" s="76"/>
      <c r="G54" s="93"/>
      <c r="H54" s="93"/>
      <c r="I54" s="93"/>
      <c r="J54" s="87" t="str">
        <f t="shared" si="1"/>
        <v/>
      </c>
      <c r="K54" s="93"/>
      <c r="L54" s="93"/>
      <c r="M54" s="93"/>
      <c r="N54" s="87" t="str">
        <f t="shared" si="2"/>
        <v/>
      </c>
      <c r="O54" s="93"/>
      <c r="P54" s="93"/>
      <c r="Q54" s="93"/>
      <c r="R54" s="87" t="str">
        <f t="shared" si="3"/>
        <v/>
      </c>
      <c r="S54" s="90" t="str">
        <f t="shared" si="4"/>
        <v/>
      </c>
      <c r="T54" s="91" t="str">
        <f t="shared" si="5"/>
        <v/>
      </c>
      <c r="U54" s="85">
        <f t="shared" si="6"/>
        <v>0</v>
      </c>
    </row>
    <row r="55">
      <c r="A55" s="85">
        <v>53.0</v>
      </c>
      <c r="B55" s="35"/>
      <c r="C55" s="65"/>
      <c r="D55" s="76"/>
      <c r="E55" s="93"/>
      <c r="F55" s="76"/>
      <c r="G55" s="93"/>
      <c r="H55" s="93"/>
      <c r="I55" s="93"/>
      <c r="J55" s="87" t="str">
        <f t="shared" si="1"/>
        <v/>
      </c>
      <c r="K55" s="93"/>
      <c r="L55" s="93"/>
      <c r="M55" s="93"/>
      <c r="N55" s="87" t="str">
        <f t="shared" si="2"/>
        <v/>
      </c>
      <c r="O55" s="93"/>
      <c r="P55" s="93"/>
      <c r="Q55" s="93"/>
      <c r="R55" s="87" t="str">
        <f t="shared" si="3"/>
        <v/>
      </c>
      <c r="S55" s="90" t="str">
        <f t="shared" si="4"/>
        <v/>
      </c>
      <c r="T55" s="91" t="str">
        <f t="shared" si="5"/>
        <v/>
      </c>
      <c r="U55" s="85">
        <f t="shared" si="6"/>
        <v>0</v>
      </c>
    </row>
    <row r="56">
      <c r="A56" s="85">
        <v>54.0</v>
      </c>
      <c r="B56" s="35"/>
      <c r="C56" s="65"/>
      <c r="D56" s="76"/>
      <c r="E56" s="93"/>
      <c r="F56" s="76"/>
      <c r="G56" s="93"/>
      <c r="H56" s="93"/>
      <c r="I56" s="93"/>
      <c r="J56" s="87" t="str">
        <f t="shared" si="1"/>
        <v/>
      </c>
      <c r="K56" s="93"/>
      <c r="L56" s="93"/>
      <c r="M56" s="93"/>
      <c r="N56" s="87" t="str">
        <f t="shared" si="2"/>
        <v/>
      </c>
      <c r="O56" s="93"/>
      <c r="P56" s="93"/>
      <c r="Q56" s="93"/>
      <c r="R56" s="87" t="str">
        <f t="shared" si="3"/>
        <v/>
      </c>
      <c r="S56" s="90" t="str">
        <f t="shared" si="4"/>
        <v/>
      </c>
      <c r="T56" s="91" t="str">
        <f t="shared" si="5"/>
        <v/>
      </c>
      <c r="U56" s="85">
        <f t="shared" si="6"/>
        <v>0</v>
      </c>
    </row>
    <row r="57">
      <c r="A57" s="85">
        <v>55.0</v>
      </c>
      <c r="B57" s="35"/>
      <c r="C57" s="65"/>
      <c r="D57" s="76"/>
      <c r="E57" s="93"/>
      <c r="F57" s="76"/>
      <c r="G57" s="93"/>
      <c r="H57" s="93"/>
      <c r="I57" s="93"/>
      <c r="J57" s="87" t="str">
        <f t="shared" si="1"/>
        <v/>
      </c>
      <c r="K57" s="93"/>
      <c r="L57" s="93"/>
      <c r="M57" s="93"/>
      <c r="N57" s="87" t="str">
        <f t="shared" si="2"/>
        <v/>
      </c>
      <c r="O57" s="93"/>
      <c r="P57" s="93"/>
      <c r="Q57" s="93"/>
      <c r="R57" s="87" t="str">
        <f t="shared" si="3"/>
        <v/>
      </c>
      <c r="S57" s="90" t="str">
        <f t="shared" si="4"/>
        <v/>
      </c>
      <c r="T57" s="91" t="str">
        <f t="shared" si="5"/>
        <v/>
      </c>
      <c r="U57" s="85">
        <f t="shared" si="6"/>
        <v>0</v>
      </c>
    </row>
    <row r="58">
      <c r="A58" s="85">
        <v>56.0</v>
      </c>
      <c r="B58" s="35"/>
      <c r="C58" s="65"/>
      <c r="D58" s="76"/>
      <c r="E58" s="93"/>
      <c r="F58" s="76"/>
      <c r="G58" s="93"/>
      <c r="H58" s="93"/>
      <c r="I58" s="93"/>
      <c r="J58" s="87" t="str">
        <f t="shared" si="1"/>
        <v/>
      </c>
      <c r="K58" s="93"/>
      <c r="L58" s="93"/>
      <c r="M58" s="93"/>
      <c r="N58" s="87" t="str">
        <f t="shared" si="2"/>
        <v/>
      </c>
      <c r="O58" s="93"/>
      <c r="P58" s="93"/>
      <c r="Q58" s="93"/>
      <c r="R58" s="87" t="str">
        <f t="shared" si="3"/>
        <v/>
      </c>
      <c r="S58" s="90" t="str">
        <f t="shared" si="4"/>
        <v/>
      </c>
      <c r="T58" s="91" t="str">
        <f t="shared" si="5"/>
        <v/>
      </c>
      <c r="U58" s="85">
        <f t="shared" si="6"/>
        <v>0</v>
      </c>
    </row>
    <row r="59">
      <c r="A59" s="85">
        <v>57.0</v>
      </c>
      <c r="B59" s="35"/>
      <c r="C59" s="65"/>
      <c r="D59" s="76"/>
      <c r="E59" s="93"/>
      <c r="F59" s="76"/>
      <c r="G59" s="93"/>
      <c r="H59" s="93"/>
      <c r="I59" s="93"/>
      <c r="J59" s="87" t="str">
        <f t="shared" si="1"/>
        <v/>
      </c>
      <c r="K59" s="93"/>
      <c r="L59" s="93"/>
      <c r="M59" s="93"/>
      <c r="N59" s="87" t="str">
        <f t="shared" si="2"/>
        <v/>
      </c>
      <c r="O59" s="93"/>
      <c r="P59" s="93"/>
      <c r="Q59" s="93"/>
      <c r="R59" s="87" t="str">
        <f t="shared" si="3"/>
        <v/>
      </c>
      <c r="S59" s="90" t="str">
        <f t="shared" si="4"/>
        <v/>
      </c>
      <c r="T59" s="91" t="str">
        <f t="shared" si="5"/>
        <v/>
      </c>
      <c r="U59" s="85">
        <f t="shared" si="6"/>
        <v>0</v>
      </c>
    </row>
    <row r="60">
      <c r="A60" s="85">
        <v>58.0</v>
      </c>
      <c r="B60" s="35"/>
      <c r="C60" s="65"/>
      <c r="D60" s="76"/>
      <c r="E60" s="93"/>
      <c r="F60" s="76"/>
      <c r="G60" s="93"/>
      <c r="H60" s="93"/>
      <c r="I60" s="93"/>
      <c r="J60" s="87" t="str">
        <f t="shared" si="1"/>
        <v/>
      </c>
      <c r="K60" s="93"/>
      <c r="L60" s="93"/>
      <c r="M60" s="93"/>
      <c r="N60" s="87" t="str">
        <f t="shared" si="2"/>
        <v/>
      </c>
      <c r="O60" s="93"/>
      <c r="P60" s="93"/>
      <c r="Q60" s="93"/>
      <c r="R60" s="87" t="str">
        <f t="shared" si="3"/>
        <v/>
      </c>
      <c r="S60" s="90" t="str">
        <f t="shared" si="4"/>
        <v/>
      </c>
      <c r="T60" s="91" t="str">
        <f t="shared" si="5"/>
        <v/>
      </c>
      <c r="U60" s="85">
        <f t="shared" si="6"/>
        <v>0</v>
      </c>
    </row>
    <row r="61">
      <c r="A61" s="85">
        <v>59.0</v>
      </c>
      <c r="B61" s="35"/>
      <c r="C61" s="65"/>
      <c r="D61" s="76"/>
      <c r="E61" s="93"/>
      <c r="F61" s="76"/>
      <c r="G61" s="93"/>
      <c r="H61" s="93"/>
      <c r="I61" s="93"/>
      <c r="J61" s="87" t="str">
        <f t="shared" si="1"/>
        <v/>
      </c>
      <c r="K61" s="93"/>
      <c r="L61" s="93"/>
      <c r="M61" s="93"/>
      <c r="N61" s="87" t="str">
        <f t="shared" si="2"/>
        <v/>
      </c>
      <c r="O61" s="93"/>
      <c r="P61" s="93"/>
      <c r="Q61" s="93"/>
      <c r="R61" s="87" t="str">
        <f t="shared" si="3"/>
        <v/>
      </c>
      <c r="S61" s="90" t="str">
        <f t="shared" si="4"/>
        <v/>
      </c>
      <c r="T61" s="91" t="str">
        <f t="shared" si="5"/>
        <v/>
      </c>
      <c r="U61" s="85">
        <f t="shared" si="6"/>
        <v>0</v>
      </c>
    </row>
    <row r="62">
      <c r="A62" s="85">
        <v>60.0</v>
      </c>
      <c r="B62" s="35"/>
      <c r="C62" s="65"/>
      <c r="D62" s="76"/>
      <c r="E62" s="93"/>
      <c r="F62" s="76"/>
      <c r="G62" s="93"/>
      <c r="H62" s="93"/>
      <c r="I62" s="93"/>
      <c r="J62" s="87" t="str">
        <f t="shared" si="1"/>
        <v/>
      </c>
      <c r="K62" s="93"/>
      <c r="L62" s="93"/>
      <c r="M62" s="93"/>
      <c r="N62" s="87" t="str">
        <f t="shared" si="2"/>
        <v/>
      </c>
      <c r="O62" s="93"/>
      <c r="P62" s="93"/>
      <c r="Q62" s="93"/>
      <c r="R62" s="87" t="str">
        <f t="shared" si="3"/>
        <v/>
      </c>
      <c r="S62" s="90" t="str">
        <f t="shared" si="4"/>
        <v/>
      </c>
      <c r="T62" s="91" t="str">
        <f t="shared" si="5"/>
        <v/>
      </c>
      <c r="U62" s="85">
        <f t="shared" si="6"/>
        <v>0</v>
      </c>
    </row>
    <row r="63">
      <c r="A63" s="85">
        <v>61.0</v>
      </c>
      <c r="B63" s="35"/>
      <c r="C63" s="65"/>
      <c r="D63" s="76"/>
      <c r="E63" s="93"/>
      <c r="F63" s="76"/>
      <c r="G63" s="93"/>
      <c r="H63" s="93"/>
      <c r="I63" s="93"/>
      <c r="J63" s="87" t="str">
        <f t="shared" si="1"/>
        <v/>
      </c>
      <c r="K63" s="93"/>
      <c r="L63" s="93"/>
      <c r="M63" s="93"/>
      <c r="N63" s="87" t="str">
        <f t="shared" si="2"/>
        <v/>
      </c>
      <c r="O63" s="93"/>
      <c r="P63" s="93"/>
      <c r="Q63" s="93"/>
      <c r="R63" s="87" t="str">
        <f t="shared" si="3"/>
        <v/>
      </c>
      <c r="S63" s="90" t="str">
        <f t="shared" si="4"/>
        <v/>
      </c>
      <c r="T63" s="91" t="str">
        <f t="shared" si="5"/>
        <v/>
      </c>
      <c r="U63" s="85">
        <f t="shared" si="6"/>
        <v>0</v>
      </c>
    </row>
    <row r="64">
      <c r="A64" s="85">
        <v>62.0</v>
      </c>
      <c r="B64" s="35"/>
      <c r="C64" s="65"/>
      <c r="D64" s="76"/>
      <c r="E64" s="93"/>
      <c r="F64" s="76"/>
      <c r="G64" s="93"/>
      <c r="H64" s="93"/>
      <c r="I64" s="93"/>
      <c r="J64" s="87" t="str">
        <f t="shared" si="1"/>
        <v/>
      </c>
      <c r="K64" s="93"/>
      <c r="L64" s="93"/>
      <c r="M64" s="93"/>
      <c r="N64" s="87" t="str">
        <f t="shared" si="2"/>
        <v/>
      </c>
      <c r="O64" s="93"/>
      <c r="P64" s="93"/>
      <c r="Q64" s="93"/>
      <c r="R64" s="87" t="str">
        <f t="shared" si="3"/>
        <v/>
      </c>
      <c r="S64" s="90" t="str">
        <f t="shared" si="4"/>
        <v/>
      </c>
      <c r="T64" s="91" t="str">
        <f t="shared" si="5"/>
        <v/>
      </c>
      <c r="U64" s="85">
        <f t="shared" si="6"/>
        <v>0</v>
      </c>
    </row>
    <row r="65">
      <c r="A65" s="85">
        <v>63.0</v>
      </c>
      <c r="B65" s="35"/>
      <c r="C65" s="65"/>
      <c r="D65" s="76"/>
      <c r="E65" s="93"/>
      <c r="F65" s="76"/>
      <c r="G65" s="93"/>
      <c r="H65" s="93"/>
      <c r="I65" s="93"/>
      <c r="J65" s="87" t="str">
        <f t="shared" si="1"/>
        <v/>
      </c>
      <c r="K65" s="93"/>
      <c r="L65" s="93"/>
      <c r="M65" s="93"/>
      <c r="N65" s="87" t="str">
        <f t="shared" si="2"/>
        <v/>
      </c>
      <c r="O65" s="93"/>
      <c r="P65" s="93"/>
      <c r="Q65" s="93"/>
      <c r="R65" s="87" t="str">
        <f t="shared" si="3"/>
        <v/>
      </c>
      <c r="S65" s="90" t="str">
        <f t="shared" si="4"/>
        <v/>
      </c>
      <c r="T65" s="91" t="str">
        <f t="shared" si="5"/>
        <v/>
      </c>
      <c r="U65" s="85">
        <f t="shared" si="6"/>
        <v>0</v>
      </c>
    </row>
    <row r="66">
      <c r="A66" s="85">
        <v>64.0</v>
      </c>
      <c r="B66" s="35"/>
      <c r="C66" s="65"/>
      <c r="D66" s="76"/>
      <c r="E66" s="93"/>
      <c r="F66" s="76"/>
      <c r="G66" s="93"/>
      <c r="H66" s="93"/>
      <c r="I66" s="93"/>
      <c r="J66" s="87" t="str">
        <f t="shared" si="1"/>
        <v/>
      </c>
      <c r="K66" s="93"/>
      <c r="L66" s="93"/>
      <c r="M66" s="93"/>
      <c r="N66" s="87" t="str">
        <f t="shared" si="2"/>
        <v/>
      </c>
      <c r="O66" s="93"/>
      <c r="P66" s="93"/>
      <c r="Q66" s="93"/>
      <c r="R66" s="87" t="str">
        <f t="shared" si="3"/>
        <v/>
      </c>
      <c r="S66" s="90" t="str">
        <f t="shared" si="4"/>
        <v/>
      </c>
      <c r="T66" s="91" t="str">
        <f t="shared" si="5"/>
        <v/>
      </c>
      <c r="U66" s="85">
        <f t="shared" si="6"/>
        <v>0</v>
      </c>
    </row>
    <row r="67">
      <c r="A67" s="85">
        <v>65.0</v>
      </c>
      <c r="B67" s="35"/>
      <c r="C67" s="65"/>
      <c r="D67" s="76"/>
      <c r="E67" s="93"/>
      <c r="F67" s="76"/>
      <c r="G67" s="93"/>
      <c r="H67" s="93"/>
      <c r="I67" s="93"/>
      <c r="J67" s="87" t="str">
        <f t="shared" si="1"/>
        <v/>
      </c>
      <c r="K67" s="93"/>
      <c r="L67" s="93"/>
      <c r="M67" s="93"/>
      <c r="N67" s="87" t="str">
        <f t="shared" si="2"/>
        <v/>
      </c>
      <c r="O67" s="93"/>
      <c r="P67" s="93"/>
      <c r="Q67" s="93"/>
      <c r="R67" s="87" t="str">
        <f t="shared" si="3"/>
        <v/>
      </c>
      <c r="S67" s="90" t="str">
        <f t="shared" si="4"/>
        <v/>
      </c>
      <c r="T67" s="91" t="str">
        <f t="shared" si="5"/>
        <v/>
      </c>
      <c r="U67" s="85">
        <f t="shared" si="6"/>
        <v>0</v>
      </c>
    </row>
    <row r="68">
      <c r="A68" s="85">
        <v>66.0</v>
      </c>
      <c r="B68" s="35"/>
      <c r="C68" s="65"/>
      <c r="D68" s="76"/>
      <c r="E68" s="93"/>
      <c r="F68" s="76"/>
      <c r="G68" s="93"/>
      <c r="H68" s="93"/>
      <c r="I68" s="93"/>
      <c r="J68" s="87" t="str">
        <f t="shared" si="1"/>
        <v/>
      </c>
      <c r="K68" s="93"/>
      <c r="L68" s="93"/>
      <c r="M68" s="93"/>
      <c r="N68" s="87" t="str">
        <f t="shared" si="2"/>
        <v/>
      </c>
      <c r="O68" s="93"/>
      <c r="P68" s="93"/>
      <c r="Q68" s="93"/>
      <c r="R68" s="87" t="str">
        <f t="shared" si="3"/>
        <v/>
      </c>
      <c r="S68" s="90" t="str">
        <f t="shared" si="4"/>
        <v/>
      </c>
      <c r="T68" s="91" t="str">
        <f t="shared" si="5"/>
        <v/>
      </c>
      <c r="U68" s="85">
        <f t="shared" si="6"/>
        <v>0</v>
      </c>
    </row>
    <row r="69">
      <c r="A69" s="85">
        <v>67.0</v>
      </c>
      <c r="B69" s="35"/>
      <c r="C69" s="65"/>
      <c r="D69" s="76"/>
      <c r="E69" s="93"/>
      <c r="F69" s="76"/>
      <c r="G69" s="93"/>
      <c r="H69" s="93"/>
      <c r="I69" s="93"/>
      <c r="J69" s="87" t="str">
        <f t="shared" si="1"/>
        <v/>
      </c>
      <c r="K69" s="93"/>
      <c r="L69" s="93"/>
      <c r="M69" s="93"/>
      <c r="N69" s="87" t="str">
        <f t="shared" si="2"/>
        <v/>
      </c>
      <c r="O69" s="93"/>
      <c r="P69" s="93"/>
      <c r="Q69" s="93"/>
      <c r="R69" s="87" t="str">
        <f t="shared" si="3"/>
        <v/>
      </c>
      <c r="S69" s="90" t="str">
        <f t="shared" si="4"/>
        <v/>
      </c>
      <c r="T69" s="91" t="str">
        <f t="shared" si="5"/>
        <v/>
      </c>
      <c r="U69" s="85">
        <f t="shared" si="6"/>
        <v>0</v>
      </c>
    </row>
    <row r="70">
      <c r="A70" s="85">
        <v>68.0</v>
      </c>
      <c r="B70" s="35"/>
      <c r="C70" s="65"/>
      <c r="D70" s="76"/>
      <c r="E70" s="93"/>
      <c r="F70" s="76"/>
      <c r="G70" s="93"/>
      <c r="H70" s="93"/>
      <c r="I70" s="93"/>
      <c r="J70" s="87" t="str">
        <f t="shared" si="1"/>
        <v/>
      </c>
      <c r="K70" s="93"/>
      <c r="L70" s="93"/>
      <c r="M70" s="93"/>
      <c r="N70" s="87" t="str">
        <f t="shared" si="2"/>
        <v/>
      </c>
      <c r="O70" s="93"/>
      <c r="P70" s="93"/>
      <c r="Q70" s="93"/>
      <c r="R70" s="87" t="str">
        <f t="shared" si="3"/>
        <v/>
      </c>
      <c r="S70" s="90" t="str">
        <f t="shared" si="4"/>
        <v/>
      </c>
      <c r="T70" s="91" t="str">
        <f t="shared" si="5"/>
        <v/>
      </c>
      <c r="U70" s="85">
        <f t="shared" si="6"/>
        <v>0</v>
      </c>
    </row>
    <row r="71">
      <c r="A71" s="85">
        <v>69.0</v>
      </c>
      <c r="B71" s="35"/>
      <c r="C71" s="65"/>
      <c r="D71" s="76"/>
      <c r="E71" s="93"/>
      <c r="F71" s="76"/>
      <c r="G71" s="93"/>
      <c r="H71" s="93"/>
      <c r="I71" s="93"/>
      <c r="J71" s="87" t="str">
        <f t="shared" si="1"/>
        <v/>
      </c>
      <c r="K71" s="93"/>
      <c r="L71" s="93"/>
      <c r="M71" s="93"/>
      <c r="N71" s="87" t="str">
        <f t="shared" si="2"/>
        <v/>
      </c>
      <c r="O71" s="93"/>
      <c r="P71" s="93"/>
      <c r="Q71" s="93"/>
      <c r="R71" s="87" t="str">
        <f t="shared" si="3"/>
        <v/>
      </c>
      <c r="S71" s="90" t="str">
        <f t="shared" si="4"/>
        <v/>
      </c>
      <c r="T71" s="91" t="str">
        <f t="shared" si="5"/>
        <v/>
      </c>
      <c r="U71" s="85">
        <f t="shared" si="6"/>
        <v>0</v>
      </c>
    </row>
    <row r="72">
      <c r="A72" s="85">
        <v>70.0</v>
      </c>
      <c r="B72" s="35"/>
      <c r="C72" s="65"/>
      <c r="D72" s="76"/>
      <c r="E72" s="93"/>
      <c r="F72" s="76"/>
      <c r="G72" s="93"/>
      <c r="H72" s="93"/>
      <c r="I72" s="93"/>
      <c r="J72" s="87" t="str">
        <f t="shared" si="1"/>
        <v/>
      </c>
      <c r="K72" s="93"/>
      <c r="L72" s="93"/>
      <c r="M72" s="93"/>
      <c r="N72" s="87" t="str">
        <f t="shared" si="2"/>
        <v/>
      </c>
      <c r="O72" s="93"/>
      <c r="P72" s="93"/>
      <c r="Q72" s="93"/>
      <c r="R72" s="87" t="str">
        <f t="shared" si="3"/>
        <v/>
      </c>
      <c r="S72" s="90" t="str">
        <f t="shared" si="4"/>
        <v/>
      </c>
      <c r="T72" s="91" t="str">
        <f t="shared" si="5"/>
        <v/>
      </c>
      <c r="U72" s="85">
        <f t="shared" si="6"/>
        <v>0</v>
      </c>
    </row>
    <row r="73">
      <c r="A73" s="85">
        <v>71.0</v>
      </c>
      <c r="B73" s="35"/>
      <c r="C73" s="65"/>
      <c r="D73" s="76"/>
      <c r="E73" s="93"/>
      <c r="F73" s="76"/>
      <c r="G73" s="93"/>
      <c r="H73" s="93"/>
      <c r="I73" s="93"/>
      <c r="J73" s="87" t="str">
        <f t="shared" si="1"/>
        <v/>
      </c>
      <c r="K73" s="93"/>
      <c r="L73" s="93"/>
      <c r="M73" s="93"/>
      <c r="N73" s="87" t="str">
        <f t="shared" si="2"/>
        <v/>
      </c>
      <c r="O73" s="93"/>
      <c r="P73" s="93"/>
      <c r="Q73" s="93"/>
      <c r="R73" s="87" t="str">
        <f t="shared" si="3"/>
        <v/>
      </c>
      <c r="S73" s="90" t="str">
        <f t="shared" si="4"/>
        <v/>
      </c>
      <c r="T73" s="91" t="str">
        <f t="shared" si="5"/>
        <v/>
      </c>
      <c r="U73" s="85">
        <f t="shared" si="6"/>
        <v>0</v>
      </c>
    </row>
    <row r="74">
      <c r="A74" s="85">
        <v>72.0</v>
      </c>
      <c r="B74" s="35"/>
      <c r="C74" s="65"/>
      <c r="D74" s="76"/>
      <c r="E74" s="93"/>
      <c r="F74" s="76"/>
      <c r="G74" s="93"/>
      <c r="H74" s="93"/>
      <c r="I74" s="93"/>
      <c r="J74" s="87" t="str">
        <f t="shared" si="1"/>
        <v/>
      </c>
      <c r="K74" s="93"/>
      <c r="L74" s="93"/>
      <c r="M74" s="93"/>
      <c r="N74" s="87" t="str">
        <f t="shared" si="2"/>
        <v/>
      </c>
      <c r="O74" s="93"/>
      <c r="P74" s="93"/>
      <c r="Q74" s="93"/>
      <c r="R74" s="87" t="str">
        <f t="shared" si="3"/>
        <v/>
      </c>
      <c r="S74" s="90" t="str">
        <f t="shared" si="4"/>
        <v/>
      </c>
      <c r="T74" s="91" t="str">
        <f t="shared" si="5"/>
        <v/>
      </c>
      <c r="U74" s="85">
        <f t="shared" si="6"/>
        <v>0</v>
      </c>
    </row>
    <row r="75">
      <c r="A75" s="85">
        <v>73.0</v>
      </c>
      <c r="B75" s="35"/>
      <c r="C75" s="65"/>
      <c r="D75" s="76"/>
      <c r="E75" s="93"/>
      <c r="F75" s="76"/>
      <c r="G75" s="93"/>
      <c r="H75" s="93"/>
      <c r="I75" s="93"/>
      <c r="J75" s="87" t="str">
        <f t="shared" si="1"/>
        <v/>
      </c>
      <c r="K75" s="93"/>
      <c r="L75" s="93"/>
      <c r="M75" s="93"/>
      <c r="N75" s="87" t="str">
        <f t="shared" si="2"/>
        <v/>
      </c>
      <c r="O75" s="93"/>
      <c r="P75" s="93"/>
      <c r="Q75" s="93"/>
      <c r="R75" s="87" t="str">
        <f t="shared" si="3"/>
        <v/>
      </c>
      <c r="S75" s="90" t="str">
        <f t="shared" si="4"/>
        <v/>
      </c>
      <c r="T75" s="91" t="str">
        <f t="shared" si="5"/>
        <v/>
      </c>
      <c r="U75" s="85">
        <f t="shared" si="6"/>
        <v>0</v>
      </c>
    </row>
    <row r="76">
      <c r="A76" s="85">
        <v>74.0</v>
      </c>
      <c r="B76" s="35"/>
      <c r="C76" s="65"/>
      <c r="D76" s="76"/>
      <c r="E76" s="93"/>
      <c r="F76" s="76"/>
      <c r="G76" s="93"/>
      <c r="H76" s="93"/>
      <c r="I76" s="93"/>
      <c r="J76" s="87" t="str">
        <f t="shared" si="1"/>
        <v/>
      </c>
      <c r="K76" s="93"/>
      <c r="L76" s="93"/>
      <c r="M76" s="93"/>
      <c r="N76" s="87" t="str">
        <f t="shared" si="2"/>
        <v/>
      </c>
      <c r="O76" s="93"/>
      <c r="P76" s="93"/>
      <c r="Q76" s="93"/>
      <c r="R76" s="87" t="str">
        <f t="shared" si="3"/>
        <v/>
      </c>
      <c r="S76" s="90" t="str">
        <f t="shared" si="4"/>
        <v/>
      </c>
      <c r="T76" s="91" t="str">
        <f t="shared" si="5"/>
        <v/>
      </c>
      <c r="U76" s="85">
        <f t="shared" si="6"/>
        <v>0</v>
      </c>
    </row>
    <row r="77">
      <c r="A77" s="85">
        <v>75.0</v>
      </c>
      <c r="B77" s="35"/>
      <c r="C77" s="65"/>
      <c r="D77" s="76"/>
      <c r="E77" s="93"/>
      <c r="F77" s="76"/>
      <c r="G77" s="93"/>
      <c r="H77" s="93"/>
      <c r="I77" s="93"/>
      <c r="J77" s="87" t="str">
        <f t="shared" si="1"/>
        <v/>
      </c>
      <c r="K77" s="93"/>
      <c r="L77" s="93"/>
      <c r="M77" s="93"/>
      <c r="N77" s="87" t="str">
        <f t="shared" si="2"/>
        <v/>
      </c>
      <c r="O77" s="93"/>
      <c r="P77" s="93"/>
      <c r="Q77" s="93"/>
      <c r="R77" s="87" t="str">
        <f t="shared" si="3"/>
        <v/>
      </c>
      <c r="S77" s="90" t="str">
        <f t="shared" si="4"/>
        <v/>
      </c>
      <c r="T77" s="91" t="str">
        <f t="shared" si="5"/>
        <v/>
      </c>
      <c r="U77" s="85">
        <f t="shared" si="6"/>
        <v>0</v>
      </c>
    </row>
  </sheetData>
  <autoFilter ref="$B$2:$T$77"/>
  <customSheetViews>
    <customSheetView guid="{B0C17AAF-6872-48F8-A58E-565BF6C8DB27}" filter="1" showAutoFilter="1">
      <autoFilter ref="$C$2:$T$52"/>
    </customSheetView>
  </customSheetViews>
  <mergeCells count="3">
    <mergeCell ref="K1:N1"/>
    <mergeCell ref="O1:R1"/>
    <mergeCell ref="G1:J1"/>
  </mergeCells>
  <conditionalFormatting sqref="G3:I77 K3:M77 O3:Q77">
    <cfRule type="endsWith" dxfId="2" priority="1" operator="endsWith" text="g">
      <formula>RIGHT((G3),LEN("g"))=("g")</formula>
    </cfRule>
  </conditionalFormatting>
  <conditionalFormatting sqref="G3:I77 K3:M77 O3:Q77">
    <cfRule type="endsWith" dxfId="1" priority="2" operator="endsWith" text="x">
      <formula>RIGHT((G3),LEN("x"))=("x")</formula>
    </cfRule>
  </conditionalFormatting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tabColor rgb="FF000000"/>
    <outlinePr summaryBelow="0" summaryRight="0"/>
  </sheetPr>
  <sheetViews>
    <sheetView workbookViewId="0">
      <pane xSplit="6.0" ySplit="2.0" topLeftCell="G3" activePane="bottomRight" state="frozen"/>
      <selection activeCell="G1" sqref="G1" pane="topRight"/>
      <selection activeCell="A3" sqref="A3" pane="bottomLeft"/>
      <selection activeCell="G3" sqref="G3" pane="bottomRight"/>
    </sheetView>
  </sheetViews>
  <sheetFormatPr customHeight="1" defaultColWidth="14.43" defaultRowHeight="15.75"/>
  <cols>
    <col customWidth="1" min="1" max="1" width="3.57"/>
    <col customWidth="1" min="2" max="2" width="10.57"/>
    <col customWidth="1" min="3" max="3" width="6.86"/>
    <col customWidth="1" min="4" max="4" width="14.71"/>
    <col customWidth="1" min="5" max="5" width="7.57"/>
    <col customWidth="1" min="6" max="6" width="18.29"/>
    <col customWidth="1" min="7" max="18" width="5.71"/>
    <col customWidth="1" min="19" max="19" width="9.86"/>
    <col customWidth="1" min="20" max="20" width="11.0"/>
    <col customWidth="1" hidden="1" min="21" max="21" width="11.0"/>
  </cols>
  <sheetData>
    <row r="1">
      <c r="A1" s="14"/>
      <c r="B1" s="16" t="s">
        <v>19</v>
      </c>
      <c r="C1" s="16" t="s">
        <v>135</v>
      </c>
      <c r="D1" s="57" t="s">
        <v>22</v>
      </c>
      <c r="E1" s="57" t="s">
        <v>23</v>
      </c>
      <c r="F1" s="57" t="s">
        <v>25</v>
      </c>
      <c r="G1" s="57" t="s">
        <v>115</v>
      </c>
      <c r="K1" s="57" t="s">
        <v>116</v>
      </c>
      <c r="O1" s="57" t="s">
        <v>117</v>
      </c>
      <c r="S1" s="57" t="s">
        <v>118</v>
      </c>
      <c r="T1" s="57" t="s">
        <v>119</v>
      </c>
      <c r="U1" s="57"/>
    </row>
    <row r="2">
      <c r="A2" s="81"/>
      <c r="B2" s="83" t="s">
        <v>19</v>
      </c>
      <c r="C2" s="83" t="s">
        <v>135</v>
      </c>
      <c r="D2" s="83" t="s">
        <v>22</v>
      </c>
      <c r="E2" s="84" t="s">
        <v>23</v>
      </c>
      <c r="F2" s="83" t="s">
        <v>25</v>
      </c>
      <c r="G2" s="83" t="s">
        <v>136</v>
      </c>
      <c r="H2" s="83" t="s">
        <v>137</v>
      </c>
      <c r="I2" s="83" t="s">
        <v>138</v>
      </c>
      <c r="J2" s="83" t="s">
        <v>139</v>
      </c>
      <c r="K2" s="83" t="s">
        <v>140</v>
      </c>
      <c r="L2" s="83" t="s">
        <v>141</v>
      </c>
      <c r="M2" s="83" t="s">
        <v>142</v>
      </c>
      <c r="N2" s="83" t="s">
        <v>143</v>
      </c>
      <c r="O2" s="83" t="s">
        <v>144</v>
      </c>
      <c r="P2" s="83" t="s">
        <v>145</v>
      </c>
      <c r="Q2" s="83" t="s">
        <v>146</v>
      </c>
      <c r="R2" s="83" t="s">
        <v>147</v>
      </c>
      <c r="S2" s="83"/>
      <c r="T2" s="84" t="s">
        <v>119</v>
      </c>
      <c r="U2" s="84"/>
    </row>
    <row r="3">
      <c r="A3" s="85">
        <v>1.0</v>
      </c>
      <c r="B3" s="35"/>
      <c r="C3" s="35"/>
      <c r="D3" s="86"/>
      <c r="E3" s="35"/>
      <c r="F3" s="86"/>
      <c r="G3" s="35"/>
      <c r="H3" s="85"/>
      <c r="I3" s="85"/>
      <c r="J3" s="87" t="str">
        <f t="shared" ref="J3:J77" si="1">IFERROR(__xludf.DUMMYFUNCTION("if(isblank(B3),,Max(if(right(G3,1)=""g"",split(G3,""g""),),if(right(H3,1)=""g"",split(H3,""g""),),if(right(I3,1)=""g"",split(I3,""g""),)))"),"")</f>
        <v/>
      </c>
      <c r="K3" s="35"/>
      <c r="L3" s="88"/>
      <c r="M3" s="88"/>
      <c r="N3" s="87" t="str">
        <f t="shared" ref="N3:N77" si="2">IFERROR(__xludf.DUMMYFUNCTION("if(isblank($B3),,Max(if(right(K3,1)=""g"",split(K3,""g""),),if(right(L3,1)=""g"",split(L3,""g""),),if(right(M3,1)=""g"",split(M3,""g""),)))"),"")</f>
        <v/>
      </c>
      <c r="O3" s="35"/>
      <c r="P3" s="88"/>
      <c r="Q3" s="88"/>
      <c r="R3" s="87" t="str">
        <f t="shared" ref="R3:R77" si="3">IFERROR(__xludf.DUMMYFUNCTION("if(isblank($B3),,Max(if(right(O3,1)=""g"",split(O3,""g""),),if(right(P3,1)=""g"",split(P3,""g""),),if(right(Q3,1)=""g"",split(Q3,""g""),)))"),"")</f>
        <v/>
      </c>
      <c r="S3" s="90" t="str">
        <f t="shared" ref="S3:S77" si="4">if(isblank(F3),,if(or(and(right(G3,1)="x",right(H3,1)="x",right(I3,1)="x"),and(right(K3,1)="x",right(L3,1)="x",right(M3,1)="x"),and(right(O3,1)="x",right(P3,1)="x",right(Q3,1)="x")),0,J3+N3+R3))</f>
        <v/>
      </c>
      <c r="T3" s="91" t="str">
        <f t="shared" ref="T3:T77" si="5">if(isblank(E3),,S3/E3)</f>
        <v/>
      </c>
      <c r="U3" s="85">
        <f t="shared" ref="U3:U77" si="6">countif(G3:Q3,"*g")</f>
        <v>0</v>
      </c>
    </row>
    <row r="4">
      <c r="A4" s="85">
        <v>2.0</v>
      </c>
      <c r="B4" s="35"/>
      <c r="C4" s="35"/>
      <c r="D4" s="86"/>
      <c r="E4" s="35"/>
      <c r="F4" s="86"/>
      <c r="G4" s="35"/>
      <c r="H4" s="85"/>
      <c r="I4" s="85"/>
      <c r="J4" s="87" t="str">
        <f t="shared" si="1"/>
        <v/>
      </c>
      <c r="K4" s="35"/>
      <c r="L4" s="88"/>
      <c r="M4" s="88"/>
      <c r="N4" s="87" t="str">
        <f t="shared" si="2"/>
        <v/>
      </c>
      <c r="O4" s="35"/>
      <c r="P4" s="88"/>
      <c r="Q4" s="88"/>
      <c r="R4" s="87" t="str">
        <f t="shared" si="3"/>
        <v/>
      </c>
      <c r="S4" s="90" t="str">
        <f t="shared" si="4"/>
        <v/>
      </c>
      <c r="T4" s="91" t="str">
        <f t="shared" si="5"/>
        <v/>
      </c>
      <c r="U4" s="85">
        <f t="shared" si="6"/>
        <v>0</v>
      </c>
    </row>
    <row r="5">
      <c r="A5" s="85">
        <v>3.0</v>
      </c>
      <c r="B5" s="35"/>
      <c r="C5" s="35"/>
      <c r="D5" s="86"/>
      <c r="E5" s="35"/>
      <c r="F5" s="86"/>
      <c r="G5" s="35"/>
      <c r="H5" s="85"/>
      <c r="I5" s="85"/>
      <c r="J5" s="87" t="str">
        <f t="shared" si="1"/>
        <v/>
      </c>
      <c r="K5" s="35"/>
      <c r="L5" s="88"/>
      <c r="M5" s="88"/>
      <c r="N5" s="87" t="str">
        <f t="shared" si="2"/>
        <v/>
      </c>
      <c r="O5" s="35"/>
      <c r="P5" s="88"/>
      <c r="Q5" s="88"/>
      <c r="R5" s="87" t="str">
        <f t="shared" si="3"/>
        <v/>
      </c>
      <c r="S5" s="90" t="str">
        <f t="shared" si="4"/>
        <v/>
      </c>
      <c r="T5" s="91" t="str">
        <f t="shared" si="5"/>
        <v/>
      </c>
      <c r="U5" s="85">
        <f t="shared" si="6"/>
        <v>0</v>
      </c>
    </row>
    <row r="6" ht="16.5" customHeight="1">
      <c r="A6" s="85">
        <v>4.0</v>
      </c>
      <c r="B6" s="35"/>
      <c r="C6" s="35"/>
      <c r="D6" s="86"/>
      <c r="E6" s="35"/>
      <c r="F6" s="86"/>
      <c r="G6" s="35"/>
      <c r="H6" s="85"/>
      <c r="I6" s="85"/>
      <c r="J6" s="87" t="str">
        <f t="shared" si="1"/>
        <v/>
      </c>
      <c r="K6" s="35"/>
      <c r="L6" s="88"/>
      <c r="M6" s="88"/>
      <c r="N6" s="87" t="str">
        <f t="shared" si="2"/>
        <v/>
      </c>
      <c r="O6" s="35"/>
      <c r="P6" s="88"/>
      <c r="Q6" s="88"/>
      <c r="R6" s="87" t="str">
        <f t="shared" si="3"/>
        <v/>
      </c>
      <c r="S6" s="90" t="str">
        <f t="shared" si="4"/>
        <v/>
      </c>
      <c r="T6" s="91" t="str">
        <f t="shared" si="5"/>
        <v/>
      </c>
      <c r="U6" s="85">
        <f t="shared" si="6"/>
        <v>0</v>
      </c>
    </row>
    <row r="7">
      <c r="A7" s="85">
        <v>5.0</v>
      </c>
      <c r="B7" s="35"/>
      <c r="C7" s="35"/>
      <c r="D7" s="86"/>
      <c r="E7" s="35"/>
      <c r="F7" s="86"/>
      <c r="G7" s="35"/>
      <c r="H7" s="85"/>
      <c r="I7" s="85"/>
      <c r="J7" s="87" t="str">
        <f t="shared" si="1"/>
        <v/>
      </c>
      <c r="K7" s="35"/>
      <c r="L7" s="88"/>
      <c r="M7" s="88"/>
      <c r="N7" s="87" t="str">
        <f t="shared" si="2"/>
        <v/>
      </c>
      <c r="O7" s="35"/>
      <c r="P7" s="88"/>
      <c r="Q7" s="88"/>
      <c r="R7" s="87" t="str">
        <f t="shared" si="3"/>
        <v/>
      </c>
      <c r="S7" s="90" t="str">
        <f t="shared" si="4"/>
        <v/>
      </c>
      <c r="T7" s="91" t="str">
        <f t="shared" si="5"/>
        <v/>
      </c>
      <c r="U7" s="85">
        <f t="shared" si="6"/>
        <v>0</v>
      </c>
    </row>
    <row r="8">
      <c r="A8" s="85">
        <v>6.0</v>
      </c>
      <c r="B8" s="35"/>
      <c r="C8" s="35"/>
      <c r="D8" s="86"/>
      <c r="E8" s="35"/>
      <c r="F8" s="86"/>
      <c r="G8" s="35"/>
      <c r="H8" s="85"/>
      <c r="I8" s="89"/>
      <c r="J8" s="87" t="str">
        <f t="shared" si="1"/>
        <v/>
      </c>
      <c r="K8" s="35"/>
      <c r="L8" s="88"/>
      <c r="M8" s="88"/>
      <c r="N8" s="87" t="str">
        <f t="shared" si="2"/>
        <v/>
      </c>
      <c r="O8" s="35"/>
      <c r="P8" s="88"/>
      <c r="Q8" s="88"/>
      <c r="R8" s="87" t="str">
        <f t="shared" si="3"/>
        <v/>
      </c>
      <c r="S8" s="90" t="str">
        <f t="shared" si="4"/>
        <v/>
      </c>
      <c r="T8" s="91" t="str">
        <f t="shared" si="5"/>
        <v/>
      </c>
      <c r="U8" s="85">
        <f t="shared" si="6"/>
        <v>0</v>
      </c>
    </row>
    <row r="9">
      <c r="A9" s="85">
        <v>7.0</v>
      </c>
      <c r="B9" s="35"/>
      <c r="C9" s="35"/>
      <c r="D9" s="86"/>
      <c r="E9" s="35"/>
      <c r="F9" s="86"/>
      <c r="G9" s="35"/>
      <c r="H9" s="85"/>
      <c r="I9" s="85"/>
      <c r="J9" s="87" t="str">
        <f t="shared" si="1"/>
        <v/>
      </c>
      <c r="K9" s="35"/>
      <c r="L9" s="88"/>
      <c r="M9" s="88"/>
      <c r="N9" s="87" t="str">
        <f t="shared" si="2"/>
        <v/>
      </c>
      <c r="O9" s="35"/>
      <c r="P9" s="88"/>
      <c r="Q9" s="88"/>
      <c r="R9" s="87" t="str">
        <f t="shared" si="3"/>
        <v/>
      </c>
      <c r="S9" s="90" t="str">
        <f t="shared" si="4"/>
        <v/>
      </c>
      <c r="T9" s="91" t="str">
        <f t="shared" si="5"/>
        <v/>
      </c>
      <c r="U9" s="85">
        <f t="shared" si="6"/>
        <v>0</v>
      </c>
    </row>
    <row r="10">
      <c r="A10" s="85">
        <v>8.0</v>
      </c>
      <c r="B10" s="35"/>
      <c r="C10" s="35"/>
      <c r="D10" s="86"/>
      <c r="E10" s="85"/>
      <c r="F10" s="86"/>
      <c r="G10" s="35"/>
      <c r="H10" s="85"/>
      <c r="I10" s="85"/>
      <c r="J10" s="87" t="str">
        <f t="shared" si="1"/>
        <v/>
      </c>
      <c r="K10" s="35"/>
      <c r="L10" s="88"/>
      <c r="M10" s="88"/>
      <c r="N10" s="87" t="str">
        <f t="shared" si="2"/>
        <v/>
      </c>
      <c r="O10" s="35"/>
      <c r="P10" s="88"/>
      <c r="Q10" s="88"/>
      <c r="R10" s="87" t="str">
        <f t="shared" si="3"/>
        <v/>
      </c>
      <c r="S10" s="90" t="str">
        <f t="shared" si="4"/>
        <v/>
      </c>
      <c r="T10" s="91" t="str">
        <f t="shared" si="5"/>
        <v/>
      </c>
      <c r="U10" s="85">
        <f t="shared" si="6"/>
        <v>0</v>
      </c>
    </row>
    <row r="11">
      <c r="A11" s="85">
        <v>9.0</v>
      </c>
      <c r="B11" s="35"/>
      <c r="C11" s="35"/>
      <c r="D11" s="86"/>
      <c r="E11" s="35"/>
      <c r="F11" s="86"/>
      <c r="G11" s="35"/>
      <c r="H11" s="85"/>
      <c r="I11" s="85"/>
      <c r="J11" s="87" t="str">
        <f t="shared" si="1"/>
        <v/>
      </c>
      <c r="K11" s="35"/>
      <c r="L11" s="88"/>
      <c r="M11" s="88"/>
      <c r="N11" s="87" t="str">
        <f t="shared" si="2"/>
        <v/>
      </c>
      <c r="O11" s="35"/>
      <c r="P11" s="88"/>
      <c r="Q11" s="88"/>
      <c r="R11" s="87" t="str">
        <f t="shared" si="3"/>
        <v/>
      </c>
      <c r="S11" s="90" t="str">
        <f t="shared" si="4"/>
        <v/>
      </c>
      <c r="T11" s="91" t="str">
        <f t="shared" si="5"/>
        <v/>
      </c>
      <c r="U11" s="85">
        <f t="shared" si="6"/>
        <v>0</v>
      </c>
    </row>
    <row r="12">
      <c r="A12" s="85">
        <v>10.0</v>
      </c>
      <c r="B12" s="35"/>
      <c r="C12" s="35"/>
      <c r="D12" s="86"/>
      <c r="E12" s="35"/>
      <c r="F12" s="86"/>
      <c r="G12" s="35"/>
      <c r="H12" s="85"/>
      <c r="I12" s="85"/>
      <c r="J12" s="87" t="str">
        <f t="shared" si="1"/>
        <v/>
      </c>
      <c r="K12" s="35"/>
      <c r="L12" s="88"/>
      <c r="M12" s="85"/>
      <c r="N12" s="87" t="str">
        <f t="shared" si="2"/>
        <v/>
      </c>
      <c r="O12" s="35"/>
      <c r="P12" s="88"/>
      <c r="Q12" s="85"/>
      <c r="R12" s="87" t="str">
        <f t="shared" si="3"/>
        <v/>
      </c>
      <c r="S12" s="90" t="str">
        <f t="shared" si="4"/>
        <v/>
      </c>
      <c r="T12" s="91" t="str">
        <f t="shared" si="5"/>
        <v/>
      </c>
      <c r="U12" s="85">
        <f t="shared" si="6"/>
        <v>0</v>
      </c>
    </row>
    <row r="13">
      <c r="A13" s="85">
        <v>11.0</v>
      </c>
      <c r="B13" s="35"/>
      <c r="C13" s="35"/>
      <c r="D13" s="86"/>
      <c r="E13" s="35"/>
      <c r="F13" s="86"/>
      <c r="G13" s="35"/>
      <c r="H13" s="85"/>
      <c r="I13" s="85"/>
      <c r="J13" s="87" t="str">
        <f t="shared" si="1"/>
        <v/>
      </c>
      <c r="K13" s="35"/>
      <c r="L13" s="88"/>
      <c r="M13" s="88"/>
      <c r="N13" s="87" t="str">
        <f t="shared" si="2"/>
        <v/>
      </c>
      <c r="O13" s="35"/>
      <c r="P13" s="88"/>
      <c r="Q13" s="88"/>
      <c r="R13" s="87" t="str">
        <f t="shared" si="3"/>
        <v/>
      </c>
      <c r="S13" s="90" t="str">
        <f t="shared" si="4"/>
        <v/>
      </c>
      <c r="T13" s="91" t="str">
        <f t="shared" si="5"/>
        <v/>
      </c>
      <c r="U13" s="85">
        <f t="shared" si="6"/>
        <v>0</v>
      </c>
    </row>
    <row r="14">
      <c r="A14" s="85">
        <v>12.0</v>
      </c>
      <c r="B14" s="35"/>
      <c r="C14" s="35"/>
      <c r="D14" s="86"/>
      <c r="E14" s="35"/>
      <c r="F14" s="86"/>
      <c r="G14" s="35"/>
      <c r="H14" s="85"/>
      <c r="I14" s="85"/>
      <c r="J14" s="87" t="str">
        <f t="shared" si="1"/>
        <v/>
      </c>
      <c r="K14" s="35"/>
      <c r="L14" s="88"/>
      <c r="M14" s="88"/>
      <c r="N14" s="87" t="str">
        <f t="shared" si="2"/>
        <v/>
      </c>
      <c r="O14" s="35"/>
      <c r="P14" s="88"/>
      <c r="Q14" s="88"/>
      <c r="R14" s="87" t="str">
        <f t="shared" si="3"/>
        <v/>
      </c>
      <c r="S14" s="90" t="str">
        <f t="shared" si="4"/>
        <v/>
      </c>
      <c r="T14" s="91" t="str">
        <f t="shared" si="5"/>
        <v/>
      </c>
      <c r="U14" s="85">
        <f t="shared" si="6"/>
        <v>0</v>
      </c>
    </row>
    <row r="15">
      <c r="A15" s="85">
        <v>13.0</v>
      </c>
      <c r="B15" s="35"/>
      <c r="C15" s="35"/>
      <c r="D15" s="86"/>
      <c r="E15" s="35"/>
      <c r="F15" s="86"/>
      <c r="G15" s="35"/>
      <c r="H15" s="85"/>
      <c r="I15" s="85"/>
      <c r="J15" s="87" t="str">
        <f t="shared" si="1"/>
        <v/>
      </c>
      <c r="K15" s="35"/>
      <c r="L15" s="88"/>
      <c r="M15" s="88"/>
      <c r="N15" s="87" t="str">
        <f t="shared" si="2"/>
        <v/>
      </c>
      <c r="O15" s="35"/>
      <c r="P15" s="88"/>
      <c r="Q15" s="88"/>
      <c r="R15" s="87" t="str">
        <f t="shared" si="3"/>
        <v/>
      </c>
      <c r="S15" s="90" t="str">
        <f t="shared" si="4"/>
        <v/>
      </c>
      <c r="T15" s="91" t="str">
        <f t="shared" si="5"/>
        <v/>
      </c>
      <c r="U15" s="85">
        <f t="shared" si="6"/>
        <v>0</v>
      </c>
    </row>
    <row r="16">
      <c r="A16" s="85">
        <v>14.0</v>
      </c>
      <c r="B16" s="35"/>
      <c r="C16" s="35"/>
      <c r="D16" s="86"/>
      <c r="E16" s="35"/>
      <c r="F16" s="86"/>
      <c r="G16" s="35"/>
      <c r="H16" s="85"/>
      <c r="I16" s="85"/>
      <c r="J16" s="87" t="str">
        <f t="shared" si="1"/>
        <v/>
      </c>
      <c r="K16" s="35"/>
      <c r="L16" s="88"/>
      <c r="M16" s="88"/>
      <c r="N16" s="87" t="str">
        <f t="shared" si="2"/>
        <v/>
      </c>
      <c r="O16" s="35"/>
      <c r="P16" s="88"/>
      <c r="Q16" s="88"/>
      <c r="R16" s="87" t="str">
        <f t="shared" si="3"/>
        <v/>
      </c>
      <c r="S16" s="90" t="str">
        <f t="shared" si="4"/>
        <v/>
      </c>
      <c r="T16" s="91" t="str">
        <f t="shared" si="5"/>
        <v/>
      </c>
      <c r="U16" s="85">
        <f t="shared" si="6"/>
        <v>0</v>
      </c>
    </row>
    <row r="17">
      <c r="A17" s="85">
        <v>15.0</v>
      </c>
      <c r="B17" s="35"/>
      <c r="C17" s="35"/>
      <c r="D17" s="86"/>
      <c r="E17" s="35"/>
      <c r="F17" s="86"/>
      <c r="G17" s="35"/>
      <c r="H17" s="85"/>
      <c r="I17" s="85"/>
      <c r="J17" s="87" t="str">
        <f t="shared" si="1"/>
        <v/>
      </c>
      <c r="K17" s="35"/>
      <c r="L17" s="88"/>
      <c r="M17" s="88"/>
      <c r="N17" s="87" t="str">
        <f t="shared" si="2"/>
        <v/>
      </c>
      <c r="O17" s="35"/>
      <c r="P17" s="88"/>
      <c r="Q17" s="88"/>
      <c r="R17" s="87" t="str">
        <f t="shared" si="3"/>
        <v/>
      </c>
      <c r="S17" s="90" t="str">
        <f t="shared" si="4"/>
        <v/>
      </c>
      <c r="T17" s="91" t="str">
        <f t="shared" si="5"/>
        <v/>
      </c>
      <c r="U17" s="85">
        <f t="shared" si="6"/>
        <v>0</v>
      </c>
    </row>
    <row r="18">
      <c r="A18" s="85">
        <v>16.0</v>
      </c>
      <c r="B18" s="35"/>
      <c r="C18" s="35"/>
      <c r="D18" s="86"/>
      <c r="E18" s="35"/>
      <c r="F18" s="86"/>
      <c r="G18" s="35"/>
      <c r="H18" s="85"/>
      <c r="I18" s="85"/>
      <c r="J18" s="87" t="str">
        <f t="shared" si="1"/>
        <v/>
      </c>
      <c r="K18" s="35"/>
      <c r="L18" s="88"/>
      <c r="M18" s="88"/>
      <c r="N18" s="87" t="str">
        <f t="shared" si="2"/>
        <v/>
      </c>
      <c r="O18" s="35"/>
      <c r="P18" s="88"/>
      <c r="Q18" s="88"/>
      <c r="R18" s="87" t="str">
        <f t="shared" si="3"/>
        <v/>
      </c>
      <c r="S18" s="90" t="str">
        <f t="shared" si="4"/>
        <v/>
      </c>
      <c r="T18" s="91" t="str">
        <f t="shared" si="5"/>
        <v/>
      </c>
      <c r="U18" s="85">
        <f t="shared" si="6"/>
        <v>0</v>
      </c>
    </row>
    <row r="19">
      <c r="A19" s="85">
        <v>17.0</v>
      </c>
      <c r="B19" s="35"/>
      <c r="C19" s="35"/>
      <c r="D19" s="86"/>
      <c r="E19" s="35"/>
      <c r="F19" s="86"/>
      <c r="G19" s="35"/>
      <c r="H19" s="85"/>
      <c r="I19" s="85"/>
      <c r="J19" s="87" t="str">
        <f t="shared" si="1"/>
        <v/>
      </c>
      <c r="K19" s="35"/>
      <c r="L19" s="88"/>
      <c r="M19" s="85"/>
      <c r="N19" s="87" t="str">
        <f t="shared" si="2"/>
        <v/>
      </c>
      <c r="O19" s="35"/>
      <c r="P19" s="88"/>
      <c r="Q19" s="85"/>
      <c r="R19" s="87" t="str">
        <f t="shared" si="3"/>
        <v/>
      </c>
      <c r="S19" s="90" t="str">
        <f t="shared" si="4"/>
        <v/>
      </c>
      <c r="T19" s="91" t="str">
        <f t="shared" si="5"/>
        <v/>
      </c>
      <c r="U19" s="85">
        <f t="shared" si="6"/>
        <v>0</v>
      </c>
    </row>
    <row r="20">
      <c r="A20" s="85">
        <v>18.0</v>
      </c>
      <c r="B20" s="35"/>
      <c r="C20" s="35"/>
      <c r="D20" s="86"/>
      <c r="E20" s="85"/>
      <c r="F20" s="86"/>
      <c r="G20" s="35"/>
      <c r="H20" s="85"/>
      <c r="I20" s="85"/>
      <c r="J20" s="87" t="str">
        <f t="shared" si="1"/>
        <v/>
      </c>
      <c r="K20" s="35"/>
      <c r="L20" s="88"/>
      <c r="M20" s="89"/>
      <c r="N20" s="87" t="str">
        <f t="shared" si="2"/>
        <v/>
      </c>
      <c r="O20" s="35"/>
      <c r="P20" s="88"/>
      <c r="Q20" s="88"/>
      <c r="R20" s="87" t="str">
        <f t="shared" si="3"/>
        <v/>
      </c>
      <c r="S20" s="90" t="str">
        <f t="shared" si="4"/>
        <v/>
      </c>
      <c r="T20" s="91" t="str">
        <f t="shared" si="5"/>
        <v/>
      </c>
      <c r="U20" s="85">
        <f t="shared" si="6"/>
        <v>0</v>
      </c>
    </row>
    <row r="21">
      <c r="A21" s="85">
        <v>19.0</v>
      </c>
      <c r="B21" s="35"/>
      <c r="C21" s="35"/>
      <c r="D21" s="86"/>
      <c r="E21" s="35"/>
      <c r="F21" s="86"/>
      <c r="G21" s="35"/>
      <c r="H21" s="85"/>
      <c r="I21" s="85"/>
      <c r="J21" s="87" t="str">
        <f t="shared" si="1"/>
        <v/>
      </c>
      <c r="K21" s="35"/>
      <c r="L21" s="88"/>
      <c r="M21" s="85"/>
      <c r="N21" s="87" t="str">
        <f t="shared" si="2"/>
        <v/>
      </c>
      <c r="O21" s="35"/>
      <c r="P21" s="88"/>
      <c r="Q21" s="85"/>
      <c r="R21" s="87" t="str">
        <f t="shared" si="3"/>
        <v/>
      </c>
      <c r="S21" s="90" t="str">
        <f t="shared" si="4"/>
        <v/>
      </c>
      <c r="T21" s="91" t="str">
        <f t="shared" si="5"/>
        <v/>
      </c>
      <c r="U21" s="85">
        <f t="shared" si="6"/>
        <v>0</v>
      </c>
    </row>
    <row r="22">
      <c r="A22" s="85">
        <v>20.0</v>
      </c>
      <c r="B22" s="35"/>
      <c r="C22" s="35"/>
      <c r="D22" s="86"/>
      <c r="E22" s="35"/>
      <c r="F22" s="86"/>
      <c r="G22" s="35"/>
      <c r="H22" s="85"/>
      <c r="I22" s="85"/>
      <c r="J22" s="87" t="str">
        <f t="shared" si="1"/>
        <v/>
      </c>
      <c r="K22" s="35"/>
      <c r="L22" s="88"/>
      <c r="M22" s="88"/>
      <c r="N22" s="87" t="str">
        <f t="shared" si="2"/>
        <v/>
      </c>
      <c r="O22" s="35"/>
      <c r="P22" s="88"/>
      <c r="Q22" s="88"/>
      <c r="R22" s="87" t="str">
        <f t="shared" si="3"/>
        <v/>
      </c>
      <c r="S22" s="90" t="str">
        <f t="shared" si="4"/>
        <v/>
      </c>
      <c r="T22" s="91" t="str">
        <f t="shared" si="5"/>
        <v/>
      </c>
      <c r="U22" s="85">
        <f t="shared" si="6"/>
        <v>0</v>
      </c>
    </row>
    <row r="23">
      <c r="A23" s="85">
        <v>21.0</v>
      </c>
      <c r="B23" s="35"/>
      <c r="C23" s="35"/>
      <c r="D23" s="86"/>
      <c r="E23" s="35"/>
      <c r="F23" s="86"/>
      <c r="G23" s="35"/>
      <c r="H23" s="85"/>
      <c r="I23" s="85"/>
      <c r="J23" s="87" t="str">
        <f t="shared" si="1"/>
        <v/>
      </c>
      <c r="K23" s="35"/>
      <c r="L23" s="88"/>
      <c r="M23" s="88"/>
      <c r="N23" s="87" t="str">
        <f t="shared" si="2"/>
        <v/>
      </c>
      <c r="O23" s="35"/>
      <c r="P23" s="88"/>
      <c r="Q23" s="88"/>
      <c r="R23" s="87" t="str">
        <f t="shared" si="3"/>
        <v/>
      </c>
      <c r="S23" s="90" t="str">
        <f t="shared" si="4"/>
        <v/>
      </c>
      <c r="T23" s="91" t="str">
        <f t="shared" si="5"/>
        <v/>
      </c>
      <c r="U23" s="85">
        <f t="shared" si="6"/>
        <v>0</v>
      </c>
    </row>
    <row r="24">
      <c r="A24" s="85">
        <v>22.0</v>
      </c>
      <c r="B24" s="35"/>
      <c r="C24" s="35"/>
      <c r="D24" s="86"/>
      <c r="E24" s="35"/>
      <c r="F24" s="86"/>
      <c r="G24" s="35"/>
      <c r="H24" s="85"/>
      <c r="I24" s="85"/>
      <c r="J24" s="87" t="str">
        <f t="shared" si="1"/>
        <v/>
      </c>
      <c r="K24" s="35"/>
      <c r="L24" s="88"/>
      <c r="M24" s="88"/>
      <c r="N24" s="87" t="str">
        <f t="shared" si="2"/>
        <v/>
      </c>
      <c r="O24" s="35"/>
      <c r="P24" s="88"/>
      <c r="Q24" s="88"/>
      <c r="R24" s="87" t="str">
        <f t="shared" si="3"/>
        <v/>
      </c>
      <c r="S24" s="90" t="str">
        <f t="shared" si="4"/>
        <v/>
      </c>
      <c r="T24" s="91" t="str">
        <f t="shared" si="5"/>
        <v/>
      </c>
      <c r="U24" s="85">
        <f t="shared" si="6"/>
        <v>0</v>
      </c>
    </row>
    <row r="25">
      <c r="A25" s="85">
        <v>23.0</v>
      </c>
      <c r="B25" s="35"/>
      <c r="C25" s="35"/>
      <c r="D25" s="86"/>
      <c r="E25" s="35"/>
      <c r="F25" s="86"/>
      <c r="G25" s="35"/>
      <c r="H25" s="85"/>
      <c r="I25" s="85"/>
      <c r="J25" s="87" t="str">
        <f t="shared" si="1"/>
        <v/>
      </c>
      <c r="K25" s="35"/>
      <c r="L25" s="88"/>
      <c r="M25" s="88"/>
      <c r="N25" s="87" t="str">
        <f t="shared" si="2"/>
        <v/>
      </c>
      <c r="O25" s="35"/>
      <c r="P25" s="88"/>
      <c r="Q25" s="88"/>
      <c r="R25" s="87" t="str">
        <f t="shared" si="3"/>
        <v/>
      </c>
      <c r="S25" s="90" t="str">
        <f t="shared" si="4"/>
        <v/>
      </c>
      <c r="T25" s="91" t="str">
        <f t="shared" si="5"/>
        <v/>
      </c>
      <c r="U25" s="85">
        <f t="shared" si="6"/>
        <v>0</v>
      </c>
    </row>
    <row r="26">
      <c r="A26" s="85">
        <v>24.0</v>
      </c>
      <c r="B26" s="35"/>
      <c r="C26" s="65"/>
      <c r="D26" s="76"/>
      <c r="E26" s="93"/>
      <c r="F26" s="76"/>
      <c r="G26" s="93"/>
      <c r="H26" s="93"/>
      <c r="I26" s="93"/>
      <c r="J26" s="87" t="str">
        <f t="shared" si="1"/>
        <v/>
      </c>
      <c r="K26" s="93"/>
      <c r="L26" s="93"/>
      <c r="M26" s="93"/>
      <c r="N26" s="87" t="str">
        <f t="shared" si="2"/>
        <v/>
      </c>
      <c r="O26" s="93"/>
      <c r="P26" s="93"/>
      <c r="Q26" s="93"/>
      <c r="R26" s="87" t="str">
        <f t="shared" si="3"/>
        <v/>
      </c>
      <c r="S26" s="90" t="str">
        <f t="shared" si="4"/>
        <v/>
      </c>
      <c r="T26" s="91" t="str">
        <f t="shared" si="5"/>
        <v/>
      </c>
      <c r="U26" s="85">
        <f t="shared" si="6"/>
        <v>0</v>
      </c>
    </row>
    <row r="27">
      <c r="A27" s="85">
        <v>25.0</v>
      </c>
      <c r="B27" s="35"/>
      <c r="C27" s="65"/>
      <c r="D27" s="76"/>
      <c r="E27" s="93"/>
      <c r="F27" s="76"/>
      <c r="G27" s="93"/>
      <c r="H27" s="93"/>
      <c r="I27" s="93"/>
      <c r="J27" s="87" t="str">
        <f t="shared" si="1"/>
        <v/>
      </c>
      <c r="K27" s="93"/>
      <c r="L27" s="93"/>
      <c r="M27" s="93"/>
      <c r="N27" s="87" t="str">
        <f t="shared" si="2"/>
        <v/>
      </c>
      <c r="O27" s="93"/>
      <c r="P27" s="93"/>
      <c r="Q27" s="93"/>
      <c r="R27" s="87" t="str">
        <f t="shared" si="3"/>
        <v/>
      </c>
      <c r="S27" s="90" t="str">
        <f t="shared" si="4"/>
        <v/>
      </c>
      <c r="T27" s="91" t="str">
        <f t="shared" si="5"/>
        <v/>
      </c>
      <c r="U27" s="85">
        <f t="shared" si="6"/>
        <v>0</v>
      </c>
    </row>
    <row r="28">
      <c r="A28" s="85">
        <v>26.0</v>
      </c>
      <c r="B28" s="35"/>
      <c r="C28" s="65"/>
      <c r="D28" s="76"/>
      <c r="E28" s="93"/>
      <c r="F28" s="76"/>
      <c r="G28" s="93"/>
      <c r="H28" s="93"/>
      <c r="I28" s="93"/>
      <c r="J28" s="87" t="str">
        <f t="shared" si="1"/>
        <v/>
      </c>
      <c r="K28" s="93"/>
      <c r="L28" s="93"/>
      <c r="M28" s="93"/>
      <c r="N28" s="87" t="str">
        <f t="shared" si="2"/>
        <v/>
      </c>
      <c r="O28" s="93"/>
      <c r="P28" s="93"/>
      <c r="Q28" s="93"/>
      <c r="R28" s="87" t="str">
        <f t="shared" si="3"/>
        <v/>
      </c>
      <c r="S28" s="90" t="str">
        <f t="shared" si="4"/>
        <v/>
      </c>
      <c r="T28" s="91" t="str">
        <f t="shared" si="5"/>
        <v/>
      </c>
      <c r="U28" s="85">
        <f t="shared" si="6"/>
        <v>0</v>
      </c>
    </row>
    <row r="29">
      <c r="A29" s="85">
        <v>27.0</v>
      </c>
      <c r="B29" s="35"/>
      <c r="C29" s="65"/>
      <c r="D29" s="76"/>
      <c r="E29" s="93"/>
      <c r="F29" s="76"/>
      <c r="G29" s="93"/>
      <c r="H29" s="93"/>
      <c r="I29" s="93"/>
      <c r="J29" s="87" t="str">
        <f t="shared" si="1"/>
        <v/>
      </c>
      <c r="K29" s="93"/>
      <c r="L29" s="93"/>
      <c r="M29" s="93"/>
      <c r="N29" s="87" t="str">
        <f t="shared" si="2"/>
        <v/>
      </c>
      <c r="O29" s="93"/>
      <c r="P29" s="93"/>
      <c r="Q29" s="93"/>
      <c r="R29" s="87" t="str">
        <f t="shared" si="3"/>
        <v/>
      </c>
      <c r="S29" s="90" t="str">
        <f t="shared" si="4"/>
        <v/>
      </c>
      <c r="T29" s="91" t="str">
        <f t="shared" si="5"/>
        <v/>
      </c>
      <c r="U29" s="85">
        <f t="shared" si="6"/>
        <v>0</v>
      </c>
    </row>
    <row r="30">
      <c r="A30" s="85">
        <v>28.0</v>
      </c>
      <c r="B30" s="35"/>
      <c r="C30" s="65"/>
      <c r="D30" s="76"/>
      <c r="E30" s="93"/>
      <c r="F30" s="76"/>
      <c r="G30" s="93"/>
      <c r="H30" s="93"/>
      <c r="I30" s="93"/>
      <c r="J30" s="87" t="str">
        <f t="shared" si="1"/>
        <v/>
      </c>
      <c r="K30" s="93"/>
      <c r="L30" s="93"/>
      <c r="M30" s="93"/>
      <c r="N30" s="87" t="str">
        <f t="shared" si="2"/>
        <v/>
      </c>
      <c r="O30" s="93"/>
      <c r="P30" s="93"/>
      <c r="Q30" s="93"/>
      <c r="R30" s="87" t="str">
        <f t="shared" si="3"/>
        <v/>
      </c>
      <c r="S30" s="90" t="str">
        <f t="shared" si="4"/>
        <v/>
      </c>
      <c r="T30" s="91" t="str">
        <f t="shared" si="5"/>
        <v/>
      </c>
      <c r="U30" s="85">
        <f t="shared" si="6"/>
        <v>0</v>
      </c>
    </row>
    <row r="31">
      <c r="A31" s="85">
        <v>29.0</v>
      </c>
      <c r="B31" s="35"/>
      <c r="C31" s="65"/>
      <c r="D31" s="76"/>
      <c r="E31" s="93"/>
      <c r="F31" s="76"/>
      <c r="G31" s="93"/>
      <c r="H31" s="93"/>
      <c r="I31" s="93"/>
      <c r="J31" s="87" t="str">
        <f t="shared" si="1"/>
        <v/>
      </c>
      <c r="K31" s="93"/>
      <c r="L31" s="93"/>
      <c r="M31" s="93"/>
      <c r="N31" s="87" t="str">
        <f t="shared" si="2"/>
        <v/>
      </c>
      <c r="O31" s="93"/>
      <c r="P31" s="93"/>
      <c r="Q31" s="93"/>
      <c r="R31" s="87" t="str">
        <f t="shared" si="3"/>
        <v/>
      </c>
      <c r="S31" s="90" t="str">
        <f t="shared" si="4"/>
        <v/>
      </c>
      <c r="T31" s="91" t="str">
        <f t="shared" si="5"/>
        <v/>
      </c>
      <c r="U31" s="85">
        <f t="shared" si="6"/>
        <v>0</v>
      </c>
    </row>
    <row r="32">
      <c r="A32" s="85">
        <v>30.0</v>
      </c>
      <c r="B32" s="35"/>
      <c r="C32" s="65"/>
      <c r="D32" s="76"/>
      <c r="E32" s="93"/>
      <c r="F32" s="76"/>
      <c r="G32" s="93"/>
      <c r="H32" s="93"/>
      <c r="I32" s="93"/>
      <c r="J32" s="87" t="str">
        <f t="shared" si="1"/>
        <v/>
      </c>
      <c r="K32" s="93"/>
      <c r="L32" s="93"/>
      <c r="M32" s="93"/>
      <c r="N32" s="87" t="str">
        <f t="shared" si="2"/>
        <v/>
      </c>
      <c r="O32" s="93"/>
      <c r="P32" s="93"/>
      <c r="Q32" s="93"/>
      <c r="R32" s="87" t="str">
        <f t="shared" si="3"/>
        <v/>
      </c>
      <c r="S32" s="90" t="str">
        <f t="shared" si="4"/>
        <v/>
      </c>
      <c r="T32" s="91" t="str">
        <f t="shared" si="5"/>
        <v/>
      </c>
      <c r="U32" s="85">
        <f t="shared" si="6"/>
        <v>0</v>
      </c>
    </row>
    <row r="33">
      <c r="A33" s="85">
        <v>31.0</v>
      </c>
      <c r="B33" s="35"/>
      <c r="C33" s="65"/>
      <c r="D33" s="76"/>
      <c r="E33" s="93"/>
      <c r="F33" s="76"/>
      <c r="G33" s="93"/>
      <c r="H33" s="93"/>
      <c r="I33" s="93"/>
      <c r="J33" s="87" t="str">
        <f t="shared" si="1"/>
        <v/>
      </c>
      <c r="K33" s="93"/>
      <c r="L33" s="93"/>
      <c r="M33" s="93"/>
      <c r="N33" s="87" t="str">
        <f t="shared" si="2"/>
        <v/>
      </c>
      <c r="O33" s="93"/>
      <c r="P33" s="93"/>
      <c r="Q33" s="93"/>
      <c r="R33" s="87" t="str">
        <f t="shared" si="3"/>
        <v/>
      </c>
      <c r="S33" s="90" t="str">
        <f t="shared" si="4"/>
        <v/>
      </c>
      <c r="T33" s="91" t="str">
        <f t="shared" si="5"/>
        <v/>
      </c>
      <c r="U33" s="85">
        <f t="shared" si="6"/>
        <v>0</v>
      </c>
    </row>
    <row r="34">
      <c r="A34" s="85">
        <v>32.0</v>
      </c>
      <c r="B34" s="35"/>
      <c r="C34" s="65"/>
      <c r="D34" s="76"/>
      <c r="E34" s="93"/>
      <c r="F34" s="76"/>
      <c r="G34" s="93"/>
      <c r="H34" s="93"/>
      <c r="I34" s="93"/>
      <c r="J34" s="87" t="str">
        <f t="shared" si="1"/>
        <v/>
      </c>
      <c r="K34" s="93"/>
      <c r="L34" s="93"/>
      <c r="M34" s="93"/>
      <c r="N34" s="87" t="str">
        <f t="shared" si="2"/>
        <v/>
      </c>
      <c r="O34" s="93"/>
      <c r="P34" s="93"/>
      <c r="Q34" s="93"/>
      <c r="R34" s="87" t="str">
        <f t="shared" si="3"/>
        <v/>
      </c>
      <c r="S34" s="90" t="str">
        <f t="shared" si="4"/>
        <v/>
      </c>
      <c r="T34" s="91" t="str">
        <f t="shared" si="5"/>
        <v/>
      </c>
      <c r="U34" s="85">
        <f t="shared" si="6"/>
        <v>0</v>
      </c>
    </row>
    <row r="35">
      <c r="A35" s="85">
        <v>33.0</v>
      </c>
      <c r="B35" s="35"/>
      <c r="C35" s="65"/>
      <c r="D35" s="76"/>
      <c r="E35" s="93"/>
      <c r="F35" s="76"/>
      <c r="G35" s="93"/>
      <c r="H35" s="93"/>
      <c r="I35" s="93"/>
      <c r="J35" s="87" t="str">
        <f t="shared" si="1"/>
        <v/>
      </c>
      <c r="K35" s="93"/>
      <c r="L35" s="93"/>
      <c r="M35" s="93"/>
      <c r="N35" s="87" t="str">
        <f t="shared" si="2"/>
        <v/>
      </c>
      <c r="O35" s="93"/>
      <c r="P35" s="93"/>
      <c r="Q35" s="93"/>
      <c r="R35" s="87" t="str">
        <f t="shared" si="3"/>
        <v/>
      </c>
      <c r="S35" s="90" t="str">
        <f t="shared" si="4"/>
        <v/>
      </c>
      <c r="T35" s="91" t="str">
        <f t="shared" si="5"/>
        <v/>
      </c>
      <c r="U35" s="85">
        <f t="shared" si="6"/>
        <v>0</v>
      </c>
    </row>
    <row r="36">
      <c r="A36" s="85">
        <v>34.0</v>
      </c>
      <c r="B36" s="35"/>
      <c r="C36" s="65"/>
      <c r="D36" s="76"/>
      <c r="E36" s="93"/>
      <c r="F36" s="76"/>
      <c r="G36" s="93"/>
      <c r="H36" s="93"/>
      <c r="I36" s="93"/>
      <c r="J36" s="87" t="str">
        <f t="shared" si="1"/>
        <v/>
      </c>
      <c r="K36" s="93"/>
      <c r="L36" s="93"/>
      <c r="M36" s="93"/>
      <c r="N36" s="87" t="str">
        <f t="shared" si="2"/>
        <v/>
      </c>
      <c r="O36" s="93"/>
      <c r="P36" s="93"/>
      <c r="Q36" s="93"/>
      <c r="R36" s="87" t="str">
        <f t="shared" si="3"/>
        <v/>
      </c>
      <c r="S36" s="90" t="str">
        <f t="shared" si="4"/>
        <v/>
      </c>
      <c r="T36" s="91" t="str">
        <f t="shared" si="5"/>
        <v/>
      </c>
      <c r="U36" s="85">
        <f t="shared" si="6"/>
        <v>0</v>
      </c>
    </row>
    <row r="37">
      <c r="A37" s="85">
        <v>35.0</v>
      </c>
      <c r="B37" s="35"/>
      <c r="C37" s="65"/>
      <c r="D37" s="76"/>
      <c r="E37" s="93"/>
      <c r="F37" s="76"/>
      <c r="G37" s="93"/>
      <c r="H37" s="93"/>
      <c r="I37" s="93"/>
      <c r="J37" s="87" t="str">
        <f t="shared" si="1"/>
        <v/>
      </c>
      <c r="K37" s="93"/>
      <c r="L37" s="93"/>
      <c r="M37" s="93"/>
      <c r="N37" s="87" t="str">
        <f t="shared" si="2"/>
        <v/>
      </c>
      <c r="O37" s="93"/>
      <c r="P37" s="93"/>
      <c r="Q37" s="93"/>
      <c r="R37" s="87" t="str">
        <f t="shared" si="3"/>
        <v/>
      </c>
      <c r="S37" s="90" t="str">
        <f t="shared" si="4"/>
        <v/>
      </c>
      <c r="T37" s="91" t="str">
        <f t="shared" si="5"/>
        <v/>
      </c>
      <c r="U37" s="85">
        <f t="shared" si="6"/>
        <v>0</v>
      </c>
    </row>
    <row r="38">
      <c r="A38" s="85">
        <v>36.0</v>
      </c>
      <c r="B38" s="35"/>
      <c r="C38" s="65"/>
      <c r="D38" s="76"/>
      <c r="E38" s="93"/>
      <c r="F38" s="76"/>
      <c r="G38" s="93"/>
      <c r="H38" s="93"/>
      <c r="I38" s="93"/>
      <c r="J38" s="87" t="str">
        <f t="shared" si="1"/>
        <v/>
      </c>
      <c r="K38" s="93"/>
      <c r="L38" s="93"/>
      <c r="M38" s="93"/>
      <c r="N38" s="87" t="str">
        <f t="shared" si="2"/>
        <v/>
      </c>
      <c r="O38" s="93"/>
      <c r="P38" s="93"/>
      <c r="Q38" s="93"/>
      <c r="R38" s="87" t="str">
        <f t="shared" si="3"/>
        <v/>
      </c>
      <c r="S38" s="90" t="str">
        <f t="shared" si="4"/>
        <v/>
      </c>
      <c r="T38" s="91" t="str">
        <f t="shared" si="5"/>
        <v/>
      </c>
      <c r="U38" s="85">
        <f t="shared" si="6"/>
        <v>0</v>
      </c>
    </row>
    <row r="39">
      <c r="A39" s="85">
        <v>37.0</v>
      </c>
      <c r="B39" s="35"/>
      <c r="C39" s="65"/>
      <c r="D39" s="76"/>
      <c r="E39" s="93"/>
      <c r="F39" s="76"/>
      <c r="G39" s="93"/>
      <c r="H39" s="93"/>
      <c r="I39" s="93"/>
      <c r="J39" s="87" t="str">
        <f t="shared" si="1"/>
        <v/>
      </c>
      <c r="K39" s="93"/>
      <c r="L39" s="93"/>
      <c r="M39" s="93"/>
      <c r="N39" s="87" t="str">
        <f t="shared" si="2"/>
        <v/>
      </c>
      <c r="O39" s="93"/>
      <c r="P39" s="93"/>
      <c r="Q39" s="93"/>
      <c r="R39" s="87" t="str">
        <f t="shared" si="3"/>
        <v/>
      </c>
      <c r="S39" s="90" t="str">
        <f t="shared" si="4"/>
        <v/>
      </c>
      <c r="T39" s="91" t="str">
        <f t="shared" si="5"/>
        <v/>
      </c>
      <c r="U39" s="85">
        <f t="shared" si="6"/>
        <v>0</v>
      </c>
    </row>
    <row r="40">
      <c r="A40" s="85">
        <v>38.0</v>
      </c>
      <c r="B40" s="35"/>
      <c r="C40" s="65"/>
      <c r="D40" s="76"/>
      <c r="E40" s="93"/>
      <c r="F40" s="76"/>
      <c r="G40" s="93"/>
      <c r="H40" s="93"/>
      <c r="I40" s="93"/>
      <c r="J40" s="87" t="str">
        <f t="shared" si="1"/>
        <v/>
      </c>
      <c r="K40" s="93"/>
      <c r="L40" s="93"/>
      <c r="M40" s="93"/>
      <c r="N40" s="87" t="str">
        <f t="shared" si="2"/>
        <v/>
      </c>
      <c r="O40" s="93"/>
      <c r="P40" s="93"/>
      <c r="Q40" s="93"/>
      <c r="R40" s="87" t="str">
        <f t="shared" si="3"/>
        <v/>
      </c>
      <c r="S40" s="90" t="str">
        <f t="shared" si="4"/>
        <v/>
      </c>
      <c r="T40" s="91" t="str">
        <f t="shared" si="5"/>
        <v/>
      </c>
      <c r="U40" s="85">
        <f t="shared" si="6"/>
        <v>0</v>
      </c>
    </row>
    <row r="41">
      <c r="A41" s="85">
        <v>39.0</v>
      </c>
      <c r="B41" s="35"/>
      <c r="C41" s="65"/>
      <c r="D41" s="76"/>
      <c r="E41" s="93"/>
      <c r="F41" s="76"/>
      <c r="G41" s="93"/>
      <c r="H41" s="93"/>
      <c r="I41" s="93"/>
      <c r="J41" s="87" t="str">
        <f t="shared" si="1"/>
        <v/>
      </c>
      <c r="K41" s="93"/>
      <c r="L41" s="93"/>
      <c r="M41" s="93"/>
      <c r="N41" s="87" t="str">
        <f t="shared" si="2"/>
        <v/>
      </c>
      <c r="O41" s="93"/>
      <c r="P41" s="93"/>
      <c r="Q41" s="93"/>
      <c r="R41" s="87" t="str">
        <f t="shared" si="3"/>
        <v/>
      </c>
      <c r="S41" s="90" t="str">
        <f t="shared" si="4"/>
        <v/>
      </c>
      <c r="T41" s="91" t="str">
        <f t="shared" si="5"/>
        <v/>
      </c>
      <c r="U41" s="85">
        <f t="shared" si="6"/>
        <v>0</v>
      </c>
    </row>
    <row r="42">
      <c r="A42" s="85">
        <v>40.0</v>
      </c>
      <c r="B42" s="35"/>
      <c r="C42" s="65"/>
      <c r="D42" s="76"/>
      <c r="E42" s="93"/>
      <c r="F42" s="76"/>
      <c r="G42" s="93"/>
      <c r="H42" s="93"/>
      <c r="I42" s="93"/>
      <c r="J42" s="87" t="str">
        <f t="shared" si="1"/>
        <v/>
      </c>
      <c r="K42" s="93"/>
      <c r="L42" s="93"/>
      <c r="M42" s="93"/>
      <c r="N42" s="87" t="str">
        <f t="shared" si="2"/>
        <v/>
      </c>
      <c r="O42" s="93"/>
      <c r="P42" s="93"/>
      <c r="Q42" s="93"/>
      <c r="R42" s="87" t="str">
        <f t="shared" si="3"/>
        <v/>
      </c>
      <c r="S42" s="90" t="str">
        <f t="shared" si="4"/>
        <v/>
      </c>
      <c r="T42" s="91" t="str">
        <f t="shared" si="5"/>
        <v/>
      </c>
      <c r="U42" s="85">
        <f t="shared" si="6"/>
        <v>0</v>
      </c>
    </row>
    <row r="43">
      <c r="A43" s="85">
        <v>41.0</v>
      </c>
      <c r="B43" s="35"/>
      <c r="C43" s="65"/>
      <c r="D43" s="76"/>
      <c r="E43" s="93"/>
      <c r="F43" s="76"/>
      <c r="G43" s="93"/>
      <c r="H43" s="93"/>
      <c r="I43" s="93"/>
      <c r="J43" s="87" t="str">
        <f t="shared" si="1"/>
        <v/>
      </c>
      <c r="K43" s="93"/>
      <c r="L43" s="93"/>
      <c r="M43" s="93"/>
      <c r="N43" s="87" t="str">
        <f t="shared" si="2"/>
        <v/>
      </c>
      <c r="O43" s="93"/>
      <c r="P43" s="93"/>
      <c r="Q43" s="93"/>
      <c r="R43" s="87" t="str">
        <f t="shared" si="3"/>
        <v/>
      </c>
      <c r="S43" s="90" t="str">
        <f t="shared" si="4"/>
        <v/>
      </c>
      <c r="T43" s="91" t="str">
        <f t="shared" si="5"/>
        <v/>
      </c>
      <c r="U43" s="85">
        <f t="shared" si="6"/>
        <v>0</v>
      </c>
    </row>
    <row r="44">
      <c r="A44" s="85">
        <v>42.0</v>
      </c>
      <c r="B44" s="35"/>
      <c r="C44" s="65"/>
      <c r="D44" s="76"/>
      <c r="E44" s="93"/>
      <c r="F44" s="76"/>
      <c r="G44" s="93"/>
      <c r="H44" s="93"/>
      <c r="I44" s="93"/>
      <c r="J44" s="87" t="str">
        <f t="shared" si="1"/>
        <v/>
      </c>
      <c r="K44" s="93"/>
      <c r="L44" s="93"/>
      <c r="M44" s="93"/>
      <c r="N44" s="87" t="str">
        <f t="shared" si="2"/>
        <v/>
      </c>
      <c r="O44" s="93"/>
      <c r="P44" s="93"/>
      <c r="Q44" s="93"/>
      <c r="R44" s="87" t="str">
        <f t="shared" si="3"/>
        <v/>
      </c>
      <c r="S44" s="90" t="str">
        <f t="shared" si="4"/>
        <v/>
      </c>
      <c r="T44" s="91" t="str">
        <f t="shared" si="5"/>
        <v/>
      </c>
      <c r="U44" s="85">
        <f t="shared" si="6"/>
        <v>0</v>
      </c>
    </row>
    <row r="45">
      <c r="A45" s="85">
        <v>43.0</v>
      </c>
      <c r="B45" s="35"/>
      <c r="C45" s="65"/>
      <c r="D45" s="76"/>
      <c r="E45" s="93"/>
      <c r="F45" s="76"/>
      <c r="G45" s="93"/>
      <c r="H45" s="93"/>
      <c r="I45" s="93"/>
      <c r="J45" s="87" t="str">
        <f t="shared" si="1"/>
        <v/>
      </c>
      <c r="K45" s="93"/>
      <c r="L45" s="93"/>
      <c r="M45" s="93"/>
      <c r="N45" s="87" t="str">
        <f t="shared" si="2"/>
        <v/>
      </c>
      <c r="O45" s="93"/>
      <c r="P45" s="93"/>
      <c r="Q45" s="93"/>
      <c r="R45" s="87" t="str">
        <f t="shared" si="3"/>
        <v/>
      </c>
      <c r="S45" s="90" t="str">
        <f t="shared" si="4"/>
        <v/>
      </c>
      <c r="T45" s="91" t="str">
        <f t="shared" si="5"/>
        <v/>
      </c>
      <c r="U45" s="85">
        <f t="shared" si="6"/>
        <v>0</v>
      </c>
    </row>
    <row r="46">
      <c r="A46" s="85">
        <v>44.0</v>
      </c>
      <c r="B46" s="35"/>
      <c r="C46" s="65"/>
      <c r="D46" s="76"/>
      <c r="E46" s="93"/>
      <c r="F46" s="76"/>
      <c r="G46" s="93"/>
      <c r="H46" s="93"/>
      <c r="I46" s="93"/>
      <c r="J46" s="87" t="str">
        <f t="shared" si="1"/>
        <v/>
      </c>
      <c r="K46" s="93"/>
      <c r="L46" s="93"/>
      <c r="M46" s="93"/>
      <c r="N46" s="87" t="str">
        <f t="shared" si="2"/>
        <v/>
      </c>
      <c r="O46" s="93"/>
      <c r="P46" s="93"/>
      <c r="Q46" s="93"/>
      <c r="R46" s="87" t="str">
        <f t="shared" si="3"/>
        <v/>
      </c>
      <c r="S46" s="90" t="str">
        <f t="shared" si="4"/>
        <v/>
      </c>
      <c r="T46" s="91" t="str">
        <f t="shared" si="5"/>
        <v/>
      </c>
      <c r="U46" s="85">
        <f t="shared" si="6"/>
        <v>0</v>
      </c>
    </row>
    <row r="47">
      <c r="A47" s="85">
        <v>45.0</v>
      </c>
      <c r="B47" s="35"/>
      <c r="C47" s="65"/>
      <c r="D47" s="76"/>
      <c r="E47" s="93"/>
      <c r="F47" s="76"/>
      <c r="G47" s="93"/>
      <c r="H47" s="93"/>
      <c r="I47" s="93"/>
      <c r="J47" s="87" t="str">
        <f t="shared" si="1"/>
        <v/>
      </c>
      <c r="K47" s="93"/>
      <c r="L47" s="93"/>
      <c r="M47" s="93"/>
      <c r="N47" s="87" t="str">
        <f t="shared" si="2"/>
        <v/>
      </c>
      <c r="O47" s="93"/>
      <c r="P47" s="93"/>
      <c r="Q47" s="93"/>
      <c r="R47" s="87" t="str">
        <f t="shared" si="3"/>
        <v/>
      </c>
      <c r="S47" s="90" t="str">
        <f t="shared" si="4"/>
        <v/>
      </c>
      <c r="T47" s="91" t="str">
        <f t="shared" si="5"/>
        <v/>
      </c>
      <c r="U47" s="85">
        <f t="shared" si="6"/>
        <v>0</v>
      </c>
    </row>
    <row r="48">
      <c r="A48" s="85">
        <v>46.0</v>
      </c>
      <c r="B48" s="35"/>
      <c r="C48" s="65"/>
      <c r="D48" s="76"/>
      <c r="E48" s="93"/>
      <c r="F48" s="76"/>
      <c r="G48" s="93"/>
      <c r="H48" s="93"/>
      <c r="I48" s="93"/>
      <c r="J48" s="87" t="str">
        <f t="shared" si="1"/>
        <v/>
      </c>
      <c r="K48" s="93"/>
      <c r="L48" s="93"/>
      <c r="M48" s="93"/>
      <c r="N48" s="87" t="str">
        <f t="shared" si="2"/>
        <v/>
      </c>
      <c r="O48" s="93"/>
      <c r="P48" s="93"/>
      <c r="Q48" s="93"/>
      <c r="R48" s="87" t="str">
        <f t="shared" si="3"/>
        <v/>
      </c>
      <c r="S48" s="90" t="str">
        <f t="shared" si="4"/>
        <v/>
      </c>
      <c r="T48" s="91" t="str">
        <f t="shared" si="5"/>
        <v/>
      </c>
      <c r="U48" s="85">
        <f t="shared" si="6"/>
        <v>0</v>
      </c>
    </row>
    <row r="49">
      <c r="A49" s="85">
        <v>47.0</v>
      </c>
      <c r="B49" s="35"/>
      <c r="C49" s="65"/>
      <c r="D49" s="76"/>
      <c r="E49" s="93"/>
      <c r="F49" s="76"/>
      <c r="G49" s="93"/>
      <c r="H49" s="93"/>
      <c r="I49" s="93"/>
      <c r="J49" s="87" t="str">
        <f t="shared" si="1"/>
        <v/>
      </c>
      <c r="K49" s="93"/>
      <c r="L49" s="93"/>
      <c r="M49" s="93"/>
      <c r="N49" s="87" t="str">
        <f t="shared" si="2"/>
        <v/>
      </c>
      <c r="O49" s="93"/>
      <c r="P49" s="93"/>
      <c r="Q49" s="93"/>
      <c r="R49" s="87" t="str">
        <f t="shared" si="3"/>
        <v/>
      </c>
      <c r="S49" s="90" t="str">
        <f t="shared" si="4"/>
        <v/>
      </c>
      <c r="T49" s="91" t="str">
        <f t="shared" si="5"/>
        <v/>
      </c>
      <c r="U49" s="85">
        <f t="shared" si="6"/>
        <v>0</v>
      </c>
    </row>
    <row r="50">
      <c r="A50" s="85">
        <v>48.0</v>
      </c>
      <c r="B50" s="35"/>
      <c r="C50" s="65"/>
      <c r="D50" s="76"/>
      <c r="E50" s="93"/>
      <c r="F50" s="76"/>
      <c r="G50" s="93"/>
      <c r="H50" s="93"/>
      <c r="I50" s="93"/>
      <c r="J50" s="87" t="str">
        <f t="shared" si="1"/>
        <v/>
      </c>
      <c r="K50" s="93"/>
      <c r="L50" s="93"/>
      <c r="M50" s="93"/>
      <c r="N50" s="87" t="str">
        <f t="shared" si="2"/>
        <v/>
      </c>
      <c r="O50" s="93"/>
      <c r="P50" s="93"/>
      <c r="Q50" s="93"/>
      <c r="R50" s="87" t="str">
        <f t="shared" si="3"/>
        <v/>
      </c>
      <c r="S50" s="90" t="str">
        <f t="shared" si="4"/>
        <v/>
      </c>
      <c r="T50" s="91" t="str">
        <f t="shared" si="5"/>
        <v/>
      </c>
      <c r="U50" s="85">
        <f t="shared" si="6"/>
        <v>0</v>
      </c>
    </row>
    <row r="51">
      <c r="A51" s="85">
        <v>49.0</v>
      </c>
      <c r="B51" s="35"/>
      <c r="C51" s="65"/>
      <c r="D51" s="76"/>
      <c r="E51" s="93"/>
      <c r="F51" s="76"/>
      <c r="G51" s="93"/>
      <c r="H51" s="93"/>
      <c r="I51" s="93"/>
      <c r="J51" s="87" t="str">
        <f t="shared" si="1"/>
        <v/>
      </c>
      <c r="K51" s="93"/>
      <c r="L51" s="93"/>
      <c r="M51" s="93"/>
      <c r="N51" s="87" t="str">
        <f t="shared" si="2"/>
        <v/>
      </c>
      <c r="O51" s="93"/>
      <c r="P51" s="93"/>
      <c r="Q51" s="93"/>
      <c r="R51" s="87" t="str">
        <f t="shared" si="3"/>
        <v/>
      </c>
      <c r="S51" s="90" t="str">
        <f t="shared" si="4"/>
        <v/>
      </c>
      <c r="T51" s="91" t="str">
        <f t="shared" si="5"/>
        <v/>
      </c>
      <c r="U51" s="85">
        <f t="shared" si="6"/>
        <v>0</v>
      </c>
    </row>
    <row r="52">
      <c r="A52" s="85">
        <v>50.0</v>
      </c>
      <c r="B52" s="35"/>
      <c r="C52" s="65"/>
      <c r="D52" s="76"/>
      <c r="E52" s="93"/>
      <c r="F52" s="76"/>
      <c r="G52" s="93"/>
      <c r="H52" s="93"/>
      <c r="I52" s="93"/>
      <c r="J52" s="87" t="str">
        <f t="shared" si="1"/>
        <v/>
      </c>
      <c r="K52" s="93"/>
      <c r="L52" s="93"/>
      <c r="M52" s="93"/>
      <c r="N52" s="87" t="str">
        <f t="shared" si="2"/>
        <v/>
      </c>
      <c r="O52" s="93"/>
      <c r="P52" s="93"/>
      <c r="Q52" s="93"/>
      <c r="R52" s="87" t="str">
        <f t="shared" si="3"/>
        <v/>
      </c>
      <c r="S52" s="90" t="str">
        <f t="shared" si="4"/>
        <v/>
      </c>
      <c r="T52" s="91" t="str">
        <f t="shared" si="5"/>
        <v/>
      </c>
      <c r="U52" s="85">
        <f t="shared" si="6"/>
        <v>0</v>
      </c>
    </row>
    <row r="53">
      <c r="A53" s="85">
        <v>51.0</v>
      </c>
      <c r="B53" s="35"/>
      <c r="C53" s="65"/>
      <c r="D53" s="76"/>
      <c r="E53" s="93"/>
      <c r="F53" s="76"/>
      <c r="G53" s="93"/>
      <c r="H53" s="93"/>
      <c r="I53" s="93"/>
      <c r="J53" s="87" t="str">
        <f t="shared" si="1"/>
        <v/>
      </c>
      <c r="K53" s="93"/>
      <c r="L53" s="93"/>
      <c r="M53" s="93"/>
      <c r="N53" s="87" t="str">
        <f t="shared" si="2"/>
        <v/>
      </c>
      <c r="O53" s="93"/>
      <c r="P53" s="93"/>
      <c r="Q53" s="93"/>
      <c r="R53" s="87" t="str">
        <f t="shared" si="3"/>
        <v/>
      </c>
      <c r="S53" s="90" t="str">
        <f t="shared" si="4"/>
        <v/>
      </c>
      <c r="T53" s="91" t="str">
        <f t="shared" si="5"/>
        <v/>
      </c>
      <c r="U53" s="85">
        <f t="shared" si="6"/>
        <v>0</v>
      </c>
    </row>
    <row r="54">
      <c r="A54" s="85">
        <v>52.0</v>
      </c>
      <c r="B54" s="35"/>
      <c r="C54" s="65"/>
      <c r="D54" s="76"/>
      <c r="E54" s="93"/>
      <c r="F54" s="76"/>
      <c r="G54" s="93"/>
      <c r="H54" s="93"/>
      <c r="I54" s="93"/>
      <c r="J54" s="87" t="str">
        <f t="shared" si="1"/>
        <v/>
      </c>
      <c r="K54" s="93"/>
      <c r="L54" s="93"/>
      <c r="M54" s="93"/>
      <c r="N54" s="87" t="str">
        <f t="shared" si="2"/>
        <v/>
      </c>
      <c r="O54" s="93"/>
      <c r="P54" s="93"/>
      <c r="Q54" s="93"/>
      <c r="R54" s="87" t="str">
        <f t="shared" si="3"/>
        <v/>
      </c>
      <c r="S54" s="90" t="str">
        <f t="shared" si="4"/>
        <v/>
      </c>
      <c r="T54" s="91" t="str">
        <f t="shared" si="5"/>
        <v/>
      </c>
      <c r="U54" s="85">
        <f t="shared" si="6"/>
        <v>0</v>
      </c>
    </row>
    <row r="55">
      <c r="A55" s="85">
        <v>53.0</v>
      </c>
      <c r="B55" s="35"/>
      <c r="C55" s="65"/>
      <c r="D55" s="76"/>
      <c r="E55" s="93"/>
      <c r="F55" s="76"/>
      <c r="G55" s="93"/>
      <c r="H55" s="93"/>
      <c r="I55" s="93"/>
      <c r="J55" s="87" t="str">
        <f t="shared" si="1"/>
        <v/>
      </c>
      <c r="K55" s="93"/>
      <c r="L55" s="93"/>
      <c r="M55" s="93"/>
      <c r="N55" s="87" t="str">
        <f t="shared" si="2"/>
        <v/>
      </c>
      <c r="O55" s="93"/>
      <c r="P55" s="93"/>
      <c r="Q55" s="93"/>
      <c r="R55" s="87" t="str">
        <f t="shared" si="3"/>
        <v/>
      </c>
      <c r="S55" s="90" t="str">
        <f t="shared" si="4"/>
        <v/>
      </c>
      <c r="T55" s="91" t="str">
        <f t="shared" si="5"/>
        <v/>
      </c>
      <c r="U55" s="85">
        <f t="shared" si="6"/>
        <v>0</v>
      </c>
    </row>
    <row r="56">
      <c r="A56" s="85">
        <v>54.0</v>
      </c>
      <c r="B56" s="35"/>
      <c r="C56" s="65"/>
      <c r="D56" s="76"/>
      <c r="E56" s="93"/>
      <c r="F56" s="76"/>
      <c r="G56" s="93"/>
      <c r="H56" s="93"/>
      <c r="I56" s="93"/>
      <c r="J56" s="87" t="str">
        <f t="shared" si="1"/>
        <v/>
      </c>
      <c r="K56" s="93"/>
      <c r="L56" s="93"/>
      <c r="M56" s="93"/>
      <c r="N56" s="87" t="str">
        <f t="shared" si="2"/>
        <v/>
      </c>
      <c r="O56" s="93"/>
      <c r="P56" s="93"/>
      <c r="Q56" s="93"/>
      <c r="R56" s="87" t="str">
        <f t="shared" si="3"/>
        <v/>
      </c>
      <c r="S56" s="90" t="str">
        <f t="shared" si="4"/>
        <v/>
      </c>
      <c r="T56" s="91" t="str">
        <f t="shared" si="5"/>
        <v/>
      </c>
      <c r="U56" s="85">
        <f t="shared" si="6"/>
        <v>0</v>
      </c>
    </row>
    <row r="57">
      <c r="A57" s="85">
        <v>55.0</v>
      </c>
      <c r="B57" s="35"/>
      <c r="C57" s="65"/>
      <c r="D57" s="76"/>
      <c r="E57" s="93"/>
      <c r="F57" s="76"/>
      <c r="G57" s="93"/>
      <c r="H57" s="93"/>
      <c r="I57" s="93"/>
      <c r="J57" s="87" t="str">
        <f t="shared" si="1"/>
        <v/>
      </c>
      <c r="K57" s="93"/>
      <c r="L57" s="93"/>
      <c r="M57" s="93"/>
      <c r="N57" s="87" t="str">
        <f t="shared" si="2"/>
        <v/>
      </c>
      <c r="O57" s="93"/>
      <c r="P57" s="93"/>
      <c r="Q57" s="93"/>
      <c r="R57" s="87" t="str">
        <f t="shared" si="3"/>
        <v/>
      </c>
      <c r="S57" s="90" t="str">
        <f t="shared" si="4"/>
        <v/>
      </c>
      <c r="T57" s="91" t="str">
        <f t="shared" si="5"/>
        <v/>
      </c>
      <c r="U57" s="85">
        <f t="shared" si="6"/>
        <v>0</v>
      </c>
    </row>
    <row r="58">
      <c r="A58" s="85">
        <v>56.0</v>
      </c>
      <c r="B58" s="35"/>
      <c r="C58" s="65"/>
      <c r="D58" s="76"/>
      <c r="E58" s="93"/>
      <c r="F58" s="76"/>
      <c r="G58" s="93"/>
      <c r="H58" s="93"/>
      <c r="I58" s="93"/>
      <c r="J58" s="87" t="str">
        <f t="shared" si="1"/>
        <v/>
      </c>
      <c r="K58" s="93"/>
      <c r="L58" s="93"/>
      <c r="M58" s="93"/>
      <c r="N58" s="87" t="str">
        <f t="shared" si="2"/>
        <v/>
      </c>
      <c r="O58" s="93"/>
      <c r="P58" s="93"/>
      <c r="Q58" s="93"/>
      <c r="R58" s="87" t="str">
        <f t="shared" si="3"/>
        <v/>
      </c>
      <c r="S58" s="90" t="str">
        <f t="shared" si="4"/>
        <v/>
      </c>
      <c r="T58" s="91" t="str">
        <f t="shared" si="5"/>
        <v/>
      </c>
      <c r="U58" s="85">
        <f t="shared" si="6"/>
        <v>0</v>
      </c>
    </row>
    <row r="59">
      <c r="A59" s="85">
        <v>57.0</v>
      </c>
      <c r="B59" s="35"/>
      <c r="C59" s="65"/>
      <c r="D59" s="76"/>
      <c r="E59" s="93"/>
      <c r="F59" s="76"/>
      <c r="G59" s="93"/>
      <c r="H59" s="93"/>
      <c r="I59" s="93"/>
      <c r="J59" s="87" t="str">
        <f t="shared" si="1"/>
        <v/>
      </c>
      <c r="K59" s="93"/>
      <c r="L59" s="93"/>
      <c r="M59" s="93"/>
      <c r="N59" s="87" t="str">
        <f t="shared" si="2"/>
        <v/>
      </c>
      <c r="O59" s="93"/>
      <c r="P59" s="93"/>
      <c r="Q59" s="93"/>
      <c r="R59" s="87" t="str">
        <f t="shared" si="3"/>
        <v/>
      </c>
      <c r="S59" s="90" t="str">
        <f t="shared" si="4"/>
        <v/>
      </c>
      <c r="T59" s="91" t="str">
        <f t="shared" si="5"/>
        <v/>
      </c>
      <c r="U59" s="85">
        <f t="shared" si="6"/>
        <v>0</v>
      </c>
    </row>
    <row r="60">
      <c r="A60" s="85">
        <v>58.0</v>
      </c>
      <c r="B60" s="35"/>
      <c r="C60" s="65"/>
      <c r="D60" s="76"/>
      <c r="E60" s="93"/>
      <c r="F60" s="76"/>
      <c r="G60" s="93"/>
      <c r="H60" s="93"/>
      <c r="I60" s="93"/>
      <c r="J60" s="87" t="str">
        <f t="shared" si="1"/>
        <v/>
      </c>
      <c r="K60" s="93"/>
      <c r="L60" s="93"/>
      <c r="M60" s="93"/>
      <c r="N60" s="87" t="str">
        <f t="shared" si="2"/>
        <v/>
      </c>
      <c r="O60" s="93"/>
      <c r="P60" s="93"/>
      <c r="Q60" s="93"/>
      <c r="R60" s="87" t="str">
        <f t="shared" si="3"/>
        <v/>
      </c>
      <c r="S60" s="90" t="str">
        <f t="shared" si="4"/>
        <v/>
      </c>
      <c r="T60" s="91" t="str">
        <f t="shared" si="5"/>
        <v/>
      </c>
      <c r="U60" s="85">
        <f t="shared" si="6"/>
        <v>0</v>
      </c>
    </row>
    <row r="61">
      <c r="A61" s="85">
        <v>59.0</v>
      </c>
      <c r="B61" s="35"/>
      <c r="C61" s="65"/>
      <c r="D61" s="76"/>
      <c r="E61" s="93"/>
      <c r="F61" s="76"/>
      <c r="G61" s="93"/>
      <c r="H61" s="93"/>
      <c r="I61" s="93"/>
      <c r="J61" s="87" t="str">
        <f t="shared" si="1"/>
        <v/>
      </c>
      <c r="K61" s="93"/>
      <c r="L61" s="93"/>
      <c r="M61" s="93"/>
      <c r="N61" s="87" t="str">
        <f t="shared" si="2"/>
        <v/>
      </c>
      <c r="O61" s="93"/>
      <c r="P61" s="93"/>
      <c r="Q61" s="93"/>
      <c r="R61" s="87" t="str">
        <f t="shared" si="3"/>
        <v/>
      </c>
      <c r="S61" s="90" t="str">
        <f t="shared" si="4"/>
        <v/>
      </c>
      <c r="T61" s="91" t="str">
        <f t="shared" si="5"/>
        <v/>
      </c>
      <c r="U61" s="85">
        <f t="shared" si="6"/>
        <v>0</v>
      </c>
    </row>
    <row r="62">
      <c r="A62" s="85">
        <v>60.0</v>
      </c>
      <c r="B62" s="35"/>
      <c r="C62" s="65"/>
      <c r="D62" s="76"/>
      <c r="E62" s="93"/>
      <c r="F62" s="76"/>
      <c r="G62" s="93"/>
      <c r="H62" s="93"/>
      <c r="I62" s="93"/>
      <c r="J62" s="87" t="str">
        <f t="shared" si="1"/>
        <v/>
      </c>
      <c r="K62" s="93"/>
      <c r="L62" s="93"/>
      <c r="M62" s="93"/>
      <c r="N62" s="87" t="str">
        <f t="shared" si="2"/>
        <v/>
      </c>
      <c r="O62" s="93"/>
      <c r="P62" s="93"/>
      <c r="Q62" s="93"/>
      <c r="R62" s="87" t="str">
        <f t="shared" si="3"/>
        <v/>
      </c>
      <c r="S62" s="90" t="str">
        <f t="shared" si="4"/>
        <v/>
      </c>
      <c r="T62" s="91" t="str">
        <f t="shared" si="5"/>
        <v/>
      </c>
      <c r="U62" s="85">
        <f t="shared" si="6"/>
        <v>0</v>
      </c>
    </row>
    <row r="63">
      <c r="A63" s="85">
        <v>61.0</v>
      </c>
      <c r="B63" s="35"/>
      <c r="C63" s="65"/>
      <c r="D63" s="76"/>
      <c r="E63" s="93"/>
      <c r="F63" s="76"/>
      <c r="G63" s="93"/>
      <c r="H63" s="93"/>
      <c r="I63" s="93"/>
      <c r="J63" s="87" t="str">
        <f t="shared" si="1"/>
        <v/>
      </c>
      <c r="K63" s="93"/>
      <c r="L63" s="93"/>
      <c r="M63" s="93"/>
      <c r="N63" s="87" t="str">
        <f t="shared" si="2"/>
        <v/>
      </c>
      <c r="O63" s="93"/>
      <c r="P63" s="93"/>
      <c r="Q63" s="93"/>
      <c r="R63" s="87" t="str">
        <f t="shared" si="3"/>
        <v/>
      </c>
      <c r="S63" s="90" t="str">
        <f t="shared" si="4"/>
        <v/>
      </c>
      <c r="T63" s="91" t="str">
        <f t="shared" si="5"/>
        <v/>
      </c>
      <c r="U63" s="85">
        <f t="shared" si="6"/>
        <v>0</v>
      </c>
    </row>
    <row r="64">
      <c r="A64" s="85">
        <v>62.0</v>
      </c>
      <c r="B64" s="35"/>
      <c r="C64" s="65"/>
      <c r="D64" s="76"/>
      <c r="E64" s="93"/>
      <c r="F64" s="76"/>
      <c r="G64" s="93"/>
      <c r="H64" s="93"/>
      <c r="I64" s="93"/>
      <c r="J64" s="87" t="str">
        <f t="shared" si="1"/>
        <v/>
      </c>
      <c r="K64" s="93"/>
      <c r="L64" s="93"/>
      <c r="M64" s="93"/>
      <c r="N64" s="87" t="str">
        <f t="shared" si="2"/>
        <v/>
      </c>
      <c r="O64" s="93"/>
      <c r="P64" s="93"/>
      <c r="Q64" s="93"/>
      <c r="R64" s="87" t="str">
        <f t="shared" si="3"/>
        <v/>
      </c>
      <c r="S64" s="90" t="str">
        <f t="shared" si="4"/>
        <v/>
      </c>
      <c r="T64" s="91" t="str">
        <f t="shared" si="5"/>
        <v/>
      </c>
      <c r="U64" s="85">
        <f t="shared" si="6"/>
        <v>0</v>
      </c>
    </row>
    <row r="65">
      <c r="A65" s="85">
        <v>63.0</v>
      </c>
      <c r="B65" s="35"/>
      <c r="C65" s="65"/>
      <c r="D65" s="76"/>
      <c r="E65" s="93"/>
      <c r="F65" s="76"/>
      <c r="G65" s="93"/>
      <c r="H65" s="93"/>
      <c r="I65" s="93"/>
      <c r="J65" s="87" t="str">
        <f t="shared" si="1"/>
        <v/>
      </c>
      <c r="K65" s="93"/>
      <c r="L65" s="93"/>
      <c r="M65" s="93"/>
      <c r="N65" s="87" t="str">
        <f t="shared" si="2"/>
        <v/>
      </c>
      <c r="O65" s="93"/>
      <c r="P65" s="93"/>
      <c r="Q65" s="93"/>
      <c r="R65" s="87" t="str">
        <f t="shared" si="3"/>
        <v/>
      </c>
      <c r="S65" s="90" t="str">
        <f t="shared" si="4"/>
        <v/>
      </c>
      <c r="T65" s="91" t="str">
        <f t="shared" si="5"/>
        <v/>
      </c>
      <c r="U65" s="85">
        <f t="shared" si="6"/>
        <v>0</v>
      </c>
    </row>
    <row r="66">
      <c r="A66" s="85">
        <v>64.0</v>
      </c>
      <c r="B66" s="35"/>
      <c r="C66" s="65"/>
      <c r="D66" s="76"/>
      <c r="E66" s="93"/>
      <c r="F66" s="76"/>
      <c r="G66" s="93"/>
      <c r="H66" s="93"/>
      <c r="I66" s="93"/>
      <c r="J66" s="87" t="str">
        <f t="shared" si="1"/>
        <v/>
      </c>
      <c r="K66" s="93"/>
      <c r="L66" s="93"/>
      <c r="M66" s="93"/>
      <c r="N66" s="87" t="str">
        <f t="shared" si="2"/>
        <v/>
      </c>
      <c r="O66" s="93"/>
      <c r="P66" s="93"/>
      <c r="Q66" s="93"/>
      <c r="R66" s="87" t="str">
        <f t="shared" si="3"/>
        <v/>
      </c>
      <c r="S66" s="90" t="str">
        <f t="shared" si="4"/>
        <v/>
      </c>
      <c r="T66" s="91" t="str">
        <f t="shared" si="5"/>
        <v/>
      </c>
      <c r="U66" s="85">
        <f t="shared" si="6"/>
        <v>0</v>
      </c>
    </row>
    <row r="67">
      <c r="A67" s="85">
        <v>65.0</v>
      </c>
      <c r="B67" s="35"/>
      <c r="C67" s="65"/>
      <c r="D67" s="76"/>
      <c r="E67" s="93"/>
      <c r="F67" s="76"/>
      <c r="G67" s="93"/>
      <c r="H67" s="93"/>
      <c r="I67" s="93"/>
      <c r="J67" s="87" t="str">
        <f t="shared" si="1"/>
        <v/>
      </c>
      <c r="K67" s="93"/>
      <c r="L67" s="93"/>
      <c r="M67" s="93"/>
      <c r="N67" s="87" t="str">
        <f t="shared" si="2"/>
        <v/>
      </c>
      <c r="O67" s="93"/>
      <c r="P67" s="93"/>
      <c r="Q67" s="93"/>
      <c r="R67" s="87" t="str">
        <f t="shared" si="3"/>
        <v/>
      </c>
      <c r="S67" s="90" t="str">
        <f t="shared" si="4"/>
        <v/>
      </c>
      <c r="T67" s="91" t="str">
        <f t="shared" si="5"/>
        <v/>
      </c>
      <c r="U67" s="85">
        <f t="shared" si="6"/>
        <v>0</v>
      </c>
    </row>
    <row r="68">
      <c r="A68" s="85">
        <v>66.0</v>
      </c>
      <c r="B68" s="35"/>
      <c r="C68" s="65"/>
      <c r="D68" s="76"/>
      <c r="E68" s="93"/>
      <c r="F68" s="76"/>
      <c r="G68" s="93"/>
      <c r="H68" s="93"/>
      <c r="I68" s="93"/>
      <c r="J68" s="87" t="str">
        <f t="shared" si="1"/>
        <v/>
      </c>
      <c r="K68" s="93"/>
      <c r="L68" s="93"/>
      <c r="M68" s="93"/>
      <c r="N68" s="87" t="str">
        <f t="shared" si="2"/>
        <v/>
      </c>
      <c r="O68" s="93"/>
      <c r="P68" s="93"/>
      <c r="Q68" s="93"/>
      <c r="R68" s="87" t="str">
        <f t="shared" si="3"/>
        <v/>
      </c>
      <c r="S68" s="90" t="str">
        <f t="shared" si="4"/>
        <v/>
      </c>
      <c r="T68" s="91" t="str">
        <f t="shared" si="5"/>
        <v/>
      </c>
      <c r="U68" s="85">
        <f t="shared" si="6"/>
        <v>0</v>
      </c>
    </row>
    <row r="69">
      <c r="A69" s="85">
        <v>67.0</v>
      </c>
      <c r="B69" s="35"/>
      <c r="C69" s="65"/>
      <c r="D69" s="76"/>
      <c r="E69" s="93"/>
      <c r="F69" s="76"/>
      <c r="G69" s="93"/>
      <c r="H69" s="93"/>
      <c r="I69" s="93"/>
      <c r="J69" s="87" t="str">
        <f t="shared" si="1"/>
        <v/>
      </c>
      <c r="K69" s="93"/>
      <c r="L69" s="93"/>
      <c r="M69" s="93"/>
      <c r="N69" s="87" t="str">
        <f t="shared" si="2"/>
        <v/>
      </c>
      <c r="O69" s="93"/>
      <c r="P69" s="93"/>
      <c r="Q69" s="93"/>
      <c r="R69" s="87" t="str">
        <f t="shared" si="3"/>
        <v/>
      </c>
      <c r="S69" s="90" t="str">
        <f t="shared" si="4"/>
        <v/>
      </c>
      <c r="T69" s="91" t="str">
        <f t="shared" si="5"/>
        <v/>
      </c>
      <c r="U69" s="85">
        <f t="shared" si="6"/>
        <v>0</v>
      </c>
    </row>
    <row r="70">
      <c r="A70" s="85">
        <v>68.0</v>
      </c>
      <c r="B70" s="35"/>
      <c r="C70" s="65"/>
      <c r="D70" s="76"/>
      <c r="E70" s="93"/>
      <c r="F70" s="76"/>
      <c r="G70" s="93"/>
      <c r="H70" s="93"/>
      <c r="I70" s="93"/>
      <c r="J70" s="87" t="str">
        <f t="shared" si="1"/>
        <v/>
      </c>
      <c r="K70" s="93"/>
      <c r="L70" s="93"/>
      <c r="M70" s="93"/>
      <c r="N70" s="87" t="str">
        <f t="shared" si="2"/>
        <v/>
      </c>
      <c r="O70" s="93"/>
      <c r="P70" s="93"/>
      <c r="Q70" s="93"/>
      <c r="R70" s="87" t="str">
        <f t="shared" si="3"/>
        <v/>
      </c>
      <c r="S70" s="90" t="str">
        <f t="shared" si="4"/>
        <v/>
      </c>
      <c r="T70" s="91" t="str">
        <f t="shared" si="5"/>
        <v/>
      </c>
      <c r="U70" s="85">
        <f t="shared" si="6"/>
        <v>0</v>
      </c>
    </row>
    <row r="71">
      <c r="A71" s="85">
        <v>69.0</v>
      </c>
      <c r="B71" s="35"/>
      <c r="C71" s="65"/>
      <c r="D71" s="76"/>
      <c r="E71" s="93"/>
      <c r="F71" s="76"/>
      <c r="G71" s="93"/>
      <c r="H71" s="93"/>
      <c r="I71" s="93"/>
      <c r="J71" s="87" t="str">
        <f t="shared" si="1"/>
        <v/>
      </c>
      <c r="K71" s="93"/>
      <c r="L71" s="93"/>
      <c r="M71" s="93"/>
      <c r="N71" s="87" t="str">
        <f t="shared" si="2"/>
        <v/>
      </c>
      <c r="O71" s="93"/>
      <c r="P71" s="93"/>
      <c r="Q71" s="93"/>
      <c r="R71" s="87" t="str">
        <f t="shared" si="3"/>
        <v/>
      </c>
      <c r="S71" s="90" t="str">
        <f t="shared" si="4"/>
        <v/>
      </c>
      <c r="T71" s="91" t="str">
        <f t="shared" si="5"/>
        <v/>
      </c>
      <c r="U71" s="85">
        <f t="shared" si="6"/>
        <v>0</v>
      </c>
    </row>
    <row r="72">
      <c r="A72" s="85">
        <v>70.0</v>
      </c>
      <c r="B72" s="35"/>
      <c r="C72" s="65"/>
      <c r="D72" s="76"/>
      <c r="E72" s="93"/>
      <c r="F72" s="76"/>
      <c r="G72" s="93"/>
      <c r="H72" s="93"/>
      <c r="I72" s="93"/>
      <c r="J72" s="87" t="str">
        <f t="shared" si="1"/>
        <v/>
      </c>
      <c r="K72" s="93"/>
      <c r="L72" s="93"/>
      <c r="M72" s="93"/>
      <c r="N72" s="87" t="str">
        <f t="shared" si="2"/>
        <v/>
      </c>
      <c r="O72" s="93"/>
      <c r="P72" s="93"/>
      <c r="Q72" s="93"/>
      <c r="R72" s="87" t="str">
        <f t="shared" si="3"/>
        <v/>
      </c>
      <c r="S72" s="90" t="str">
        <f t="shared" si="4"/>
        <v/>
      </c>
      <c r="T72" s="91" t="str">
        <f t="shared" si="5"/>
        <v/>
      </c>
      <c r="U72" s="85">
        <f t="shared" si="6"/>
        <v>0</v>
      </c>
    </row>
    <row r="73">
      <c r="A73" s="85">
        <v>71.0</v>
      </c>
      <c r="B73" s="35"/>
      <c r="C73" s="65"/>
      <c r="D73" s="76"/>
      <c r="E73" s="93"/>
      <c r="F73" s="76"/>
      <c r="G73" s="93"/>
      <c r="H73" s="93"/>
      <c r="I73" s="93"/>
      <c r="J73" s="87" t="str">
        <f t="shared" si="1"/>
        <v/>
      </c>
      <c r="K73" s="93"/>
      <c r="L73" s="93"/>
      <c r="M73" s="93"/>
      <c r="N73" s="87" t="str">
        <f t="shared" si="2"/>
        <v/>
      </c>
      <c r="O73" s="93"/>
      <c r="P73" s="93"/>
      <c r="Q73" s="93"/>
      <c r="R73" s="87" t="str">
        <f t="shared" si="3"/>
        <v/>
      </c>
      <c r="S73" s="90" t="str">
        <f t="shared" si="4"/>
        <v/>
      </c>
      <c r="T73" s="91" t="str">
        <f t="shared" si="5"/>
        <v/>
      </c>
      <c r="U73" s="85">
        <f t="shared" si="6"/>
        <v>0</v>
      </c>
    </row>
    <row r="74">
      <c r="A74" s="85">
        <v>72.0</v>
      </c>
      <c r="B74" s="35"/>
      <c r="C74" s="65"/>
      <c r="D74" s="76"/>
      <c r="E74" s="93"/>
      <c r="F74" s="76"/>
      <c r="G74" s="93"/>
      <c r="H74" s="93"/>
      <c r="I74" s="93"/>
      <c r="J74" s="87" t="str">
        <f t="shared" si="1"/>
        <v/>
      </c>
      <c r="K74" s="93"/>
      <c r="L74" s="93"/>
      <c r="M74" s="93"/>
      <c r="N74" s="87" t="str">
        <f t="shared" si="2"/>
        <v/>
      </c>
      <c r="O74" s="93"/>
      <c r="P74" s="93"/>
      <c r="Q74" s="93"/>
      <c r="R74" s="87" t="str">
        <f t="shared" si="3"/>
        <v/>
      </c>
      <c r="S74" s="90" t="str">
        <f t="shared" si="4"/>
        <v/>
      </c>
      <c r="T74" s="91" t="str">
        <f t="shared" si="5"/>
        <v/>
      </c>
      <c r="U74" s="85">
        <f t="shared" si="6"/>
        <v>0</v>
      </c>
    </row>
    <row r="75">
      <c r="A75" s="85">
        <v>73.0</v>
      </c>
      <c r="B75" s="35"/>
      <c r="C75" s="65"/>
      <c r="D75" s="76"/>
      <c r="E75" s="93"/>
      <c r="F75" s="76"/>
      <c r="G75" s="93"/>
      <c r="H75" s="93"/>
      <c r="I75" s="93"/>
      <c r="J75" s="87" t="str">
        <f t="shared" si="1"/>
        <v/>
      </c>
      <c r="K75" s="93"/>
      <c r="L75" s="93"/>
      <c r="M75" s="93"/>
      <c r="N75" s="87" t="str">
        <f t="shared" si="2"/>
        <v/>
      </c>
      <c r="O75" s="93"/>
      <c r="P75" s="93"/>
      <c r="Q75" s="93"/>
      <c r="R75" s="87" t="str">
        <f t="shared" si="3"/>
        <v/>
      </c>
      <c r="S75" s="90" t="str">
        <f t="shared" si="4"/>
        <v/>
      </c>
      <c r="T75" s="91" t="str">
        <f t="shared" si="5"/>
        <v/>
      </c>
      <c r="U75" s="85">
        <f t="shared" si="6"/>
        <v>0</v>
      </c>
    </row>
    <row r="76">
      <c r="A76" s="85">
        <v>74.0</v>
      </c>
      <c r="B76" s="35"/>
      <c r="C76" s="65"/>
      <c r="D76" s="76"/>
      <c r="E76" s="93"/>
      <c r="F76" s="76"/>
      <c r="G76" s="93"/>
      <c r="H76" s="93"/>
      <c r="I76" s="93"/>
      <c r="J76" s="87" t="str">
        <f t="shared" si="1"/>
        <v/>
      </c>
      <c r="K76" s="93"/>
      <c r="L76" s="93"/>
      <c r="M76" s="93"/>
      <c r="N76" s="87" t="str">
        <f t="shared" si="2"/>
        <v/>
      </c>
      <c r="O76" s="93"/>
      <c r="P76" s="93"/>
      <c r="Q76" s="93"/>
      <c r="R76" s="87" t="str">
        <f t="shared" si="3"/>
        <v/>
      </c>
      <c r="S76" s="90" t="str">
        <f t="shared" si="4"/>
        <v/>
      </c>
      <c r="T76" s="91" t="str">
        <f t="shared" si="5"/>
        <v/>
      </c>
      <c r="U76" s="85">
        <f t="shared" si="6"/>
        <v>0</v>
      </c>
    </row>
    <row r="77">
      <c r="A77" s="85">
        <v>75.0</v>
      </c>
      <c r="B77" s="35"/>
      <c r="C77" s="65"/>
      <c r="D77" s="76"/>
      <c r="E77" s="93"/>
      <c r="F77" s="76"/>
      <c r="G77" s="93"/>
      <c r="H77" s="93"/>
      <c r="I77" s="93"/>
      <c r="J77" s="87" t="str">
        <f t="shared" si="1"/>
        <v/>
      </c>
      <c r="K77" s="93"/>
      <c r="L77" s="93"/>
      <c r="M77" s="93"/>
      <c r="N77" s="87" t="str">
        <f t="shared" si="2"/>
        <v/>
      </c>
      <c r="O77" s="93"/>
      <c r="P77" s="93"/>
      <c r="Q77" s="93"/>
      <c r="R77" s="87" t="str">
        <f t="shared" si="3"/>
        <v/>
      </c>
      <c r="S77" s="90" t="str">
        <f t="shared" si="4"/>
        <v/>
      </c>
      <c r="T77" s="91" t="str">
        <f t="shared" si="5"/>
        <v/>
      </c>
      <c r="U77" s="85">
        <f t="shared" si="6"/>
        <v>0</v>
      </c>
    </row>
  </sheetData>
  <autoFilter ref="$B$2:$T$77"/>
  <customSheetViews>
    <customSheetView guid="{B0C17AAF-6872-48F8-A58E-565BF6C8DB27}" filter="1" showAutoFilter="1">
      <autoFilter ref="$C$2:$T$52"/>
    </customSheetView>
  </customSheetViews>
  <mergeCells count="3">
    <mergeCell ref="K1:N1"/>
    <mergeCell ref="O1:R1"/>
    <mergeCell ref="G1:J1"/>
  </mergeCells>
  <conditionalFormatting sqref="G3:I77 K3:M77 O3:Q77">
    <cfRule type="endsWith" dxfId="2" priority="1" operator="endsWith" text="g">
      <formula>RIGHT((G3),LEN("g"))=("g")</formula>
    </cfRule>
  </conditionalFormatting>
  <conditionalFormatting sqref="G3:I77 K3:M77 O3:Q77">
    <cfRule type="endsWith" dxfId="1" priority="2" operator="endsWith" text="x">
      <formula>RIGHT((G3),LEN("x"))=("x")</formula>
    </cfRule>
  </conditionalFormatting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tabColor rgb="FF000000"/>
    <outlinePr summaryBelow="0" summaryRight="0"/>
  </sheetPr>
  <sheetViews>
    <sheetView workbookViewId="0">
      <pane xSplit="6.0" ySplit="2.0" topLeftCell="G3" activePane="bottomRight" state="frozen"/>
      <selection activeCell="G1" sqref="G1" pane="topRight"/>
      <selection activeCell="A3" sqref="A3" pane="bottomLeft"/>
      <selection activeCell="G3" sqref="G3" pane="bottomRight"/>
    </sheetView>
  </sheetViews>
  <sheetFormatPr customHeight="1" defaultColWidth="14.43" defaultRowHeight="15.75"/>
  <cols>
    <col customWidth="1" min="1" max="1" width="3.57"/>
    <col customWidth="1" min="2" max="2" width="10.57"/>
    <col customWidth="1" min="3" max="3" width="6.86"/>
    <col customWidth="1" min="4" max="4" width="14.71"/>
    <col customWidth="1" min="5" max="5" width="7.57"/>
    <col customWidth="1" min="6" max="6" width="18.29"/>
    <col customWidth="1" min="7" max="18" width="5.71"/>
    <col customWidth="1" min="19" max="19" width="9.86"/>
    <col customWidth="1" min="20" max="20" width="11.0"/>
    <col customWidth="1" hidden="1" min="21" max="21" width="11.0"/>
  </cols>
  <sheetData>
    <row r="1">
      <c r="A1" s="14"/>
      <c r="B1" s="16" t="s">
        <v>19</v>
      </c>
      <c r="C1" s="16" t="s">
        <v>135</v>
      </c>
      <c r="D1" s="57" t="s">
        <v>22</v>
      </c>
      <c r="E1" s="57" t="s">
        <v>23</v>
      </c>
      <c r="F1" s="57" t="s">
        <v>25</v>
      </c>
      <c r="G1" s="57" t="s">
        <v>115</v>
      </c>
      <c r="K1" s="57" t="s">
        <v>116</v>
      </c>
      <c r="O1" s="57" t="s">
        <v>117</v>
      </c>
      <c r="S1" s="57" t="s">
        <v>118</v>
      </c>
      <c r="T1" s="57" t="s">
        <v>119</v>
      </c>
      <c r="U1" s="57"/>
    </row>
    <row r="2">
      <c r="A2" s="81"/>
      <c r="B2" s="83" t="s">
        <v>19</v>
      </c>
      <c r="C2" s="83" t="s">
        <v>135</v>
      </c>
      <c r="D2" s="83" t="s">
        <v>22</v>
      </c>
      <c r="E2" s="84" t="s">
        <v>23</v>
      </c>
      <c r="F2" s="83" t="s">
        <v>25</v>
      </c>
      <c r="G2" s="83" t="s">
        <v>136</v>
      </c>
      <c r="H2" s="83" t="s">
        <v>137</v>
      </c>
      <c r="I2" s="83" t="s">
        <v>138</v>
      </c>
      <c r="J2" s="83" t="s">
        <v>139</v>
      </c>
      <c r="K2" s="83" t="s">
        <v>140</v>
      </c>
      <c r="L2" s="83" t="s">
        <v>141</v>
      </c>
      <c r="M2" s="83" t="s">
        <v>142</v>
      </c>
      <c r="N2" s="83" t="s">
        <v>143</v>
      </c>
      <c r="O2" s="83" t="s">
        <v>144</v>
      </c>
      <c r="P2" s="83" t="s">
        <v>145</v>
      </c>
      <c r="Q2" s="83" t="s">
        <v>146</v>
      </c>
      <c r="R2" s="83" t="s">
        <v>147</v>
      </c>
      <c r="S2" s="83"/>
      <c r="T2" s="84" t="s">
        <v>119</v>
      </c>
      <c r="U2" s="84"/>
    </row>
    <row r="3">
      <c r="A3" s="85">
        <v>1.0</v>
      </c>
      <c r="B3" s="35"/>
      <c r="C3" s="35"/>
      <c r="D3" s="86"/>
      <c r="E3" s="35"/>
      <c r="F3" s="86"/>
      <c r="G3" s="35"/>
      <c r="H3" s="85"/>
      <c r="I3" s="85"/>
      <c r="J3" s="87" t="str">
        <f t="shared" ref="J3:J77" si="1">IFERROR(__xludf.DUMMYFUNCTION("if(isblank(B3),,Max(if(right(G3,1)=""g"",split(G3,""g""),),if(right(H3,1)=""g"",split(H3,""g""),),if(right(I3,1)=""g"",split(I3,""g""),)))"),"")</f>
        <v/>
      </c>
      <c r="K3" s="35"/>
      <c r="L3" s="88"/>
      <c r="M3" s="88"/>
      <c r="N3" s="87" t="str">
        <f t="shared" ref="N3:N77" si="2">IFERROR(__xludf.DUMMYFUNCTION("if(isblank($B3),,Max(if(right(K3,1)=""g"",split(K3,""g""),),if(right(L3,1)=""g"",split(L3,""g""),),if(right(M3,1)=""g"",split(M3,""g""),)))"),"")</f>
        <v/>
      </c>
      <c r="O3" s="35"/>
      <c r="P3" s="88"/>
      <c r="Q3" s="88"/>
      <c r="R3" s="87" t="str">
        <f t="shared" ref="R3:R77" si="3">IFERROR(__xludf.DUMMYFUNCTION("if(isblank($B3),,Max(if(right(O3,1)=""g"",split(O3,""g""),),if(right(P3,1)=""g"",split(P3,""g""),),if(right(Q3,1)=""g"",split(Q3,""g""),)))"),"")</f>
        <v/>
      </c>
      <c r="S3" s="90" t="str">
        <f t="shared" ref="S3:S77" si="4">if(isblank(F3),,if(or(and(right(G3,1)="x",right(H3,1)="x",right(I3,1)="x"),and(right(K3,1)="x",right(L3,1)="x",right(M3,1)="x"),and(right(O3,1)="x",right(P3,1)="x",right(Q3,1)="x")),0,J3+N3+R3))</f>
        <v/>
      </c>
      <c r="T3" s="91" t="str">
        <f t="shared" ref="T3:T77" si="5">if(isblank(E3),,S3/E3)</f>
        <v/>
      </c>
      <c r="U3" s="85">
        <f t="shared" ref="U3:U77" si="6">countif(G3:Q3,"*g")</f>
        <v>0</v>
      </c>
    </row>
    <row r="4">
      <c r="A4" s="85">
        <v>2.0</v>
      </c>
      <c r="B4" s="35"/>
      <c r="C4" s="35"/>
      <c r="D4" s="86"/>
      <c r="E4" s="35"/>
      <c r="F4" s="86"/>
      <c r="G4" s="35"/>
      <c r="H4" s="85"/>
      <c r="I4" s="85"/>
      <c r="J4" s="87" t="str">
        <f t="shared" si="1"/>
        <v/>
      </c>
      <c r="K4" s="35"/>
      <c r="L4" s="88"/>
      <c r="M4" s="88"/>
      <c r="N4" s="87" t="str">
        <f t="shared" si="2"/>
        <v/>
      </c>
      <c r="O4" s="35"/>
      <c r="P4" s="88"/>
      <c r="Q4" s="88"/>
      <c r="R4" s="87" t="str">
        <f t="shared" si="3"/>
        <v/>
      </c>
      <c r="S4" s="90" t="str">
        <f t="shared" si="4"/>
        <v/>
      </c>
      <c r="T4" s="91" t="str">
        <f t="shared" si="5"/>
        <v/>
      </c>
      <c r="U4" s="85">
        <f t="shared" si="6"/>
        <v>0</v>
      </c>
    </row>
    <row r="5">
      <c r="A5" s="85">
        <v>3.0</v>
      </c>
      <c r="B5" s="35"/>
      <c r="C5" s="35"/>
      <c r="D5" s="86"/>
      <c r="E5" s="35"/>
      <c r="F5" s="86"/>
      <c r="G5" s="35"/>
      <c r="H5" s="85"/>
      <c r="I5" s="85"/>
      <c r="J5" s="87" t="str">
        <f t="shared" si="1"/>
        <v/>
      </c>
      <c r="K5" s="35"/>
      <c r="L5" s="88"/>
      <c r="M5" s="88"/>
      <c r="N5" s="87" t="str">
        <f t="shared" si="2"/>
        <v/>
      </c>
      <c r="O5" s="35"/>
      <c r="P5" s="88"/>
      <c r="Q5" s="88"/>
      <c r="R5" s="87" t="str">
        <f t="shared" si="3"/>
        <v/>
      </c>
      <c r="S5" s="90" t="str">
        <f t="shared" si="4"/>
        <v/>
      </c>
      <c r="T5" s="91" t="str">
        <f t="shared" si="5"/>
        <v/>
      </c>
      <c r="U5" s="85">
        <f t="shared" si="6"/>
        <v>0</v>
      </c>
    </row>
    <row r="6" ht="16.5" customHeight="1">
      <c r="A6" s="85">
        <v>4.0</v>
      </c>
      <c r="B6" s="35"/>
      <c r="C6" s="35"/>
      <c r="D6" s="86"/>
      <c r="E6" s="35"/>
      <c r="F6" s="86"/>
      <c r="G6" s="35"/>
      <c r="H6" s="85"/>
      <c r="I6" s="85"/>
      <c r="J6" s="87" t="str">
        <f t="shared" si="1"/>
        <v/>
      </c>
      <c r="K6" s="35"/>
      <c r="L6" s="88"/>
      <c r="M6" s="88"/>
      <c r="N6" s="87" t="str">
        <f t="shared" si="2"/>
        <v/>
      </c>
      <c r="O6" s="35"/>
      <c r="P6" s="88"/>
      <c r="Q6" s="88"/>
      <c r="R6" s="87" t="str">
        <f t="shared" si="3"/>
        <v/>
      </c>
      <c r="S6" s="90" t="str">
        <f t="shared" si="4"/>
        <v/>
      </c>
      <c r="T6" s="91" t="str">
        <f t="shared" si="5"/>
        <v/>
      </c>
      <c r="U6" s="85">
        <f t="shared" si="6"/>
        <v>0</v>
      </c>
    </row>
    <row r="7">
      <c r="A7" s="85">
        <v>5.0</v>
      </c>
      <c r="B7" s="35"/>
      <c r="C7" s="35"/>
      <c r="D7" s="86"/>
      <c r="E7" s="35"/>
      <c r="F7" s="86"/>
      <c r="G7" s="35"/>
      <c r="H7" s="85"/>
      <c r="I7" s="85"/>
      <c r="J7" s="87" t="str">
        <f t="shared" si="1"/>
        <v/>
      </c>
      <c r="K7" s="35"/>
      <c r="L7" s="88"/>
      <c r="M7" s="88"/>
      <c r="N7" s="87" t="str">
        <f t="shared" si="2"/>
        <v/>
      </c>
      <c r="O7" s="35"/>
      <c r="P7" s="88"/>
      <c r="Q7" s="88"/>
      <c r="R7" s="87" t="str">
        <f t="shared" si="3"/>
        <v/>
      </c>
      <c r="S7" s="90" t="str">
        <f t="shared" si="4"/>
        <v/>
      </c>
      <c r="T7" s="91" t="str">
        <f t="shared" si="5"/>
        <v/>
      </c>
      <c r="U7" s="85">
        <f t="shared" si="6"/>
        <v>0</v>
      </c>
    </row>
    <row r="8">
      <c r="A8" s="85">
        <v>6.0</v>
      </c>
      <c r="B8" s="35"/>
      <c r="C8" s="35"/>
      <c r="D8" s="86"/>
      <c r="E8" s="35"/>
      <c r="F8" s="86"/>
      <c r="G8" s="35"/>
      <c r="H8" s="85"/>
      <c r="I8" s="89"/>
      <c r="J8" s="87" t="str">
        <f t="shared" si="1"/>
        <v/>
      </c>
      <c r="K8" s="35"/>
      <c r="L8" s="88"/>
      <c r="M8" s="88"/>
      <c r="N8" s="87" t="str">
        <f t="shared" si="2"/>
        <v/>
      </c>
      <c r="O8" s="35"/>
      <c r="P8" s="88"/>
      <c r="Q8" s="88"/>
      <c r="R8" s="87" t="str">
        <f t="shared" si="3"/>
        <v/>
      </c>
      <c r="S8" s="90" t="str">
        <f t="shared" si="4"/>
        <v/>
      </c>
      <c r="T8" s="91" t="str">
        <f t="shared" si="5"/>
        <v/>
      </c>
      <c r="U8" s="85">
        <f t="shared" si="6"/>
        <v>0</v>
      </c>
    </row>
    <row r="9">
      <c r="A9" s="85">
        <v>7.0</v>
      </c>
      <c r="B9" s="35"/>
      <c r="C9" s="35"/>
      <c r="D9" s="86"/>
      <c r="E9" s="35"/>
      <c r="F9" s="86"/>
      <c r="G9" s="35"/>
      <c r="H9" s="85"/>
      <c r="I9" s="85"/>
      <c r="J9" s="87" t="str">
        <f t="shared" si="1"/>
        <v/>
      </c>
      <c r="K9" s="35"/>
      <c r="L9" s="88"/>
      <c r="M9" s="88"/>
      <c r="N9" s="87" t="str">
        <f t="shared" si="2"/>
        <v/>
      </c>
      <c r="O9" s="35"/>
      <c r="P9" s="88"/>
      <c r="Q9" s="88"/>
      <c r="R9" s="87" t="str">
        <f t="shared" si="3"/>
        <v/>
      </c>
      <c r="S9" s="90" t="str">
        <f t="shared" si="4"/>
        <v/>
      </c>
      <c r="T9" s="91" t="str">
        <f t="shared" si="5"/>
        <v/>
      </c>
      <c r="U9" s="85">
        <f t="shared" si="6"/>
        <v>0</v>
      </c>
    </row>
    <row r="10">
      <c r="A10" s="85">
        <v>8.0</v>
      </c>
      <c r="B10" s="35"/>
      <c r="C10" s="35"/>
      <c r="D10" s="86"/>
      <c r="E10" s="85"/>
      <c r="F10" s="86"/>
      <c r="G10" s="35"/>
      <c r="H10" s="85"/>
      <c r="I10" s="85"/>
      <c r="J10" s="87" t="str">
        <f t="shared" si="1"/>
        <v/>
      </c>
      <c r="K10" s="35"/>
      <c r="L10" s="88"/>
      <c r="M10" s="88"/>
      <c r="N10" s="87" t="str">
        <f t="shared" si="2"/>
        <v/>
      </c>
      <c r="O10" s="35"/>
      <c r="P10" s="88"/>
      <c r="Q10" s="88"/>
      <c r="R10" s="87" t="str">
        <f t="shared" si="3"/>
        <v/>
      </c>
      <c r="S10" s="90" t="str">
        <f t="shared" si="4"/>
        <v/>
      </c>
      <c r="T10" s="91" t="str">
        <f t="shared" si="5"/>
        <v/>
      </c>
      <c r="U10" s="85">
        <f t="shared" si="6"/>
        <v>0</v>
      </c>
    </row>
    <row r="11">
      <c r="A11" s="85">
        <v>9.0</v>
      </c>
      <c r="B11" s="35"/>
      <c r="C11" s="35"/>
      <c r="D11" s="86"/>
      <c r="E11" s="35"/>
      <c r="F11" s="86"/>
      <c r="G11" s="35"/>
      <c r="H11" s="85"/>
      <c r="I11" s="85"/>
      <c r="J11" s="87" t="str">
        <f t="shared" si="1"/>
        <v/>
      </c>
      <c r="K11" s="35"/>
      <c r="L11" s="88"/>
      <c r="M11" s="88"/>
      <c r="N11" s="87" t="str">
        <f t="shared" si="2"/>
        <v/>
      </c>
      <c r="O11" s="35"/>
      <c r="P11" s="88"/>
      <c r="Q11" s="88"/>
      <c r="R11" s="87" t="str">
        <f t="shared" si="3"/>
        <v/>
      </c>
      <c r="S11" s="90" t="str">
        <f t="shared" si="4"/>
        <v/>
      </c>
      <c r="T11" s="91" t="str">
        <f t="shared" si="5"/>
        <v/>
      </c>
      <c r="U11" s="85">
        <f t="shared" si="6"/>
        <v>0</v>
      </c>
    </row>
    <row r="12">
      <c r="A12" s="85">
        <v>10.0</v>
      </c>
      <c r="B12" s="35"/>
      <c r="C12" s="35"/>
      <c r="D12" s="86"/>
      <c r="E12" s="35"/>
      <c r="F12" s="86"/>
      <c r="G12" s="35"/>
      <c r="H12" s="85"/>
      <c r="I12" s="85"/>
      <c r="J12" s="87" t="str">
        <f t="shared" si="1"/>
        <v/>
      </c>
      <c r="K12" s="35"/>
      <c r="L12" s="88"/>
      <c r="M12" s="85"/>
      <c r="N12" s="87" t="str">
        <f t="shared" si="2"/>
        <v/>
      </c>
      <c r="O12" s="35"/>
      <c r="P12" s="88"/>
      <c r="Q12" s="85"/>
      <c r="R12" s="87" t="str">
        <f t="shared" si="3"/>
        <v/>
      </c>
      <c r="S12" s="90" t="str">
        <f t="shared" si="4"/>
        <v/>
      </c>
      <c r="T12" s="91" t="str">
        <f t="shared" si="5"/>
        <v/>
      </c>
      <c r="U12" s="85">
        <f t="shared" si="6"/>
        <v>0</v>
      </c>
    </row>
    <row r="13">
      <c r="A13" s="85">
        <v>11.0</v>
      </c>
      <c r="B13" s="35"/>
      <c r="C13" s="35"/>
      <c r="D13" s="86"/>
      <c r="E13" s="35"/>
      <c r="F13" s="86"/>
      <c r="G13" s="35"/>
      <c r="H13" s="85"/>
      <c r="I13" s="85"/>
      <c r="J13" s="87" t="str">
        <f t="shared" si="1"/>
        <v/>
      </c>
      <c r="K13" s="35"/>
      <c r="L13" s="88"/>
      <c r="M13" s="88"/>
      <c r="N13" s="87" t="str">
        <f t="shared" si="2"/>
        <v/>
      </c>
      <c r="O13" s="35"/>
      <c r="P13" s="88"/>
      <c r="Q13" s="88"/>
      <c r="R13" s="87" t="str">
        <f t="shared" si="3"/>
        <v/>
      </c>
      <c r="S13" s="90" t="str">
        <f t="shared" si="4"/>
        <v/>
      </c>
      <c r="T13" s="91" t="str">
        <f t="shared" si="5"/>
        <v/>
      </c>
      <c r="U13" s="85">
        <f t="shared" si="6"/>
        <v>0</v>
      </c>
    </row>
    <row r="14">
      <c r="A14" s="85">
        <v>12.0</v>
      </c>
      <c r="B14" s="35"/>
      <c r="C14" s="35"/>
      <c r="D14" s="86"/>
      <c r="E14" s="35"/>
      <c r="F14" s="86"/>
      <c r="G14" s="35"/>
      <c r="H14" s="85"/>
      <c r="I14" s="85"/>
      <c r="J14" s="87" t="str">
        <f t="shared" si="1"/>
        <v/>
      </c>
      <c r="K14" s="35"/>
      <c r="L14" s="88"/>
      <c r="M14" s="88"/>
      <c r="N14" s="87" t="str">
        <f t="shared" si="2"/>
        <v/>
      </c>
      <c r="O14" s="35"/>
      <c r="P14" s="88"/>
      <c r="Q14" s="88"/>
      <c r="R14" s="87" t="str">
        <f t="shared" si="3"/>
        <v/>
      </c>
      <c r="S14" s="90" t="str">
        <f t="shared" si="4"/>
        <v/>
      </c>
      <c r="T14" s="91" t="str">
        <f t="shared" si="5"/>
        <v/>
      </c>
      <c r="U14" s="85">
        <f t="shared" si="6"/>
        <v>0</v>
      </c>
    </row>
    <row r="15">
      <c r="A15" s="85">
        <v>13.0</v>
      </c>
      <c r="B15" s="35"/>
      <c r="C15" s="35"/>
      <c r="D15" s="86"/>
      <c r="E15" s="35"/>
      <c r="F15" s="86"/>
      <c r="G15" s="35"/>
      <c r="H15" s="85"/>
      <c r="I15" s="85"/>
      <c r="J15" s="87" t="str">
        <f t="shared" si="1"/>
        <v/>
      </c>
      <c r="K15" s="35"/>
      <c r="L15" s="88"/>
      <c r="M15" s="88"/>
      <c r="N15" s="87" t="str">
        <f t="shared" si="2"/>
        <v/>
      </c>
      <c r="O15" s="35"/>
      <c r="P15" s="88"/>
      <c r="Q15" s="88"/>
      <c r="R15" s="87" t="str">
        <f t="shared" si="3"/>
        <v/>
      </c>
      <c r="S15" s="90" t="str">
        <f t="shared" si="4"/>
        <v/>
      </c>
      <c r="T15" s="91" t="str">
        <f t="shared" si="5"/>
        <v/>
      </c>
      <c r="U15" s="85">
        <f t="shared" si="6"/>
        <v>0</v>
      </c>
    </row>
    <row r="16">
      <c r="A16" s="85">
        <v>14.0</v>
      </c>
      <c r="B16" s="35"/>
      <c r="C16" s="35"/>
      <c r="D16" s="86"/>
      <c r="E16" s="35"/>
      <c r="F16" s="86"/>
      <c r="G16" s="35"/>
      <c r="H16" s="85"/>
      <c r="I16" s="85"/>
      <c r="J16" s="87" t="str">
        <f t="shared" si="1"/>
        <v/>
      </c>
      <c r="K16" s="35"/>
      <c r="L16" s="88"/>
      <c r="M16" s="88"/>
      <c r="N16" s="87" t="str">
        <f t="shared" si="2"/>
        <v/>
      </c>
      <c r="O16" s="35"/>
      <c r="P16" s="88"/>
      <c r="Q16" s="88"/>
      <c r="R16" s="87" t="str">
        <f t="shared" si="3"/>
        <v/>
      </c>
      <c r="S16" s="90" t="str">
        <f t="shared" si="4"/>
        <v/>
      </c>
      <c r="T16" s="91" t="str">
        <f t="shared" si="5"/>
        <v/>
      </c>
      <c r="U16" s="85">
        <f t="shared" si="6"/>
        <v>0</v>
      </c>
    </row>
    <row r="17">
      <c r="A17" s="85">
        <v>15.0</v>
      </c>
      <c r="B17" s="35"/>
      <c r="C17" s="35"/>
      <c r="D17" s="86"/>
      <c r="E17" s="35"/>
      <c r="F17" s="86"/>
      <c r="G17" s="35"/>
      <c r="H17" s="85"/>
      <c r="I17" s="85"/>
      <c r="J17" s="87" t="str">
        <f t="shared" si="1"/>
        <v/>
      </c>
      <c r="K17" s="35"/>
      <c r="L17" s="88"/>
      <c r="M17" s="88"/>
      <c r="N17" s="87" t="str">
        <f t="shared" si="2"/>
        <v/>
      </c>
      <c r="O17" s="35"/>
      <c r="P17" s="88"/>
      <c r="Q17" s="88"/>
      <c r="R17" s="87" t="str">
        <f t="shared" si="3"/>
        <v/>
      </c>
      <c r="S17" s="90" t="str">
        <f t="shared" si="4"/>
        <v/>
      </c>
      <c r="T17" s="91" t="str">
        <f t="shared" si="5"/>
        <v/>
      </c>
      <c r="U17" s="85">
        <f t="shared" si="6"/>
        <v>0</v>
      </c>
    </row>
    <row r="18">
      <c r="A18" s="85">
        <v>16.0</v>
      </c>
      <c r="B18" s="35"/>
      <c r="C18" s="35"/>
      <c r="D18" s="86"/>
      <c r="E18" s="35"/>
      <c r="F18" s="86"/>
      <c r="G18" s="35"/>
      <c r="H18" s="85"/>
      <c r="I18" s="85"/>
      <c r="J18" s="87" t="str">
        <f t="shared" si="1"/>
        <v/>
      </c>
      <c r="K18" s="35"/>
      <c r="L18" s="88"/>
      <c r="M18" s="88"/>
      <c r="N18" s="87" t="str">
        <f t="shared" si="2"/>
        <v/>
      </c>
      <c r="O18" s="35"/>
      <c r="P18" s="88"/>
      <c r="Q18" s="88"/>
      <c r="R18" s="87" t="str">
        <f t="shared" si="3"/>
        <v/>
      </c>
      <c r="S18" s="90" t="str">
        <f t="shared" si="4"/>
        <v/>
      </c>
      <c r="T18" s="91" t="str">
        <f t="shared" si="5"/>
        <v/>
      </c>
      <c r="U18" s="85">
        <f t="shared" si="6"/>
        <v>0</v>
      </c>
    </row>
    <row r="19">
      <c r="A19" s="85">
        <v>17.0</v>
      </c>
      <c r="B19" s="35"/>
      <c r="C19" s="35"/>
      <c r="D19" s="86"/>
      <c r="E19" s="35"/>
      <c r="F19" s="86"/>
      <c r="G19" s="35"/>
      <c r="H19" s="85"/>
      <c r="I19" s="85"/>
      <c r="J19" s="87" t="str">
        <f t="shared" si="1"/>
        <v/>
      </c>
      <c r="K19" s="35"/>
      <c r="L19" s="88"/>
      <c r="M19" s="85"/>
      <c r="N19" s="87" t="str">
        <f t="shared" si="2"/>
        <v/>
      </c>
      <c r="O19" s="35"/>
      <c r="P19" s="88"/>
      <c r="Q19" s="85"/>
      <c r="R19" s="87" t="str">
        <f t="shared" si="3"/>
        <v/>
      </c>
      <c r="S19" s="90" t="str">
        <f t="shared" si="4"/>
        <v/>
      </c>
      <c r="T19" s="91" t="str">
        <f t="shared" si="5"/>
        <v/>
      </c>
      <c r="U19" s="85">
        <f t="shared" si="6"/>
        <v>0</v>
      </c>
    </row>
    <row r="20">
      <c r="A20" s="85">
        <v>18.0</v>
      </c>
      <c r="B20" s="35"/>
      <c r="C20" s="35"/>
      <c r="D20" s="86"/>
      <c r="E20" s="85"/>
      <c r="F20" s="86"/>
      <c r="G20" s="35"/>
      <c r="H20" s="85"/>
      <c r="I20" s="85"/>
      <c r="J20" s="87" t="str">
        <f t="shared" si="1"/>
        <v/>
      </c>
      <c r="K20" s="35"/>
      <c r="L20" s="88"/>
      <c r="M20" s="89"/>
      <c r="N20" s="87" t="str">
        <f t="shared" si="2"/>
        <v/>
      </c>
      <c r="O20" s="35"/>
      <c r="P20" s="88"/>
      <c r="Q20" s="88"/>
      <c r="R20" s="87" t="str">
        <f t="shared" si="3"/>
        <v/>
      </c>
      <c r="S20" s="90" t="str">
        <f t="shared" si="4"/>
        <v/>
      </c>
      <c r="T20" s="91" t="str">
        <f t="shared" si="5"/>
        <v/>
      </c>
      <c r="U20" s="85">
        <f t="shared" si="6"/>
        <v>0</v>
      </c>
    </row>
    <row r="21">
      <c r="A21" s="85">
        <v>19.0</v>
      </c>
      <c r="B21" s="35"/>
      <c r="C21" s="35"/>
      <c r="D21" s="86"/>
      <c r="E21" s="35"/>
      <c r="F21" s="86"/>
      <c r="G21" s="35"/>
      <c r="H21" s="85"/>
      <c r="I21" s="85"/>
      <c r="J21" s="87" t="str">
        <f t="shared" si="1"/>
        <v/>
      </c>
      <c r="K21" s="35"/>
      <c r="L21" s="88"/>
      <c r="M21" s="85"/>
      <c r="N21" s="87" t="str">
        <f t="shared" si="2"/>
        <v/>
      </c>
      <c r="O21" s="35"/>
      <c r="P21" s="88"/>
      <c r="Q21" s="85"/>
      <c r="R21" s="87" t="str">
        <f t="shared" si="3"/>
        <v/>
      </c>
      <c r="S21" s="90" t="str">
        <f t="shared" si="4"/>
        <v/>
      </c>
      <c r="T21" s="91" t="str">
        <f t="shared" si="5"/>
        <v/>
      </c>
      <c r="U21" s="85">
        <f t="shared" si="6"/>
        <v>0</v>
      </c>
    </row>
    <row r="22">
      <c r="A22" s="85">
        <v>20.0</v>
      </c>
      <c r="B22" s="35"/>
      <c r="C22" s="35"/>
      <c r="D22" s="86"/>
      <c r="E22" s="35"/>
      <c r="F22" s="86"/>
      <c r="G22" s="35"/>
      <c r="H22" s="85"/>
      <c r="I22" s="85"/>
      <c r="J22" s="87" t="str">
        <f t="shared" si="1"/>
        <v/>
      </c>
      <c r="K22" s="35"/>
      <c r="L22" s="88"/>
      <c r="M22" s="88"/>
      <c r="N22" s="87" t="str">
        <f t="shared" si="2"/>
        <v/>
      </c>
      <c r="O22" s="35"/>
      <c r="P22" s="88"/>
      <c r="Q22" s="88"/>
      <c r="R22" s="87" t="str">
        <f t="shared" si="3"/>
        <v/>
      </c>
      <c r="S22" s="90" t="str">
        <f t="shared" si="4"/>
        <v/>
      </c>
      <c r="T22" s="91" t="str">
        <f t="shared" si="5"/>
        <v/>
      </c>
      <c r="U22" s="85">
        <f t="shared" si="6"/>
        <v>0</v>
      </c>
    </row>
    <row r="23">
      <c r="A23" s="85">
        <v>21.0</v>
      </c>
      <c r="B23" s="35"/>
      <c r="C23" s="35"/>
      <c r="D23" s="86"/>
      <c r="E23" s="35"/>
      <c r="F23" s="86"/>
      <c r="G23" s="35"/>
      <c r="H23" s="85"/>
      <c r="I23" s="85"/>
      <c r="J23" s="87" t="str">
        <f t="shared" si="1"/>
        <v/>
      </c>
      <c r="K23" s="35"/>
      <c r="L23" s="88"/>
      <c r="M23" s="88"/>
      <c r="N23" s="87" t="str">
        <f t="shared" si="2"/>
        <v/>
      </c>
      <c r="O23" s="35"/>
      <c r="P23" s="88"/>
      <c r="Q23" s="88"/>
      <c r="R23" s="87" t="str">
        <f t="shared" si="3"/>
        <v/>
      </c>
      <c r="S23" s="90" t="str">
        <f t="shared" si="4"/>
        <v/>
      </c>
      <c r="T23" s="91" t="str">
        <f t="shared" si="5"/>
        <v/>
      </c>
      <c r="U23" s="85">
        <f t="shared" si="6"/>
        <v>0</v>
      </c>
    </row>
    <row r="24">
      <c r="A24" s="85">
        <v>22.0</v>
      </c>
      <c r="B24" s="35"/>
      <c r="C24" s="35"/>
      <c r="D24" s="86"/>
      <c r="E24" s="35"/>
      <c r="F24" s="86"/>
      <c r="G24" s="35"/>
      <c r="H24" s="85"/>
      <c r="I24" s="85"/>
      <c r="J24" s="87" t="str">
        <f t="shared" si="1"/>
        <v/>
      </c>
      <c r="K24" s="35"/>
      <c r="L24" s="88"/>
      <c r="M24" s="88"/>
      <c r="N24" s="87" t="str">
        <f t="shared" si="2"/>
        <v/>
      </c>
      <c r="O24" s="35"/>
      <c r="P24" s="88"/>
      <c r="Q24" s="88"/>
      <c r="R24" s="87" t="str">
        <f t="shared" si="3"/>
        <v/>
      </c>
      <c r="S24" s="90" t="str">
        <f t="shared" si="4"/>
        <v/>
      </c>
      <c r="T24" s="91" t="str">
        <f t="shared" si="5"/>
        <v/>
      </c>
      <c r="U24" s="85">
        <f t="shared" si="6"/>
        <v>0</v>
      </c>
    </row>
    <row r="25">
      <c r="A25" s="85">
        <v>23.0</v>
      </c>
      <c r="B25" s="35"/>
      <c r="C25" s="35"/>
      <c r="D25" s="86"/>
      <c r="E25" s="35"/>
      <c r="F25" s="86"/>
      <c r="G25" s="35"/>
      <c r="H25" s="85"/>
      <c r="I25" s="85"/>
      <c r="J25" s="87" t="str">
        <f t="shared" si="1"/>
        <v/>
      </c>
      <c r="K25" s="35"/>
      <c r="L25" s="88"/>
      <c r="M25" s="88"/>
      <c r="N25" s="87" t="str">
        <f t="shared" si="2"/>
        <v/>
      </c>
      <c r="O25" s="35"/>
      <c r="P25" s="88"/>
      <c r="Q25" s="88"/>
      <c r="R25" s="87" t="str">
        <f t="shared" si="3"/>
        <v/>
      </c>
      <c r="S25" s="90" t="str">
        <f t="shared" si="4"/>
        <v/>
      </c>
      <c r="T25" s="91" t="str">
        <f t="shared" si="5"/>
        <v/>
      </c>
      <c r="U25" s="85">
        <f t="shared" si="6"/>
        <v>0</v>
      </c>
    </row>
    <row r="26">
      <c r="A26" s="85">
        <v>24.0</v>
      </c>
      <c r="B26" s="35"/>
      <c r="C26" s="65"/>
      <c r="D26" s="76"/>
      <c r="E26" s="93"/>
      <c r="F26" s="76"/>
      <c r="G26" s="93"/>
      <c r="H26" s="93"/>
      <c r="I26" s="93"/>
      <c r="J26" s="87" t="str">
        <f t="shared" si="1"/>
        <v/>
      </c>
      <c r="K26" s="93"/>
      <c r="L26" s="93"/>
      <c r="M26" s="93"/>
      <c r="N26" s="87" t="str">
        <f t="shared" si="2"/>
        <v/>
      </c>
      <c r="O26" s="93"/>
      <c r="P26" s="93"/>
      <c r="Q26" s="93"/>
      <c r="R26" s="87" t="str">
        <f t="shared" si="3"/>
        <v/>
      </c>
      <c r="S26" s="90" t="str">
        <f t="shared" si="4"/>
        <v/>
      </c>
      <c r="T26" s="91" t="str">
        <f t="shared" si="5"/>
        <v/>
      </c>
      <c r="U26" s="85">
        <f t="shared" si="6"/>
        <v>0</v>
      </c>
    </row>
    <row r="27">
      <c r="A27" s="85">
        <v>25.0</v>
      </c>
      <c r="B27" s="35"/>
      <c r="C27" s="65"/>
      <c r="D27" s="76"/>
      <c r="E27" s="93"/>
      <c r="F27" s="76"/>
      <c r="G27" s="93"/>
      <c r="H27" s="93"/>
      <c r="I27" s="93"/>
      <c r="J27" s="87" t="str">
        <f t="shared" si="1"/>
        <v/>
      </c>
      <c r="K27" s="93"/>
      <c r="L27" s="93"/>
      <c r="M27" s="93"/>
      <c r="N27" s="87" t="str">
        <f t="shared" si="2"/>
        <v/>
      </c>
      <c r="O27" s="93"/>
      <c r="P27" s="93"/>
      <c r="Q27" s="93"/>
      <c r="R27" s="87" t="str">
        <f t="shared" si="3"/>
        <v/>
      </c>
      <c r="S27" s="90" t="str">
        <f t="shared" si="4"/>
        <v/>
      </c>
      <c r="T27" s="91" t="str">
        <f t="shared" si="5"/>
        <v/>
      </c>
      <c r="U27" s="85">
        <f t="shared" si="6"/>
        <v>0</v>
      </c>
    </row>
    <row r="28">
      <c r="A28" s="85">
        <v>26.0</v>
      </c>
      <c r="B28" s="35"/>
      <c r="C28" s="65"/>
      <c r="D28" s="76"/>
      <c r="E28" s="93"/>
      <c r="F28" s="76"/>
      <c r="G28" s="93"/>
      <c r="H28" s="93"/>
      <c r="I28" s="93"/>
      <c r="J28" s="87" t="str">
        <f t="shared" si="1"/>
        <v/>
      </c>
      <c r="K28" s="93"/>
      <c r="L28" s="93"/>
      <c r="M28" s="93"/>
      <c r="N28" s="87" t="str">
        <f t="shared" si="2"/>
        <v/>
      </c>
      <c r="O28" s="93"/>
      <c r="P28" s="93"/>
      <c r="Q28" s="93"/>
      <c r="R28" s="87" t="str">
        <f t="shared" si="3"/>
        <v/>
      </c>
      <c r="S28" s="90" t="str">
        <f t="shared" si="4"/>
        <v/>
      </c>
      <c r="T28" s="91" t="str">
        <f t="shared" si="5"/>
        <v/>
      </c>
      <c r="U28" s="85">
        <f t="shared" si="6"/>
        <v>0</v>
      </c>
    </row>
    <row r="29">
      <c r="A29" s="85">
        <v>27.0</v>
      </c>
      <c r="B29" s="35"/>
      <c r="C29" s="65"/>
      <c r="D29" s="76"/>
      <c r="E29" s="93"/>
      <c r="F29" s="76"/>
      <c r="G29" s="93"/>
      <c r="H29" s="93"/>
      <c r="I29" s="93"/>
      <c r="J29" s="87" t="str">
        <f t="shared" si="1"/>
        <v/>
      </c>
      <c r="K29" s="93"/>
      <c r="L29" s="93"/>
      <c r="M29" s="93"/>
      <c r="N29" s="87" t="str">
        <f t="shared" si="2"/>
        <v/>
      </c>
      <c r="O29" s="93"/>
      <c r="P29" s="93"/>
      <c r="Q29" s="93"/>
      <c r="R29" s="87" t="str">
        <f t="shared" si="3"/>
        <v/>
      </c>
      <c r="S29" s="90" t="str">
        <f t="shared" si="4"/>
        <v/>
      </c>
      <c r="T29" s="91" t="str">
        <f t="shared" si="5"/>
        <v/>
      </c>
      <c r="U29" s="85">
        <f t="shared" si="6"/>
        <v>0</v>
      </c>
    </row>
    <row r="30">
      <c r="A30" s="85">
        <v>28.0</v>
      </c>
      <c r="B30" s="35"/>
      <c r="C30" s="65"/>
      <c r="D30" s="76"/>
      <c r="E30" s="93"/>
      <c r="F30" s="76"/>
      <c r="G30" s="93"/>
      <c r="H30" s="93"/>
      <c r="I30" s="93"/>
      <c r="J30" s="87" t="str">
        <f t="shared" si="1"/>
        <v/>
      </c>
      <c r="K30" s="93"/>
      <c r="L30" s="93"/>
      <c r="M30" s="93"/>
      <c r="N30" s="87" t="str">
        <f t="shared" si="2"/>
        <v/>
      </c>
      <c r="O30" s="93"/>
      <c r="P30" s="93"/>
      <c r="Q30" s="93"/>
      <c r="R30" s="87" t="str">
        <f t="shared" si="3"/>
        <v/>
      </c>
      <c r="S30" s="90" t="str">
        <f t="shared" si="4"/>
        <v/>
      </c>
      <c r="T30" s="91" t="str">
        <f t="shared" si="5"/>
        <v/>
      </c>
      <c r="U30" s="85">
        <f t="shared" si="6"/>
        <v>0</v>
      </c>
    </row>
    <row r="31">
      <c r="A31" s="85">
        <v>29.0</v>
      </c>
      <c r="B31" s="35"/>
      <c r="C31" s="65"/>
      <c r="D31" s="76"/>
      <c r="E31" s="93"/>
      <c r="F31" s="76"/>
      <c r="G31" s="93"/>
      <c r="H31" s="93"/>
      <c r="I31" s="93"/>
      <c r="J31" s="87" t="str">
        <f t="shared" si="1"/>
        <v/>
      </c>
      <c r="K31" s="93"/>
      <c r="L31" s="93"/>
      <c r="M31" s="93"/>
      <c r="N31" s="87" t="str">
        <f t="shared" si="2"/>
        <v/>
      </c>
      <c r="O31" s="93"/>
      <c r="P31" s="93"/>
      <c r="Q31" s="93"/>
      <c r="R31" s="87" t="str">
        <f t="shared" si="3"/>
        <v/>
      </c>
      <c r="S31" s="90" t="str">
        <f t="shared" si="4"/>
        <v/>
      </c>
      <c r="T31" s="91" t="str">
        <f t="shared" si="5"/>
        <v/>
      </c>
      <c r="U31" s="85">
        <f t="shared" si="6"/>
        <v>0</v>
      </c>
    </row>
    <row r="32">
      <c r="A32" s="85">
        <v>30.0</v>
      </c>
      <c r="B32" s="35"/>
      <c r="C32" s="65"/>
      <c r="D32" s="76"/>
      <c r="E32" s="93"/>
      <c r="F32" s="76"/>
      <c r="G32" s="93"/>
      <c r="H32" s="93"/>
      <c r="I32" s="93"/>
      <c r="J32" s="87" t="str">
        <f t="shared" si="1"/>
        <v/>
      </c>
      <c r="K32" s="93"/>
      <c r="L32" s="93"/>
      <c r="M32" s="93"/>
      <c r="N32" s="87" t="str">
        <f t="shared" si="2"/>
        <v/>
      </c>
      <c r="O32" s="93"/>
      <c r="P32" s="93"/>
      <c r="Q32" s="93"/>
      <c r="R32" s="87" t="str">
        <f t="shared" si="3"/>
        <v/>
      </c>
      <c r="S32" s="90" t="str">
        <f t="shared" si="4"/>
        <v/>
      </c>
      <c r="T32" s="91" t="str">
        <f t="shared" si="5"/>
        <v/>
      </c>
      <c r="U32" s="85">
        <f t="shared" si="6"/>
        <v>0</v>
      </c>
    </row>
    <row r="33">
      <c r="A33" s="85">
        <v>31.0</v>
      </c>
      <c r="B33" s="35"/>
      <c r="C33" s="65"/>
      <c r="D33" s="76"/>
      <c r="E33" s="93"/>
      <c r="F33" s="76"/>
      <c r="G33" s="93"/>
      <c r="H33" s="93"/>
      <c r="I33" s="93"/>
      <c r="J33" s="87" t="str">
        <f t="shared" si="1"/>
        <v/>
      </c>
      <c r="K33" s="93"/>
      <c r="L33" s="93"/>
      <c r="M33" s="93"/>
      <c r="N33" s="87" t="str">
        <f t="shared" si="2"/>
        <v/>
      </c>
      <c r="O33" s="93"/>
      <c r="P33" s="93"/>
      <c r="Q33" s="93"/>
      <c r="R33" s="87" t="str">
        <f t="shared" si="3"/>
        <v/>
      </c>
      <c r="S33" s="90" t="str">
        <f t="shared" si="4"/>
        <v/>
      </c>
      <c r="T33" s="91" t="str">
        <f t="shared" si="5"/>
        <v/>
      </c>
      <c r="U33" s="85">
        <f t="shared" si="6"/>
        <v>0</v>
      </c>
    </row>
    <row r="34">
      <c r="A34" s="85">
        <v>32.0</v>
      </c>
      <c r="B34" s="35"/>
      <c r="C34" s="65"/>
      <c r="D34" s="76"/>
      <c r="E34" s="93"/>
      <c r="F34" s="76"/>
      <c r="G34" s="93"/>
      <c r="H34" s="93"/>
      <c r="I34" s="93"/>
      <c r="J34" s="87" t="str">
        <f t="shared" si="1"/>
        <v/>
      </c>
      <c r="K34" s="93"/>
      <c r="L34" s="93"/>
      <c r="M34" s="93"/>
      <c r="N34" s="87" t="str">
        <f t="shared" si="2"/>
        <v/>
      </c>
      <c r="O34" s="93"/>
      <c r="P34" s="93"/>
      <c r="Q34" s="93"/>
      <c r="R34" s="87" t="str">
        <f t="shared" si="3"/>
        <v/>
      </c>
      <c r="S34" s="90" t="str">
        <f t="shared" si="4"/>
        <v/>
      </c>
      <c r="T34" s="91" t="str">
        <f t="shared" si="5"/>
        <v/>
      </c>
      <c r="U34" s="85">
        <f t="shared" si="6"/>
        <v>0</v>
      </c>
    </row>
    <row r="35">
      <c r="A35" s="85">
        <v>33.0</v>
      </c>
      <c r="B35" s="35"/>
      <c r="C35" s="65"/>
      <c r="D35" s="76"/>
      <c r="E35" s="93"/>
      <c r="F35" s="76"/>
      <c r="G35" s="93"/>
      <c r="H35" s="93"/>
      <c r="I35" s="93"/>
      <c r="J35" s="87" t="str">
        <f t="shared" si="1"/>
        <v/>
      </c>
      <c r="K35" s="93"/>
      <c r="L35" s="93"/>
      <c r="M35" s="93"/>
      <c r="N35" s="87" t="str">
        <f t="shared" si="2"/>
        <v/>
      </c>
      <c r="O35" s="93"/>
      <c r="P35" s="93"/>
      <c r="Q35" s="93"/>
      <c r="R35" s="87" t="str">
        <f t="shared" si="3"/>
        <v/>
      </c>
      <c r="S35" s="90" t="str">
        <f t="shared" si="4"/>
        <v/>
      </c>
      <c r="T35" s="91" t="str">
        <f t="shared" si="5"/>
        <v/>
      </c>
      <c r="U35" s="85">
        <f t="shared" si="6"/>
        <v>0</v>
      </c>
    </row>
    <row r="36">
      <c r="A36" s="85">
        <v>34.0</v>
      </c>
      <c r="B36" s="35"/>
      <c r="C36" s="65"/>
      <c r="D36" s="76"/>
      <c r="E36" s="93"/>
      <c r="F36" s="76"/>
      <c r="G36" s="93"/>
      <c r="H36" s="93"/>
      <c r="I36" s="93"/>
      <c r="J36" s="87" t="str">
        <f t="shared" si="1"/>
        <v/>
      </c>
      <c r="K36" s="93"/>
      <c r="L36" s="93"/>
      <c r="M36" s="93"/>
      <c r="N36" s="87" t="str">
        <f t="shared" si="2"/>
        <v/>
      </c>
      <c r="O36" s="93"/>
      <c r="P36" s="93"/>
      <c r="Q36" s="93"/>
      <c r="R36" s="87" t="str">
        <f t="shared" si="3"/>
        <v/>
      </c>
      <c r="S36" s="90" t="str">
        <f t="shared" si="4"/>
        <v/>
      </c>
      <c r="T36" s="91" t="str">
        <f t="shared" si="5"/>
        <v/>
      </c>
      <c r="U36" s="85">
        <f t="shared" si="6"/>
        <v>0</v>
      </c>
    </row>
    <row r="37">
      <c r="A37" s="85">
        <v>35.0</v>
      </c>
      <c r="B37" s="35"/>
      <c r="C37" s="65"/>
      <c r="D37" s="76"/>
      <c r="E37" s="93"/>
      <c r="F37" s="76"/>
      <c r="G37" s="93"/>
      <c r="H37" s="93"/>
      <c r="I37" s="93"/>
      <c r="J37" s="87" t="str">
        <f t="shared" si="1"/>
        <v/>
      </c>
      <c r="K37" s="93"/>
      <c r="L37" s="93"/>
      <c r="M37" s="93"/>
      <c r="N37" s="87" t="str">
        <f t="shared" si="2"/>
        <v/>
      </c>
      <c r="O37" s="93"/>
      <c r="P37" s="93"/>
      <c r="Q37" s="93"/>
      <c r="R37" s="87" t="str">
        <f t="shared" si="3"/>
        <v/>
      </c>
      <c r="S37" s="90" t="str">
        <f t="shared" si="4"/>
        <v/>
      </c>
      <c r="T37" s="91" t="str">
        <f t="shared" si="5"/>
        <v/>
      </c>
      <c r="U37" s="85">
        <f t="shared" si="6"/>
        <v>0</v>
      </c>
    </row>
    <row r="38">
      <c r="A38" s="85">
        <v>36.0</v>
      </c>
      <c r="B38" s="35"/>
      <c r="C38" s="65"/>
      <c r="D38" s="76"/>
      <c r="E38" s="93"/>
      <c r="F38" s="76"/>
      <c r="G38" s="93"/>
      <c r="H38" s="93"/>
      <c r="I38" s="93"/>
      <c r="J38" s="87" t="str">
        <f t="shared" si="1"/>
        <v/>
      </c>
      <c r="K38" s="93"/>
      <c r="L38" s="93"/>
      <c r="M38" s="93"/>
      <c r="N38" s="87" t="str">
        <f t="shared" si="2"/>
        <v/>
      </c>
      <c r="O38" s="93"/>
      <c r="P38" s="93"/>
      <c r="Q38" s="93"/>
      <c r="R38" s="87" t="str">
        <f t="shared" si="3"/>
        <v/>
      </c>
      <c r="S38" s="90" t="str">
        <f t="shared" si="4"/>
        <v/>
      </c>
      <c r="T38" s="91" t="str">
        <f t="shared" si="5"/>
        <v/>
      </c>
      <c r="U38" s="85">
        <f t="shared" si="6"/>
        <v>0</v>
      </c>
    </row>
    <row r="39">
      <c r="A39" s="85">
        <v>37.0</v>
      </c>
      <c r="B39" s="35"/>
      <c r="C39" s="65"/>
      <c r="D39" s="76"/>
      <c r="E39" s="93"/>
      <c r="F39" s="76"/>
      <c r="G39" s="93"/>
      <c r="H39" s="93"/>
      <c r="I39" s="93"/>
      <c r="J39" s="87" t="str">
        <f t="shared" si="1"/>
        <v/>
      </c>
      <c r="K39" s="93"/>
      <c r="L39" s="93"/>
      <c r="M39" s="93"/>
      <c r="N39" s="87" t="str">
        <f t="shared" si="2"/>
        <v/>
      </c>
      <c r="O39" s="93"/>
      <c r="P39" s="93"/>
      <c r="Q39" s="93"/>
      <c r="R39" s="87" t="str">
        <f t="shared" si="3"/>
        <v/>
      </c>
      <c r="S39" s="90" t="str">
        <f t="shared" si="4"/>
        <v/>
      </c>
      <c r="T39" s="91" t="str">
        <f t="shared" si="5"/>
        <v/>
      </c>
      <c r="U39" s="85">
        <f t="shared" si="6"/>
        <v>0</v>
      </c>
    </row>
    <row r="40">
      <c r="A40" s="85">
        <v>38.0</v>
      </c>
      <c r="B40" s="35"/>
      <c r="C40" s="65"/>
      <c r="D40" s="76"/>
      <c r="E40" s="93"/>
      <c r="F40" s="76"/>
      <c r="G40" s="93"/>
      <c r="H40" s="93"/>
      <c r="I40" s="93"/>
      <c r="J40" s="87" t="str">
        <f t="shared" si="1"/>
        <v/>
      </c>
      <c r="K40" s="93"/>
      <c r="L40" s="93"/>
      <c r="M40" s="93"/>
      <c r="N40" s="87" t="str">
        <f t="shared" si="2"/>
        <v/>
      </c>
      <c r="O40" s="93"/>
      <c r="P40" s="93"/>
      <c r="Q40" s="93"/>
      <c r="R40" s="87" t="str">
        <f t="shared" si="3"/>
        <v/>
      </c>
      <c r="S40" s="90" t="str">
        <f t="shared" si="4"/>
        <v/>
      </c>
      <c r="T40" s="91" t="str">
        <f t="shared" si="5"/>
        <v/>
      </c>
      <c r="U40" s="85">
        <f t="shared" si="6"/>
        <v>0</v>
      </c>
    </row>
    <row r="41">
      <c r="A41" s="85">
        <v>39.0</v>
      </c>
      <c r="B41" s="35"/>
      <c r="C41" s="65"/>
      <c r="D41" s="76"/>
      <c r="E41" s="93"/>
      <c r="F41" s="76"/>
      <c r="G41" s="93"/>
      <c r="H41" s="93"/>
      <c r="I41" s="93"/>
      <c r="J41" s="87" t="str">
        <f t="shared" si="1"/>
        <v/>
      </c>
      <c r="K41" s="93"/>
      <c r="L41" s="93"/>
      <c r="M41" s="93"/>
      <c r="N41" s="87" t="str">
        <f t="shared" si="2"/>
        <v/>
      </c>
      <c r="O41" s="93"/>
      <c r="P41" s="93"/>
      <c r="Q41" s="93"/>
      <c r="R41" s="87" t="str">
        <f t="shared" si="3"/>
        <v/>
      </c>
      <c r="S41" s="90" t="str">
        <f t="shared" si="4"/>
        <v/>
      </c>
      <c r="T41" s="91" t="str">
        <f t="shared" si="5"/>
        <v/>
      </c>
      <c r="U41" s="85">
        <f t="shared" si="6"/>
        <v>0</v>
      </c>
    </row>
    <row r="42">
      <c r="A42" s="85">
        <v>40.0</v>
      </c>
      <c r="B42" s="35"/>
      <c r="C42" s="65"/>
      <c r="D42" s="76"/>
      <c r="E42" s="93"/>
      <c r="F42" s="76"/>
      <c r="G42" s="93"/>
      <c r="H42" s="93"/>
      <c r="I42" s="93"/>
      <c r="J42" s="87" t="str">
        <f t="shared" si="1"/>
        <v/>
      </c>
      <c r="K42" s="93"/>
      <c r="L42" s="93"/>
      <c r="M42" s="93"/>
      <c r="N42" s="87" t="str">
        <f t="shared" si="2"/>
        <v/>
      </c>
      <c r="O42" s="93"/>
      <c r="P42" s="93"/>
      <c r="Q42" s="93"/>
      <c r="R42" s="87" t="str">
        <f t="shared" si="3"/>
        <v/>
      </c>
      <c r="S42" s="90" t="str">
        <f t="shared" si="4"/>
        <v/>
      </c>
      <c r="T42" s="91" t="str">
        <f t="shared" si="5"/>
        <v/>
      </c>
      <c r="U42" s="85">
        <f t="shared" si="6"/>
        <v>0</v>
      </c>
    </row>
    <row r="43">
      <c r="A43" s="85">
        <v>41.0</v>
      </c>
      <c r="B43" s="35"/>
      <c r="C43" s="65"/>
      <c r="D43" s="76"/>
      <c r="E43" s="93"/>
      <c r="F43" s="76"/>
      <c r="G43" s="93"/>
      <c r="H43" s="93"/>
      <c r="I43" s="93"/>
      <c r="J43" s="87" t="str">
        <f t="shared" si="1"/>
        <v/>
      </c>
      <c r="K43" s="93"/>
      <c r="L43" s="93"/>
      <c r="M43" s="93"/>
      <c r="N43" s="87" t="str">
        <f t="shared" si="2"/>
        <v/>
      </c>
      <c r="O43" s="93"/>
      <c r="P43" s="93"/>
      <c r="Q43" s="93"/>
      <c r="R43" s="87" t="str">
        <f t="shared" si="3"/>
        <v/>
      </c>
      <c r="S43" s="90" t="str">
        <f t="shared" si="4"/>
        <v/>
      </c>
      <c r="T43" s="91" t="str">
        <f t="shared" si="5"/>
        <v/>
      </c>
      <c r="U43" s="85">
        <f t="shared" si="6"/>
        <v>0</v>
      </c>
    </row>
    <row r="44">
      <c r="A44" s="85">
        <v>42.0</v>
      </c>
      <c r="B44" s="35"/>
      <c r="C44" s="65"/>
      <c r="D44" s="76"/>
      <c r="E44" s="93"/>
      <c r="F44" s="76"/>
      <c r="G44" s="93"/>
      <c r="H44" s="93"/>
      <c r="I44" s="93"/>
      <c r="J44" s="87" t="str">
        <f t="shared" si="1"/>
        <v/>
      </c>
      <c r="K44" s="93"/>
      <c r="L44" s="93"/>
      <c r="M44" s="93"/>
      <c r="N44" s="87" t="str">
        <f t="shared" si="2"/>
        <v/>
      </c>
      <c r="O44" s="93"/>
      <c r="P44" s="93"/>
      <c r="Q44" s="93"/>
      <c r="R44" s="87" t="str">
        <f t="shared" si="3"/>
        <v/>
      </c>
      <c r="S44" s="90" t="str">
        <f t="shared" si="4"/>
        <v/>
      </c>
      <c r="T44" s="91" t="str">
        <f t="shared" si="5"/>
        <v/>
      </c>
      <c r="U44" s="85">
        <f t="shared" si="6"/>
        <v>0</v>
      </c>
    </row>
    <row r="45">
      <c r="A45" s="85">
        <v>43.0</v>
      </c>
      <c r="B45" s="35"/>
      <c r="C45" s="65"/>
      <c r="D45" s="76"/>
      <c r="E45" s="93"/>
      <c r="F45" s="76"/>
      <c r="G45" s="93"/>
      <c r="H45" s="93"/>
      <c r="I45" s="93"/>
      <c r="J45" s="87" t="str">
        <f t="shared" si="1"/>
        <v/>
      </c>
      <c r="K45" s="93"/>
      <c r="L45" s="93"/>
      <c r="M45" s="93"/>
      <c r="N45" s="87" t="str">
        <f t="shared" si="2"/>
        <v/>
      </c>
      <c r="O45" s="93"/>
      <c r="P45" s="93"/>
      <c r="Q45" s="93"/>
      <c r="R45" s="87" t="str">
        <f t="shared" si="3"/>
        <v/>
      </c>
      <c r="S45" s="90" t="str">
        <f t="shared" si="4"/>
        <v/>
      </c>
      <c r="T45" s="91" t="str">
        <f t="shared" si="5"/>
        <v/>
      </c>
      <c r="U45" s="85">
        <f t="shared" si="6"/>
        <v>0</v>
      </c>
    </row>
    <row r="46">
      <c r="A46" s="85">
        <v>44.0</v>
      </c>
      <c r="B46" s="35"/>
      <c r="C46" s="65"/>
      <c r="D46" s="76"/>
      <c r="E46" s="93"/>
      <c r="F46" s="76"/>
      <c r="G46" s="93"/>
      <c r="H46" s="93"/>
      <c r="I46" s="93"/>
      <c r="J46" s="87" t="str">
        <f t="shared" si="1"/>
        <v/>
      </c>
      <c r="K46" s="93"/>
      <c r="L46" s="93"/>
      <c r="M46" s="93"/>
      <c r="N46" s="87" t="str">
        <f t="shared" si="2"/>
        <v/>
      </c>
      <c r="O46" s="93"/>
      <c r="P46" s="93"/>
      <c r="Q46" s="93"/>
      <c r="R46" s="87" t="str">
        <f t="shared" si="3"/>
        <v/>
      </c>
      <c r="S46" s="90" t="str">
        <f t="shared" si="4"/>
        <v/>
      </c>
      <c r="T46" s="91" t="str">
        <f t="shared" si="5"/>
        <v/>
      </c>
      <c r="U46" s="85">
        <f t="shared" si="6"/>
        <v>0</v>
      </c>
    </row>
    <row r="47">
      <c r="A47" s="85">
        <v>45.0</v>
      </c>
      <c r="B47" s="35"/>
      <c r="C47" s="65"/>
      <c r="D47" s="76"/>
      <c r="E47" s="93"/>
      <c r="F47" s="76"/>
      <c r="G47" s="93"/>
      <c r="H47" s="93"/>
      <c r="I47" s="93"/>
      <c r="J47" s="87" t="str">
        <f t="shared" si="1"/>
        <v/>
      </c>
      <c r="K47" s="93"/>
      <c r="L47" s="93"/>
      <c r="M47" s="93"/>
      <c r="N47" s="87" t="str">
        <f t="shared" si="2"/>
        <v/>
      </c>
      <c r="O47" s="93"/>
      <c r="P47" s="93"/>
      <c r="Q47" s="93"/>
      <c r="R47" s="87" t="str">
        <f t="shared" si="3"/>
        <v/>
      </c>
      <c r="S47" s="90" t="str">
        <f t="shared" si="4"/>
        <v/>
      </c>
      <c r="T47" s="91" t="str">
        <f t="shared" si="5"/>
        <v/>
      </c>
      <c r="U47" s="85">
        <f t="shared" si="6"/>
        <v>0</v>
      </c>
    </row>
    <row r="48">
      <c r="A48" s="85">
        <v>46.0</v>
      </c>
      <c r="B48" s="35"/>
      <c r="C48" s="65"/>
      <c r="D48" s="76"/>
      <c r="E48" s="93"/>
      <c r="F48" s="76"/>
      <c r="G48" s="93"/>
      <c r="H48" s="93"/>
      <c r="I48" s="93"/>
      <c r="J48" s="87" t="str">
        <f t="shared" si="1"/>
        <v/>
      </c>
      <c r="K48" s="93"/>
      <c r="L48" s="93"/>
      <c r="M48" s="93"/>
      <c r="N48" s="87" t="str">
        <f t="shared" si="2"/>
        <v/>
      </c>
      <c r="O48" s="93"/>
      <c r="P48" s="93"/>
      <c r="Q48" s="93"/>
      <c r="R48" s="87" t="str">
        <f t="shared" si="3"/>
        <v/>
      </c>
      <c r="S48" s="90" t="str">
        <f t="shared" si="4"/>
        <v/>
      </c>
      <c r="T48" s="91" t="str">
        <f t="shared" si="5"/>
        <v/>
      </c>
      <c r="U48" s="85">
        <f t="shared" si="6"/>
        <v>0</v>
      </c>
    </row>
    <row r="49">
      <c r="A49" s="85">
        <v>47.0</v>
      </c>
      <c r="B49" s="35"/>
      <c r="C49" s="65"/>
      <c r="D49" s="76"/>
      <c r="E49" s="93"/>
      <c r="F49" s="76"/>
      <c r="G49" s="93"/>
      <c r="H49" s="93"/>
      <c r="I49" s="93"/>
      <c r="J49" s="87" t="str">
        <f t="shared" si="1"/>
        <v/>
      </c>
      <c r="K49" s="93"/>
      <c r="L49" s="93"/>
      <c r="M49" s="93"/>
      <c r="N49" s="87" t="str">
        <f t="shared" si="2"/>
        <v/>
      </c>
      <c r="O49" s="93"/>
      <c r="P49" s="93"/>
      <c r="Q49" s="93"/>
      <c r="R49" s="87" t="str">
        <f t="shared" si="3"/>
        <v/>
      </c>
      <c r="S49" s="90" t="str">
        <f t="shared" si="4"/>
        <v/>
      </c>
      <c r="T49" s="91" t="str">
        <f t="shared" si="5"/>
        <v/>
      </c>
      <c r="U49" s="85">
        <f t="shared" si="6"/>
        <v>0</v>
      </c>
    </row>
    <row r="50">
      <c r="A50" s="85">
        <v>48.0</v>
      </c>
      <c r="B50" s="35"/>
      <c r="C50" s="65"/>
      <c r="D50" s="76"/>
      <c r="E50" s="93"/>
      <c r="F50" s="76"/>
      <c r="G50" s="93"/>
      <c r="H50" s="93"/>
      <c r="I50" s="93"/>
      <c r="J50" s="87" t="str">
        <f t="shared" si="1"/>
        <v/>
      </c>
      <c r="K50" s="93"/>
      <c r="L50" s="93"/>
      <c r="M50" s="93"/>
      <c r="N50" s="87" t="str">
        <f t="shared" si="2"/>
        <v/>
      </c>
      <c r="O50" s="93"/>
      <c r="P50" s="93"/>
      <c r="Q50" s="93"/>
      <c r="R50" s="87" t="str">
        <f t="shared" si="3"/>
        <v/>
      </c>
      <c r="S50" s="90" t="str">
        <f t="shared" si="4"/>
        <v/>
      </c>
      <c r="T50" s="91" t="str">
        <f t="shared" si="5"/>
        <v/>
      </c>
      <c r="U50" s="85">
        <f t="shared" si="6"/>
        <v>0</v>
      </c>
    </row>
    <row r="51">
      <c r="A51" s="85">
        <v>49.0</v>
      </c>
      <c r="B51" s="35"/>
      <c r="C51" s="65"/>
      <c r="D51" s="76"/>
      <c r="E51" s="93"/>
      <c r="F51" s="76"/>
      <c r="G51" s="93"/>
      <c r="H51" s="93"/>
      <c r="I51" s="93"/>
      <c r="J51" s="87" t="str">
        <f t="shared" si="1"/>
        <v/>
      </c>
      <c r="K51" s="93"/>
      <c r="L51" s="93"/>
      <c r="M51" s="93"/>
      <c r="N51" s="87" t="str">
        <f t="shared" si="2"/>
        <v/>
      </c>
      <c r="O51" s="93"/>
      <c r="P51" s="93"/>
      <c r="Q51" s="93"/>
      <c r="R51" s="87" t="str">
        <f t="shared" si="3"/>
        <v/>
      </c>
      <c r="S51" s="90" t="str">
        <f t="shared" si="4"/>
        <v/>
      </c>
      <c r="T51" s="91" t="str">
        <f t="shared" si="5"/>
        <v/>
      </c>
      <c r="U51" s="85">
        <f t="shared" si="6"/>
        <v>0</v>
      </c>
    </row>
    <row r="52">
      <c r="A52" s="85">
        <v>50.0</v>
      </c>
      <c r="B52" s="35"/>
      <c r="C52" s="65"/>
      <c r="D52" s="76"/>
      <c r="E52" s="93"/>
      <c r="F52" s="76"/>
      <c r="G52" s="93"/>
      <c r="H52" s="93"/>
      <c r="I52" s="93"/>
      <c r="J52" s="87" t="str">
        <f t="shared" si="1"/>
        <v/>
      </c>
      <c r="K52" s="93"/>
      <c r="L52" s="93"/>
      <c r="M52" s="93"/>
      <c r="N52" s="87" t="str">
        <f t="shared" si="2"/>
        <v/>
      </c>
      <c r="O52" s="93"/>
      <c r="P52" s="93"/>
      <c r="Q52" s="93"/>
      <c r="R52" s="87" t="str">
        <f t="shared" si="3"/>
        <v/>
      </c>
      <c r="S52" s="90" t="str">
        <f t="shared" si="4"/>
        <v/>
      </c>
      <c r="T52" s="91" t="str">
        <f t="shared" si="5"/>
        <v/>
      </c>
      <c r="U52" s="85">
        <f t="shared" si="6"/>
        <v>0</v>
      </c>
    </row>
    <row r="53">
      <c r="A53" s="85">
        <v>51.0</v>
      </c>
      <c r="B53" s="35"/>
      <c r="C53" s="65"/>
      <c r="D53" s="76"/>
      <c r="E53" s="93"/>
      <c r="F53" s="76"/>
      <c r="G53" s="93"/>
      <c r="H53" s="93"/>
      <c r="I53" s="93"/>
      <c r="J53" s="87" t="str">
        <f t="shared" si="1"/>
        <v/>
      </c>
      <c r="K53" s="93"/>
      <c r="L53" s="93"/>
      <c r="M53" s="93"/>
      <c r="N53" s="87" t="str">
        <f t="shared" si="2"/>
        <v/>
      </c>
      <c r="O53" s="93"/>
      <c r="P53" s="93"/>
      <c r="Q53" s="93"/>
      <c r="R53" s="87" t="str">
        <f t="shared" si="3"/>
        <v/>
      </c>
      <c r="S53" s="90" t="str">
        <f t="shared" si="4"/>
        <v/>
      </c>
      <c r="T53" s="91" t="str">
        <f t="shared" si="5"/>
        <v/>
      </c>
      <c r="U53" s="85">
        <f t="shared" si="6"/>
        <v>0</v>
      </c>
    </row>
    <row r="54">
      <c r="A54" s="85">
        <v>52.0</v>
      </c>
      <c r="B54" s="35"/>
      <c r="C54" s="65"/>
      <c r="D54" s="76"/>
      <c r="E54" s="93"/>
      <c r="F54" s="76"/>
      <c r="G54" s="93"/>
      <c r="H54" s="93"/>
      <c r="I54" s="93"/>
      <c r="J54" s="87" t="str">
        <f t="shared" si="1"/>
        <v/>
      </c>
      <c r="K54" s="93"/>
      <c r="L54" s="93"/>
      <c r="M54" s="93"/>
      <c r="N54" s="87" t="str">
        <f t="shared" si="2"/>
        <v/>
      </c>
      <c r="O54" s="93"/>
      <c r="P54" s="93"/>
      <c r="Q54" s="93"/>
      <c r="R54" s="87" t="str">
        <f t="shared" si="3"/>
        <v/>
      </c>
      <c r="S54" s="90" t="str">
        <f t="shared" si="4"/>
        <v/>
      </c>
      <c r="T54" s="91" t="str">
        <f t="shared" si="5"/>
        <v/>
      </c>
      <c r="U54" s="85">
        <f t="shared" si="6"/>
        <v>0</v>
      </c>
    </row>
    <row r="55">
      <c r="A55" s="85">
        <v>53.0</v>
      </c>
      <c r="B55" s="35"/>
      <c r="C55" s="65"/>
      <c r="D55" s="76"/>
      <c r="E55" s="93"/>
      <c r="F55" s="76"/>
      <c r="G55" s="93"/>
      <c r="H55" s="93"/>
      <c r="I55" s="93"/>
      <c r="J55" s="87" t="str">
        <f t="shared" si="1"/>
        <v/>
      </c>
      <c r="K55" s="93"/>
      <c r="L55" s="93"/>
      <c r="M55" s="93"/>
      <c r="N55" s="87" t="str">
        <f t="shared" si="2"/>
        <v/>
      </c>
      <c r="O55" s="93"/>
      <c r="P55" s="93"/>
      <c r="Q55" s="93"/>
      <c r="R55" s="87" t="str">
        <f t="shared" si="3"/>
        <v/>
      </c>
      <c r="S55" s="90" t="str">
        <f t="shared" si="4"/>
        <v/>
      </c>
      <c r="T55" s="91" t="str">
        <f t="shared" si="5"/>
        <v/>
      </c>
      <c r="U55" s="85">
        <f t="shared" si="6"/>
        <v>0</v>
      </c>
    </row>
    <row r="56">
      <c r="A56" s="85">
        <v>54.0</v>
      </c>
      <c r="B56" s="35"/>
      <c r="C56" s="65"/>
      <c r="D56" s="76"/>
      <c r="E56" s="93"/>
      <c r="F56" s="76"/>
      <c r="G56" s="93"/>
      <c r="H56" s="93"/>
      <c r="I56" s="93"/>
      <c r="J56" s="87" t="str">
        <f t="shared" si="1"/>
        <v/>
      </c>
      <c r="K56" s="93"/>
      <c r="L56" s="93"/>
      <c r="M56" s="93"/>
      <c r="N56" s="87" t="str">
        <f t="shared" si="2"/>
        <v/>
      </c>
      <c r="O56" s="93"/>
      <c r="P56" s="93"/>
      <c r="Q56" s="93"/>
      <c r="R56" s="87" t="str">
        <f t="shared" si="3"/>
        <v/>
      </c>
      <c r="S56" s="90" t="str">
        <f t="shared" si="4"/>
        <v/>
      </c>
      <c r="T56" s="91" t="str">
        <f t="shared" si="5"/>
        <v/>
      </c>
      <c r="U56" s="85">
        <f t="shared" si="6"/>
        <v>0</v>
      </c>
    </row>
    <row r="57">
      <c r="A57" s="85">
        <v>55.0</v>
      </c>
      <c r="B57" s="35"/>
      <c r="C57" s="65"/>
      <c r="D57" s="76"/>
      <c r="E57" s="93"/>
      <c r="F57" s="76"/>
      <c r="G57" s="93"/>
      <c r="H57" s="93"/>
      <c r="I57" s="93"/>
      <c r="J57" s="87" t="str">
        <f t="shared" si="1"/>
        <v/>
      </c>
      <c r="K57" s="93"/>
      <c r="L57" s="93"/>
      <c r="M57" s="93"/>
      <c r="N57" s="87" t="str">
        <f t="shared" si="2"/>
        <v/>
      </c>
      <c r="O57" s="93"/>
      <c r="P57" s="93"/>
      <c r="Q57" s="93"/>
      <c r="R57" s="87" t="str">
        <f t="shared" si="3"/>
        <v/>
      </c>
      <c r="S57" s="90" t="str">
        <f t="shared" si="4"/>
        <v/>
      </c>
      <c r="T57" s="91" t="str">
        <f t="shared" si="5"/>
        <v/>
      </c>
      <c r="U57" s="85">
        <f t="shared" si="6"/>
        <v>0</v>
      </c>
    </row>
    <row r="58">
      <c r="A58" s="85">
        <v>56.0</v>
      </c>
      <c r="B58" s="35"/>
      <c r="C58" s="65"/>
      <c r="D58" s="76"/>
      <c r="E58" s="93"/>
      <c r="F58" s="76"/>
      <c r="G58" s="93"/>
      <c r="H58" s="93"/>
      <c r="I58" s="93"/>
      <c r="J58" s="87" t="str">
        <f t="shared" si="1"/>
        <v/>
      </c>
      <c r="K58" s="93"/>
      <c r="L58" s="93"/>
      <c r="M58" s="93"/>
      <c r="N58" s="87" t="str">
        <f t="shared" si="2"/>
        <v/>
      </c>
      <c r="O58" s="93"/>
      <c r="P58" s="93"/>
      <c r="Q58" s="93"/>
      <c r="R58" s="87" t="str">
        <f t="shared" si="3"/>
        <v/>
      </c>
      <c r="S58" s="90" t="str">
        <f t="shared" si="4"/>
        <v/>
      </c>
      <c r="T58" s="91" t="str">
        <f t="shared" si="5"/>
        <v/>
      </c>
      <c r="U58" s="85">
        <f t="shared" si="6"/>
        <v>0</v>
      </c>
    </row>
    <row r="59">
      <c r="A59" s="85">
        <v>57.0</v>
      </c>
      <c r="B59" s="35"/>
      <c r="C59" s="65"/>
      <c r="D59" s="76"/>
      <c r="E59" s="93"/>
      <c r="F59" s="76"/>
      <c r="G59" s="93"/>
      <c r="H59" s="93"/>
      <c r="I59" s="93"/>
      <c r="J59" s="87" t="str">
        <f t="shared" si="1"/>
        <v/>
      </c>
      <c r="K59" s="93"/>
      <c r="L59" s="93"/>
      <c r="M59" s="93"/>
      <c r="N59" s="87" t="str">
        <f t="shared" si="2"/>
        <v/>
      </c>
      <c r="O59" s="93"/>
      <c r="P59" s="93"/>
      <c r="Q59" s="93"/>
      <c r="R59" s="87" t="str">
        <f t="shared" si="3"/>
        <v/>
      </c>
      <c r="S59" s="90" t="str">
        <f t="shared" si="4"/>
        <v/>
      </c>
      <c r="T59" s="91" t="str">
        <f t="shared" si="5"/>
        <v/>
      </c>
      <c r="U59" s="85">
        <f t="shared" si="6"/>
        <v>0</v>
      </c>
    </row>
    <row r="60">
      <c r="A60" s="85">
        <v>58.0</v>
      </c>
      <c r="B60" s="35"/>
      <c r="C60" s="65"/>
      <c r="D60" s="76"/>
      <c r="E60" s="93"/>
      <c r="F60" s="76"/>
      <c r="G60" s="93"/>
      <c r="H60" s="93"/>
      <c r="I60" s="93"/>
      <c r="J60" s="87" t="str">
        <f t="shared" si="1"/>
        <v/>
      </c>
      <c r="K60" s="93"/>
      <c r="L60" s="93"/>
      <c r="M60" s="93"/>
      <c r="N60" s="87" t="str">
        <f t="shared" si="2"/>
        <v/>
      </c>
      <c r="O60" s="93"/>
      <c r="P60" s="93"/>
      <c r="Q60" s="93"/>
      <c r="R60" s="87" t="str">
        <f t="shared" si="3"/>
        <v/>
      </c>
      <c r="S60" s="90" t="str">
        <f t="shared" si="4"/>
        <v/>
      </c>
      <c r="T60" s="91" t="str">
        <f t="shared" si="5"/>
        <v/>
      </c>
      <c r="U60" s="85">
        <f t="shared" si="6"/>
        <v>0</v>
      </c>
    </row>
    <row r="61">
      <c r="A61" s="85">
        <v>59.0</v>
      </c>
      <c r="B61" s="35"/>
      <c r="C61" s="65"/>
      <c r="D61" s="76"/>
      <c r="E61" s="93"/>
      <c r="F61" s="76"/>
      <c r="G61" s="93"/>
      <c r="H61" s="93"/>
      <c r="I61" s="93"/>
      <c r="J61" s="87" t="str">
        <f t="shared" si="1"/>
        <v/>
      </c>
      <c r="K61" s="93"/>
      <c r="L61" s="93"/>
      <c r="M61" s="93"/>
      <c r="N61" s="87" t="str">
        <f t="shared" si="2"/>
        <v/>
      </c>
      <c r="O61" s="93"/>
      <c r="P61" s="93"/>
      <c r="Q61" s="93"/>
      <c r="R61" s="87" t="str">
        <f t="shared" si="3"/>
        <v/>
      </c>
      <c r="S61" s="90" t="str">
        <f t="shared" si="4"/>
        <v/>
      </c>
      <c r="T61" s="91" t="str">
        <f t="shared" si="5"/>
        <v/>
      </c>
      <c r="U61" s="85">
        <f t="shared" si="6"/>
        <v>0</v>
      </c>
    </row>
    <row r="62">
      <c r="A62" s="85">
        <v>60.0</v>
      </c>
      <c r="B62" s="35"/>
      <c r="C62" s="65"/>
      <c r="D62" s="76"/>
      <c r="E62" s="93"/>
      <c r="F62" s="76"/>
      <c r="G62" s="93"/>
      <c r="H62" s="93"/>
      <c r="I62" s="93"/>
      <c r="J62" s="87" t="str">
        <f t="shared" si="1"/>
        <v/>
      </c>
      <c r="K62" s="93"/>
      <c r="L62" s="93"/>
      <c r="M62" s="93"/>
      <c r="N62" s="87" t="str">
        <f t="shared" si="2"/>
        <v/>
      </c>
      <c r="O62" s="93"/>
      <c r="P62" s="93"/>
      <c r="Q62" s="93"/>
      <c r="R62" s="87" t="str">
        <f t="shared" si="3"/>
        <v/>
      </c>
      <c r="S62" s="90" t="str">
        <f t="shared" si="4"/>
        <v/>
      </c>
      <c r="T62" s="91" t="str">
        <f t="shared" si="5"/>
        <v/>
      </c>
      <c r="U62" s="85">
        <f t="shared" si="6"/>
        <v>0</v>
      </c>
    </row>
    <row r="63">
      <c r="A63" s="85">
        <v>61.0</v>
      </c>
      <c r="B63" s="35"/>
      <c r="C63" s="65"/>
      <c r="D63" s="76"/>
      <c r="E63" s="93"/>
      <c r="F63" s="76"/>
      <c r="G63" s="93"/>
      <c r="H63" s="93"/>
      <c r="I63" s="93"/>
      <c r="J63" s="87" t="str">
        <f t="shared" si="1"/>
        <v/>
      </c>
      <c r="K63" s="93"/>
      <c r="L63" s="93"/>
      <c r="M63" s="93"/>
      <c r="N63" s="87" t="str">
        <f t="shared" si="2"/>
        <v/>
      </c>
      <c r="O63" s="93"/>
      <c r="P63" s="93"/>
      <c r="Q63" s="93"/>
      <c r="R63" s="87" t="str">
        <f t="shared" si="3"/>
        <v/>
      </c>
      <c r="S63" s="90" t="str">
        <f t="shared" si="4"/>
        <v/>
      </c>
      <c r="T63" s="91" t="str">
        <f t="shared" si="5"/>
        <v/>
      </c>
      <c r="U63" s="85">
        <f t="shared" si="6"/>
        <v>0</v>
      </c>
    </row>
    <row r="64">
      <c r="A64" s="85">
        <v>62.0</v>
      </c>
      <c r="B64" s="35"/>
      <c r="C64" s="65"/>
      <c r="D64" s="76"/>
      <c r="E64" s="93"/>
      <c r="F64" s="76"/>
      <c r="G64" s="93"/>
      <c r="H64" s="93"/>
      <c r="I64" s="93"/>
      <c r="J64" s="87" t="str">
        <f t="shared" si="1"/>
        <v/>
      </c>
      <c r="K64" s="93"/>
      <c r="L64" s="93"/>
      <c r="M64" s="93"/>
      <c r="N64" s="87" t="str">
        <f t="shared" si="2"/>
        <v/>
      </c>
      <c r="O64" s="93"/>
      <c r="P64" s="93"/>
      <c r="Q64" s="93"/>
      <c r="R64" s="87" t="str">
        <f t="shared" si="3"/>
        <v/>
      </c>
      <c r="S64" s="90" t="str">
        <f t="shared" si="4"/>
        <v/>
      </c>
      <c r="T64" s="91" t="str">
        <f t="shared" si="5"/>
        <v/>
      </c>
      <c r="U64" s="85">
        <f t="shared" si="6"/>
        <v>0</v>
      </c>
    </row>
    <row r="65">
      <c r="A65" s="85">
        <v>63.0</v>
      </c>
      <c r="B65" s="35"/>
      <c r="C65" s="65"/>
      <c r="D65" s="76"/>
      <c r="E65" s="93"/>
      <c r="F65" s="76"/>
      <c r="G65" s="93"/>
      <c r="H65" s="93"/>
      <c r="I65" s="93"/>
      <c r="J65" s="87" t="str">
        <f t="shared" si="1"/>
        <v/>
      </c>
      <c r="K65" s="93"/>
      <c r="L65" s="93"/>
      <c r="M65" s="93"/>
      <c r="N65" s="87" t="str">
        <f t="shared" si="2"/>
        <v/>
      </c>
      <c r="O65" s="93"/>
      <c r="P65" s="93"/>
      <c r="Q65" s="93"/>
      <c r="R65" s="87" t="str">
        <f t="shared" si="3"/>
        <v/>
      </c>
      <c r="S65" s="90" t="str">
        <f t="shared" si="4"/>
        <v/>
      </c>
      <c r="T65" s="91" t="str">
        <f t="shared" si="5"/>
        <v/>
      </c>
      <c r="U65" s="85">
        <f t="shared" si="6"/>
        <v>0</v>
      </c>
    </row>
    <row r="66">
      <c r="A66" s="85">
        <v>64.0</v>
      </c>
      <c r="B66" s="35"/>
      <c r="C66" s="65"/>
      <c r="D66" s="76"/>
      <c r="E66" s="93"/>
      <c r="F66" s="76"/>
      <c r="G66" s="93"/>
      <c r="H66" s="93"/>
      <c r="I66" s="93"/>
      <c r="J66" s="87" t="str">
        <f t="shared" si="1"/>
        <v/>
      </c>
      <c r="K66" s="93"/>
      <c r="L66" s="93"/>
      <c r="M66" s="93"/>
      <c r="N66" s="87" t="str">
        <f t="shared" si="2"/>
        <v/>
      </c>
      <c r="O66" s="93"/>
      <c r="P66" s="93"/>
      <c r="Q66" s="93"/>
      <c r="R66" s="87" t="str">
        <f t="shared" si="3"/>
        <v/>
      </c>
      <c r="S66" s="90" t="str">
        <f t="shared" si="4"/>
        <v/>
      </c>
      <c r="T66" s="91" t="str">
        <f t="shared" si="5"/>
        <v/>
      </c>
      <c r="U66" s="85">
        <f t="shared" si="6"/>
        <v>0</v>
      </c>
    </row>
    <row r="67">
      <c r="A67" s="85">
        <v>65.0</v>
      </c>
      <c r="B67" s="35"/>
      <c r="C67" s="65"/>
      <c r="D67" s="76"/>
      <c r="E67" s="93"/>
      <c r="F67" s="76"/>
      <c r="G67" s="93"/>
      <c r="H67" s="93"/>
      <c r="I67" s="93"/>
      <c r="J67" s="87" t="str">
        <f t="shared" si="1"/>
        <v/>
      </c>
      <c r="K67" s="93"/>
      <c r="L67" s="93"/>
      <c r="M67" s="93"/>
      <c r="N67" s="87" t="str">
        <f t="shared" si="2"/>
        <v/>
      </c>
      <c r="O67" s="93"/>
      <c r="P67" s="93"/>
      <c r="Q67" s="93"/>
      <c r="R67" s="87" t="str">
        <f t="shared" si="3"/>
        <v/>
      </c>
      <c r="S67" s="90" t="str">
        <f t="shared" si="4"/>
        <v/>
      </c>
      <c r="T67" s="91" t="str">
        <f t="shared" si="5"/>
        <v/>
      </c>
      <c r="U67" s="85">
        <f t="shared" si="6"/>
        <v>0</v>
      </c>
    </row>
    <row r="68">
      <c r="A68" s="85">
        <v>66.0</v>
      </c>
      <c r="B68" s="35"/>
      <c r="C68" s="65"/>
      <c r="D68" s="76"/>
      <c r="E68" s="93"/>
      <c r="F68" s="76"/>
      <c r="G68" s="93"/>
      <c r="H68" s="93"/>
      <c r="I68" s="93"/>
      <c r="J68" s="87" t="str">
        <f t="shared" si="1"/>
        <v/>
      </c>
      <c r="K68" s="93"/>
      <c r="L68" s="93"/>
      <c r="M68" s="93"/>
      <c r="N68" s="87" t="str">
        <f t="shared" si="2"/>
        <v/>
      </c>
      <c r="O68" s="93"/>
      <c r="P68" s="93"/>
      <c r="Q68" s="93"/>
      <c r="R68" s="87" t="str">
        <f t="shared" si="3"/>
        <v/>
      </c>
      <c r="S68" s="90" t="str">
        <f t="shared" si="4"/>
        <v/>
      </c>
      <c r="T68" s="91" t="str">
        <f t="shared" si="5"/>
        <v/>
      </c>
      <c r="U68" s="85">
        <f t="shared" si="6"/>
        <v>0</v>
      </c>
    </row>
    <row r="69">
      <c r="A69" s="85">
        <v>67.0</v>
      </c>
      <c r="B69" s="35"/>
      <c r="C69" s="65"/>
      <c r="D69" s="76"/>
      <c r="E69" s="93"/>
      <c r="F69" s="76"/>
      <c r="G69" s="93"/>
      <c r="H69" s="93"/>
      <c r="I69" s="93"/>
      <c r="J69" s="87" t="str">
        <f t="shared" si="1"/>
        <v/>
      </c>
      <c r="K69" s="93"/>
      <c r="L69" s="93"/>
      <c r="M69" s="93"/>
      <c r="N69" s="87" t="str">
        <f t="shared" si="2"/>
        <v/>
      </c>
      <c r="O69" s="93"/>
      <c r="P69" s="93"/>
      <c r="Q69" s="93"/>
      <c r="R69" s="87" t="str">
        <f t="shared" si="3"/>
        <v/>
      </c>
      <c r="S69" s="90" t="str">
        <f t="shared" si="4"/>
        <v/>
      </c>
      <c r="T69" s="91" t="str">
        <f t="shared" si="5"/>
        <v/>
      </c>
      <c r="U69" s="85">
        <f t="shared" si="6"/>
        <v>0</v>
      </c>
    </row>
    <row r="70">
      <c r="A70" s="85">
        <v>68.0</v>
      </c>
      <c r="B70" s="35"/>
      <c r="C70" s="65"/>
      <c r="D70" s="76"/>
      <c r="E70" s="93"/>
      <c r="F70" s="76"/>
      <c r="G70" s="93"/>
      <c r="H70" s="93"/>
      <c r="I70" s="93"/>
      <c r="J70" s="87" t="str">
        <f t="shared" si="1"/>
        <v/>
      </c>
      <c r="K70" s="93"/>
      <c r="L70" s="93"/>
      <c r="M70" s="93"/>
      <c r="N70" s="87" t="str">
        <f t="shared" si="2"/>
        <v/>
      </c>
      <c r="O70" s="93"/>
      <c r="P70" s="93"/>
      <c r="Q70" s="93"/>
      <c r="R70" s="87" t="str">
        <f t="shared" si="3"/>
        <v/>
      </c>
      <c r="S70" s="90" t="str">
        <f t="shared" si="4"/>
        <v/>
      </c>
      <c r="T70" s="91" t="str">
        <f t="shared" si="5"/>
        <v/>
      </c>
      <c r="U70" s="85">
        <f t="shared" si="6"/>
        <v>0</v>
      </c>
    </row>
    <row r="71">
      <c r="A71" s="85">
        <v>69.0</v>
      </c>
      <c r="B71" s="35"/>
      <c r="C71" s="65"/>
      <c r="D71" s="76"/>
      <c r="E71" s="93"/>
      <c r="F71" s="76"/>
      <c r="G71" s="93"/>
      <c r="H71" s="93"/>
      <c r="I71" s="93"/>
      <c r="J71" s="87" t="str">
        <f t="shared" si="1"/>
        <v/>
      </c>
      <c r="K71" s="93"/>
      <c r="L71" s="93"/>
      <c r="M71" s="93"/>
      <c r="N71" s="87" t="str">
        <f t="shared" si="2"/>
        <v/>
      </c>
      <c r="O71" s="93"/>
      <c r="P71" s="93"/>
      <c r="Q71" s="93"/>
      <c r="R71" s="87" t="str">
        <f t="shared" si="3"/>
        <v/>
      </c>
      <c r="S71" s="90" t="str">
        <f t="shared" si="4"/>
        <v/>
      </c>
      <c r="T71" s="91" t="str">
        <f t="shared" si="5"/>
        <v/>
      </c>
      <c r="U71" s="85">
        <f t="shared" si="6"/>
        <v>0</v>
      </c>
    </row>
    <row r="72">
      <c r="A72" s="85">
        <v>70.0</v>
      </c>
      <c r="B72" s="35"/>
      <c r="C72" s="65"/>
      <c r="D72" s="76"/>
      <c r="E72" s="93"/>
      <c r="F72" s="76"/>
      <c r="G72" s="93"/>
      <c r="H72" s="93"/>
      <c r="I72" s="93"/>
      <c r="J72" s="87" t="str">
        <f t="shared" si="1"/>
        <v/>
      </c>
      <c r="K72" s="93"/>
      <c r="L72" s="93"/>
      <c r="M72" s="93"/>
      <c r="N72" s="87" t="str">
        <f t="shared" si="2"/>
        <v/>
      </c>
      <c r="O72" s="93"/>
      <c r="P72" s="93"/>
      <c r="Q72" s="93"/>
      <c r="R72" s="87" t="str">
        <f t="shared" si="3"/>
        <v/>
      </c>
      <c r="S72" s="90" t="str">
        <f t="shared" si="4"/>
        <v/>
      </c>
      <c r="T72" s="91" t="str">
        <f t="shared" si="5"/>
        <v/>
      </c>
      <c r="U72" s="85">
        <f t="shared" si="6"/>
        <v>0</v>
      </c>
    </row>
    <row r="73">
      <c r="A73" s="85">
        <v>71.0</v>
      </c>
      <c r="B73" s="35"/>
      <c r="C73" s="65"/>
      <c r="D73" s="76"/>
      <c r="E73" s="93"/>
      <c r="F73" s="76"/>
      <c r="G73" s="93"/>
      <c r="H73" s="93"/>
      <c r="I73" s="93"/>
      <c r="J73" s="87" t="str">
        <f t="shared" si="1"/>
        <v/>
      </c>
      <c r="K73" s="93"/>
      <c r="L73" s="93"/>
      <c r="M73" s="93"/>
      <c r="N73" s="87" t="str">
        <f t="shared" si="2"/>
        <v/>
      </c>
      <c r="O73" s="93"/>
      <c r="P73" s="93"/>
      <c r="Q73" s="93"/>
      <c r="R73" s="87" t="str">
        <f t="shared" si="3"/>
        <v/>
      </c>
      <c r="S73" s="90" t="str">
        <f t="shared" si="4"/>
        <v/>
      </c>
      <c r="T73" s="91" t="str">
        <f t="shared" si="5"/>
        <v/>
      </c>
      <c r="U73" s="85">
        <f t="shared" si="6"/>
        <v>0</v>
      </c>
    </row>
    <row r="74">
      <c r="A74" s="85">
        <v>72.0</v>
      </c>
      <c r="B74" s="35"/>
      <c r="C74" s="65"/>
      <c r="D74" s="76"/>
      <c r="E74" s="93"/>
      <c r="F74" s="76"/>
      <c r="G74" s="93"/>
      <c r="H74" s="93"/>
      <c r="I74" s="93"/>
      <c r="J74" s="87" t="str">
        <f t="shared" si="1"/>
        <v/>
      </c>
      <c r="K74" s="93"/>
      <c r="L74" s="93"/>
      <c r="M74" s="93"/>
      <c r="N74" s="87" t="str">
        <f t="shared" si="2"/>
        <v/>
      </c>
      <c r="O74" s="93"/>
      <c r="P74" s="93"/>
      <c r="Q74" s="93"/>
      <c r="R74" s="87" t="str">
        <f t="shared" si="3"/>
        <v/>
      </c>
      <c r="S74" s="90" t="str">
        <f t="shared" si="4"/>
        <v/>
      </c>
      <c r="T74" s="91" t="str">
        <f t="shared" si="5"/>
        <v/>
      </c>
      <c r="U74" s="85">
        <f t="shared" si="6"/>
        <v>0</v>
      </c>
    </row>
    <row r="75">
      <c r="A75" s="85">
        <v>73.0</v>
      </c>
      <c r="B75" s="35"/>
      <c r="C75" s="65"/>
      <c r="D75" s="76"/>
      <c r="E75" s="93"/>
      <c r="F75" s="76"/>
      <c r="G75" s="93"/>
      <c r="H75" s="93"/>
      <c r="I75" s="93"/>
      <c r="J75" s="87" t="str">
        <f t="shared" si="1"/>
        <v/>
      </c>
      <c r="K75" s="93"/>
      <c r="L75" s="93"/>
      <c r="M75" s="93"/>
      <c r="N75" s="87" t="str">
        <f t="shared" si="2"/>
        <v/>
      </c>
      <c r="O75" s="93"/>
      <c r="P75" s="93"/>
      <c r="Q75" s="93"/>
      <c r="R75" s="87" t="str">
        <f t="shared" si="3"/>
        <v/>
      </c>
      <c r="S75" s="90" t="str">
        <f t="shared" si="4"/>
        <v/>
      </c>
      <c r="T75" s="91" t="str">
        <f t="shared" si="5"/>
        <v/>
      </c>
      <c r="U75" s="85">
        <f t="shared" si="6"/>
        <v>0</v>
      </c>
    </row>
    <row r="76">
      <c r="A76" s="85">
        <v>74.0</v>
      </c>
      <c r="B76" s="35"/>
      <c r="C76" s="65"/>
      <c r="D76" s="76"/>
      <c r="E76" s="93"/>
      <c r="F76" s="76"/>
      <c r="G76" s="93"/>
      <c r="H76" s="93"/>
      <c r="I76" s="93"/>
      <c r="J76" s="87" t="str">
        <f t="shared" si="1"/>
        <v/>
      </c>
      <c r="K76" s="93"/>
      <c r="L76" s="93"/>
      <c r="M76" s="93"/>
      <c r="N76" s="87" t="str">
        <f t="shared" si="2"/>
        <v/>
      </c>
      <c r="O76" s="93"/>
      <c r="P76" s="93"/>
      <c r="Q76" s="93"/>
      <c r="R76" s="87" t="str">
        <f t="shared" si="3"/>
        <v/>
      </c>
      <c r="S76" s="90" t="str">
        <f t="shared" si="4"/>
        <v/>
      </c>
      <c r="T76" s="91" t="str">
        <f t="shared" si="5"/>
        <v/>
      </c>
      <c r="U76" s="85">
        <f t="shared" si="6"/>
        <v>0</v>
      </c>
    </row>
    <row r="77">
      <c r="A77" s="85">
        <v>75.0</v>
      </c>
      <c r="B77" s="35"/>
      <c r="C77" s="65"/>
      <c r="D77" s="76"/>
      <c r="E77" s="93"/>
      <c r="F77" s="76"/>
      <c r="G77" s="93"/>
      <c r="H77" s="93"/>
      <c r="I77" s="93"/>
      <c r="J77" s="87" t="str">
        <f t="shared" si="1"/>
        <v/>
      </c>
      <c r="K77" s="93"/>
      <c r="L77" s="93"/>
      <c r="M77" s="93"/>
      <c r="N77" s="87" t="str">
        <f t="shared" si="2"/>
        <v/>
      </c>
      <c r="O77" s="93"/>
      <c r="P77" s="93"/>
      <c r="Q77" s="93"/>
      <c r="R77" s="87" t="str">
        <f t="shared" si="3"/>
        <v/>
      </c>
      <c r="S77" s="90" t="str">
        <f t="shared" si="4"/>
        <v/>
      </c>
      <c r="T77" s="91" t="str">
        <f t="shared" si="5"/>
        <v/>
      </c>
      <c r="U77" s="85">
        <f t="shared" si="6"/>
        <v>0</v>
      </c>
    </row>
  </sheetData>
  <autoFilter ref="$B$2:$T$77"/>
  <customSheetViews>
    <customSheetView guid="{B0C17AAF-6872-48F8-A58E-565BF6C8DB27}" filter="1" showAutoFilter="1">
      <autoFilter ref="$C$2:$T$52"/>
    </customSheetView>
  </customSheetViews>
  <mergeCells count="3">
    <mergeCell ref="K1:N1"/>
    <mergeCell ref="O1:R1"/>
    <mergeCell ref="G1:J1"/>
  </mergeCells>
  <conditionalFormatting sqref="G3:I77 K3:M77 O3:Q77">
    <cfRule type="endsWith" dxfId="2" priority="1" operator="endsWith" text="g">
      <formula>RIGHT((G3),LEN("g"))=("g")</formula>
    </cfRule>
  </conditionalFormatting>
  <conditionalFormatting sqref="G3:I77 K3:M77 O3:Q77">
    <cfRule type="endsWith" dxfId="1" priority="2" operator="endsWith" text="x">
      <formula>RIGHT((G3),LEN("x"))=("x")</formula>
    </cfRule>
  </conditionalFormatting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tabColor rgb="FF000000"/>
    <outlinePr summaryBelow="0" summaryRight="0"/>
  </sheetPr>
  <sheetViews>
    <sheetView workbookViewId="0">
      <pane xSplit="6.0" ySplit="2.0" topLeftCell="G3" activePane="bottomRight" state="frozen"/>
      <selection activeCell="G1" sqref="G1" pane="topRight"/>
      <selection activeCell="A3" sqref="A3" pane="bottomLeft"/>
      <selection activeCell="G3" sqref="G3" pane="bottomRight"/>
    </sheetView>
  </sheetViews>
  <sheetFormatPr customHeight="1" defaultColWidth="14.43" defaultRowHeight="15.75"/>
  <cols>
    <col customWidth="1" min="1" max="1" width="3.57"/>
    <col customWidth="1" min="2" max="2" width="10.57"/>
    <col customWidth="1" min="3" max="3" width="6.86"/>
    <col customWidth="1" min="4" max="4" width="14.71"/>
    <col customWidth="1" min="5" max="5" width="7.57"/>
    <col customWidth="1" min="6" max="6" width="18.29"/>
    <col customWidth="1" min="7" max="18" width="5.71"/>
    <col customWidth="1" min="19" max="19" width="9.86"/>
    <col customWidth="1" min="20" max="20" width="11.0"/>
    <col customWidth="1" hidden="1" min="21" max="21" width="11.0"/>
  </cols>
  <sheetData>
    <row r="1">
      <c r="A1" s="14"/>
      <c r="B1" s="16" t="s">
        <v>19</v>
      </c>
      <c r="C1" s="16" t="s">
        <v>135</v>
      </c>
      <c r="D1" s="57" t="s">
        <v>22</v>
      </c>
      <c r="E1" s="57" t="s">
        <v>23</v>
      </c>
      <c r="F1" s="57" t="s">
        <v>25</v>
      </c>
      <c r="G1" s="57" t="s">
        <v>115</v>
      </c>
      <c r="K1" s="57" t="s">
        <v>116</v>
      </c>
      <c r="O1" s="57" t="s">
        <v>117</v>
      </c>
      <c r="S1" s="57" t="s">
        <v>118</v>
      </c>
      <c r="T1" s="57" t="s">
        <v>119</v>
      </c>
      <c r="U1" s="57"/>
    </row>
    <row r="2">
      <c r="A2" s="81"/>
      <c r="B2" s="83" t="s">
        <v>19</v>
      </c>
      <c r="C2" s="83" t="s">
        <v>135</v>
      </c>
      <c r="D2" s="83" t="s">
        <v>22</v>
      </c>
      <c r="E2" s="84" t="s">
        <v>23</v>
      </c>
      <c r="F2" s="83" t="s">
        <v>25</v>
      </c>
      <c r="G2" s="83" t="s">
        <v>136</v>
      </c>
      <c r="H2" s="83" t="s">
        <v>137</v>
      </c>
      <c r="I2" s="83" t="s">
        <v>138</v>
      </c>
      <c r="J2" s="83" t="s">
        <v>139</v>
      </c>
      <c r="K2" s="83" t="s">
        <v>140</v>
      </c>
      <c r="L2" s="83" t="s">
        <v>141</v>
      </c>
      <c r="M2" s="83" t="s">
        <v>142</v>
      </c>
      <c r="N2" s="83" t="s">
        <v>143</v>
      </c>
      <c r="O2" s="83" t="s">
        <v>144</v>
      </c>
      <c r="P2" s="83" t="s">
        <v>145</v>
      </c>
      <c r="Q2" s="83" t="s">
        <v>146</v>
      </c>
      <c r="R2" s="83" t="s">
        <v>147</v>
      </c>
      <c r="S2" s="83"/>
      <c r="T2" s="84" t="s">
        <v>119</v>
      </c>
      <c r="U2" s="84"/>
    </row>
    <row r="3">
      <c r="A3" s="85">
        <v>1.0</v>
      </c>
      <c r="B3" s="35"/>
      <c r="C3" s="35"/>
      <c r="D3" s="86"/>
      <c r="E3" s="35"/>
      <c r="F3" s="86"/>
      <c r="G3" s="35"/>
      <c r="H3" s="85"/>
      <c r="I3" s="85"/>
      <c r="J3" s="87" t="str">
        <f t="shared" ref="J3:J77" si="1">IFERROR(__xludf.DUMMYFUNCTION("if(isblank(B3),,Max(if(right(G3,1)=""g"",split(G3,""g""),),if(right(H3,1)=""g"",split(H3,""g""),),if(right(I3,1)=""g"",split(I3,""g""),)))"),"")</f>
        <v/>
      </c>
      <c r="K3" s="35"/>
      <c r="L3" s="88"/>
      <c r="M3" s="88"/>
      <c r="N3" s="87" t="str">
        <f t="shared" ref="N3:N77" si="2">IFERROR(__xludf.DUMMYFUNCTION("if(isblank($B3),,Max(if(right(K3,1)=""g"",split(K3,""g""),),if(right(L3,1)=""g"",split(L3,""g""),),if(right(M3,1)=""g"",split(M3,""g""),)))"),"")</f>
        <v/>
      </c>
      <c r="O3" s="35"/>
      <c r="P3" s="88"/>
      <c r="Q3" s="88"/>
      <c r="R3" s="87" t="str">
        <f t="shared" ref="R3:R77" si="3">IFERROR(__xludf.DUMMYFUNCTION("if(isblank($B3),,Max(if(right(O3,1)=""g"",split(O3,""g""),),if(right(P3,1)=""g"",split(P3,""g""),),if(right(Q3,1)=""g"",split(Q3,""g""),)))"),"")</f>
        <v/>
      </c>
      <c r="S3" s="90" t="str">
        <f t="shared" ref="S3:S77" si="4">if(isblank(F3),,if(or(and(right(G3,1)="x",right(H3,1)="x",right(I3,1)="x"),and(right(K3,1)="x",right(L3,1)="x",right(M3,1)="x"),and(right(O3,1)="x",right(P3,1)="x",right(Q3,1)="x")),0,J3+N3+R3))</f>
        <v/>
      </c>
      <c r="T3" s="91" t="str">
        <f t="shared" ref="T3:T77" si="5">if(isblank(E3),,S3/E3)</f>
        <v/>
      </c>
      <c r="U3" s="85">
        <f t="shared" ref="U3:U77" si="6">countif(G3:Q3,"*g")</f>
        <v>0</v>
      </c>
    </row>
    <row r="4">
      <c r="A4" s="85">
        <v>2.0</v>
      </c>
      <c r="B4" s="35"/>
      <c r="C4" s="35"/>
      <c r="D4" s="86"/>
      <c r="E4" s="35"/>
      <c r="F4" s="86"/>
      <c r="G4" s="35"/>
      <c r="H4" s="85"/>
      <c r="I4" s="85"/>
      <c r="J4" s="87" t="str">
        <f t="shared" si="1"/>
        <v/>
      </c>
      <c r="K4" s="35"/>
      <c r="L4" s="88"/>
      <c r="M4" s="88"/>
      <c r="N4" s="87" t="str">
        <f t="shared" si="2"/>
        <v/>
      </c>
      <c r="O4" s="35"/>
      <c r="P4" s="88"/>
      <c r="Q4" s="88"/>
      <c r="R4" s="87" t="str">
        <f t="shared" si="3"/>
        <v/>
      </c>
      <c r="S4" s="90" t="str">
        <f t="shared" si="4"/>
        <v/>
      </c>
      <c r="T4" s="91" t="str">
        <f t="shared" si="5"/>
        <v/>
      </c>
      <c r="U4" s="85">
        <f t="shared" si="6"/>
        <v>0</v>
      </c>
    </row>
    <row r="5">
      <c r="A5" s="85">
        <v>3.0</v>
      </c>
      <c r="B5" s="35"/>
      <c r="C5" s="35"/>
      <c r="D5" s="86"/>
      <c r="E5" s="35"/>
      <c r="F5" s="86"/>
      <c r="G5" s="35"/>
      <c r="H5" s="85"/>
      <c r="I5" s="85"/>
      <c r="J5" s="87" t="str">
        <f t="shared" si="1"/>
        <v/>
      </c>
      <c r="K5" s="35"/>
      <c r="L5" s="88"/>
      <c r="M5" s="88"/>
      <c r="N5" s="87" t="str">
        <f t="shared" si="2"/>
        <v/>
      </c>
      <c r="O5" s="35"/>
      <c r="P5" s="88"/>
      <c r="Q5" s="88"/>
      <c r="R5" s="87" t="str">
        <f t="shared" si="3"/>
        <v/>
      </c>
      <c r="S5" s="90" t="str">
        <f t="shared" si="4"/>
        <v/>
      </c>
      <c r="T5" s="91" t="str">
        <f t="shared" si="5"/>
        <v/>
      </c>
      <c r="U5" s="85">
        <f t="shared" si="6"/>
        <v>0</v>
      </c>
    </row>
    <row r="6" ht="16.5" customHeight="1">
      <c r="A6" s="85">
        <v>4.0</v>
      </c>
      <c r="B6" s="35"/>
      <c r="C6" s="35"/>
      <c r="D6" s="86"/>
      <c r="E6" s="35"/>
      <c r="F6" s="86"/>
      <c r="G6" s="35"/>
      <c r="H6" s="85"/>
      <c r="I6" s="85"/>
      <c r="J6" s="87" t="str">
        <f t="shared" si="1"/>
        <v/>
      </c>
      <c r="K6" s="35"/>
      <c r="L6" s="88"/>
      <c r="M6" s="88"/>
      <c r="N6" s="87" t="str">
        <f t="shared" si="2"/>
        <v/>
      </c>
      <c r="O6" s="35"/>
      <c r="P6" s="88"/>
      <c r="Q6" s="88"/>
      <c r="R6" s="87" t="str">
        <f t="shared" si="3"/>
        <v/>
      </c>
      <c r="S6" s="90" t="str">
        <f t="shared" si="4"/>
        <v/>
      </c>
      <c r="T6" s="91" t="str">
        <f t="shared" si="5"/>
        <v/>
      </c>
      <c r="U6" s="85">
        <f t="shared" si="6"/>
        <v>0</v>
      </c>
    </row>
    <row r="7">
      <c r="A7" s="85">
        <v>5.0</v>
      </c>
      <c r="B7" s="35"/>
      <c r="C7" s="35"/>
      <c r="D7" s="86"/>
      <c r="E7" s="35"/>
      <c r="F7" s="86"/>
      <c r="G7" s="35"/>
      <c r="H7" s="85"/>
      <c r="I7" s="85"/>
      <c r="J7" s="87" t="str">
        <f t="shared" si="1"/>
        <v/>
      </c>
      <c r="K7" s="35"/>
      <c r="L7" s="88"/>
      <c r="M7" s="88"/>
      <c r="N7" s="87" t="str">
        <f t="shared" si="2"/>
        <v/>
      </c>
      <c r="O7" s="35"/>
      <c r="P7" s="88"/>
      <c r="Q7" s="88"/>
      <c r="R7" s="87" t="str">
        <f t="shared" si="3"/>
        <v/>
      </c>
      <c r="S7" s="90" t="str">
        <f t="shared" si="4"/>
        <v/>
      </c>
      <c r="T7" s="91" t="str">
        <f t="shared" si="5"/>
        <v/>
      </c>
      <c r="U7" s="85">
        <f t="shared" si="6"/>
        <v>0</v>
      </c>
    </row>
    <row r="8">
      <c r="A8" s="85">
        <v>6.0</v>
      </c>
      <c r="B8" s="35"/>
      <c r="C8" s="35"/>
      <c r="D8" s="86"/>
      <c r="E8" s="35"/>
      <c r="F8" s="86"/>
      <c r="G8" s="35"/>
      <c r="H8" s="85"/>
      <c r="I8" s="89"/>
      <c r="J8" s="87" t="str">
        <f t="shared" si="1"/>
        <v/>
      </c>
      <c r="K8" s="35"/>
      <c r="L8" s="88"/>
      <c r="M8" s="88"/>
      <c r="N8" s="87" t="str">
        <f t="shared" si="2"/>
        <v/>
      </c>
      <c r="O8" s="35"/>
      <c r="P8" s="88"/>
      <c r="Q8" s="88"/>
      <c r="R8" s="87" t="str">
        <f t="shared" si="3"/>
        <v/>
      </c>
      <c r="S8" s="90" t="str">
        <f t="shared" si="4"/>
        <v/>
      </c>
      <c r="T8" s="91" t="str">
        <f t="shared" si="5"/>
        <v/>
      </c>
      <c r="U8" s="85">
        <f t="shared" si="6"/>
        <v>0</v>
      </c>
    </row>
    <row r="9">
      <c r="A9" s="85">
        <v>7.0</v>
      </c>
      <c r="B9" s="35"/>
      <c r="C9" s="35"/>
      <c r="D9" s="86"/>
      <c r="E9" s="35"/>
      <c r="F9" s="86"/>
      <c r="G9" s="35"/>
      <c r="H9" s="85"/>
      <c r="I9" s="85"/>
      <c r="J9" s="87" t="str">
        <f t="shared" si="1"/>
        <v/>
      </c>
      <c r="K9" s="35"/>
      <c r="L9" s="88"/>
      <c r="M9" s="88"/>
      <c r="N9" s="87" t="str">
        <f t="shared" si="2"/>
        <v/>
      </c>
      <c r="O9" s="35"/>
      <c r="P9" s="88"/>
      <c r="Q9" s="88"/>
      <c r="R9" s="87" t="str">
        <f t="shared" si="3"/>
        <v/>
      </c>
      <c r="S9" s="90" t="str">
        <f t="shared" si="4"/>
        <v/>
      </c>
      <c r="T9" s="91" t="str">
        <f t="shared" si="5"/>
        <v/>
      </c>
      <c r="U9" s="85">
        <f t="shared" si="6"/>
        <v>0</v>
      </c>
    </row>
    <row r="10">
      <c r="A10" s="85">
        <v>8.0</v>
      </c>
      <c r="B10" s="35"/>
      <c r="C10" s="35"/>
      <c r="D10" s="86"/>
      <c r="E10" s="85"/>
      <c r="F10" s="86"/>
      <c r="G10" s="35"/>
      <c r="H10" s="85"/>
      <c r="I10" s="85"/>
      <c r="J10" s="87" t="str">
        <f t="shared" si="1"/>
        <v/>
      </c>
      <c r="K10" s="35"/>
      <c r="L10" s="88"/>
      <c r="M10" s="88"/>
      <c r="N10" s="87" t="str">
        <f t="shared" si="2"/>
        <v/>
      </c>
      <c r="O10" s="35"/>
      <c r="P10" s="88"/>
      <c r="Q10" s="88"/>
      <c r="R10" s="87" t="str">
        <f t="shared" si="3"/>
        <v/>
      </c>
      <c r="S10" s="90" t="str">
        <f t="shared" si="4"/>
        <v/>
      </c>
      <c r="T10" s="91" t="str">
        <f t="shared" si="5"/>
        <v/>
      </c>
      <c r="U10" s="85">
        <f t="shared" si="6"/>
        <v>0</v>
      </c>
    </row>
    <row r="11">
      <c r="A11" s="85">
        <v>9.0</v>
      </c>
      <c r="B11" s="35"/>
      <c r="C11" s="35"/>
      <c r="D11" s="86"/>
      <c r="E11" s="35"/>
      <c r="F11" s="86"/>
      <c r="G11" s="35"/>
      <c r="H11" s="85"/>
      <c r="I11" s="85"/>
      <c r="J11" s="87" t="str">
        <f t="shared" si="1"/>
        <v/>
      </c>
      <c r="K11" s="35"/>
      <c r="L11" s="88"/>
      <c r="M11" s="88"/>
      <c r="N11" s="87" t="str">
        <f t="shared" si="2"/>
        <v/>
      </c>
      <c r="O11" s="35"/>
      <c r="P11" s="88"/>
      <c r="Q11" s="88"/>
      <c r="R11" s="87" t="str">
        <f t="shared" si="3"/>
        <v/>
      </c>
      <c r="S11" s="90" t="str">
        <f t="shared" si="4"/>
        <v/>
      </c>
      <c r="T11" s="91" t="str">
        <f t="shared" si="5"/>
        <v/>
      </c>
      <c r="U11" s="85">
        <f t="shared" si="6"/>
        <v>0</v>
      </c>
    </row>
    <row r="12">
      <c r="A12" s="85">
        <v>10.0</v>
      </c>
      <c r="B12" s="35"/>
      <c r="C12" s="35"/>
      <c r="D12" s="86"/>
      <c r="E12" s="35"/>
      <c r="F12" s="86"/>
      <c r="G12" s="35"/>
      <c r="H12" s="85"/>
      <c r="I12" s="85"/>
      <c r="J12" s="87" t="str">
        <f t="shared" si="1"/>
        <v/>
      </c>
      <c r="K12" s="35"/>
      <c r="L12" s="88"/>
      <c r="M12" s="85"/>
      <c r="N12" s="87" t="str">
        <f t="shared" si="2"/>
        <v/>
      </c>
      <c r="O12" s="35"/>
      <c r="P12" s="88"/>
      <c r="Q12" s="85"/>
      <c r="R12" s="87" t="str">
        <f t="shared" si="3"/>
        <v/>
      </c>
      <c r="S12" s="90" t="str">
        <f t="shared" si="4"/>
        <v/>
      </c>
      <c r="T12" s="91" t="str">
        <f t="shared" si="5"/>
        <v/>
      </c>
      <c r="U12" s="85">
        <f t="shared" si="6"/>
        <v>0</v>
      </c>
    </row>
    <row r="13">
      <c r="A13" s="85">
        <v>11.0</v>
      </c>
      <c r="B13" s="35"/>
      <c r="C13" s="35"/>
      <c r="D13" s="86"/>
      <c r="E13" s="35"/>
      <c r="F13" s="86"/>
      <c r="G13" s="35"/>
      <c r="H13" s="85"/>
      <c r="I13" s="85"/>
      <c r="J13" s="87" t="str">
        <f t="shared" si="1"/>
        <v/>
      </c>
      <c r="K13" s="35"/>
      <c r="L13" s="88"/>
      <c r="M13" s="88"/>
      <c r="N13" s="87" t="str">
        <f t="shared" si="2"/>
        <v/>
      </c>
      <c r="O13" s="35"/>
      <c r="P13" s="88"/>
      <c r="Q13" s="88"/>
      <c r="R13" s="87" t="str">
        <f t="shared" si="3"/>
        <v/>
      </c>
      <c r="S13" s="90" t="str">
        <f t="shared" si="4"/>
        <v/>
      </c>
      <c r="T13" s="91" t="str">
        <f t="shared" si="5"/>
        <v/>
      </c>
      <c r="U13" s="85">
        <f t="shared" si="6"/>
        <v>0</v>
      </c>
    </row>
    <row r="14">
      <c r="A14" s="85">
        <v>12.0</v>
      </c>
      <c r="B14" s="35"/>
      <c r="C14" s="35"/>
      <c r="D14" s="86"/>
      <c r="E14" s="35"/>
      <c r="F14" s="86"/>
      <c r="G14" s="35"/>
      <c r="H14" s="85"/>
      <c r="I14" s="85"/>
      <c r="J14" s="87" t="str">
        <f t="shared" si="1"/>
        <v/>
      </c>
      <c r="K14" s="35"/>
      <c r="L14" s="88"/>
      <c r="M14" s="88"/>
      <c r="N14" s="87" t="str">
        <f t="shared" si="2"/>
        <v/>
      </c>
      <c r="O14" s="35"/>
      <c r="P14" s="88"/>
      <c r="Q14" s="88"/>
      <c r="R14" s="87" t="str">
        <f t="shared" si="3"/>
        <v/>
      </c>
      <c r="S14" s="90" t="str">
        <f t="shared" si="4"/>
        <v/>
      </c>
      <c r="T14" s="91" t="str">
        <f t="shared" si="5"/>
        <v/>
      </c>
      <c r="U14" s="85">
        <f t="shared" si="6"/>
        <v>0</v>
      </c>
    </row>
    <row r="15">
      <c r="A15" s="85">
        <v>13.0</v>
      </c>
      <c r="B15" s="35"/>
      <c r="C15" s="35"/>
      <c r="D15" s="86"/>
      <c r="E15" s="35"/>
      <c r="F15" s="86"/>
      <c r="G15" s="35"/>
      <c r="H15" s="85"/>
      <c r="I15" s="85"/>
      <c r="J15" s="87" t="str">
        <f t="shared" si="1"/>
        <v/>
      </c>
      <c r="K15" s="35"/>
      <c r="L15" s="88"/>
      <c r="M15" s="88"/>
      <c r="N15" s="87" t="str">
        <f t="shared" si="2"/>
        <v/>
      </c>
      <c r="O15" s="35"/>
      <c r="P15" s="88"/>
      <c r="Q15" s="88"/>
      <c r="R15" s="87" t="str">
        <f t="shared" si="3"/>
        <v/>
      </c>
      <c r="S15" s="90" t="str">
        <f t="shared" si="4"/>
        <v/>
      </c>
      <c r="T15" s="91" t="str">
        <f t="shared" si="5"/>
        <v/>
      </c>
      <c r="U15" s="85">
        <f t="shared" si="6"/>
        <v>0</v>
      </c>
    </row>
    <row r="16">
      <c r="A16" s="85">
        <v>14.0</v>
      </c>
      <c r="B16" s="35"/>
      <c r="C16" s="35"/>
      <c r="D16" s="86"/>
      <c r="E16" s="35"/>
      <c r="F16" s="86"/>
      <c r="G16" s="35"/>
      <c r="H16" s="85"/>
      <c r="I16" s="85"/>
      <c r="J16" s="87" t="str">
        <f t="shared" si="1"/>
        <v/>
      </c>
      <c r="K16" s="35"/>
      <c r="L16" s="88"/>
      <c r="M16" s="88"/>
      <c r="N16" s="87" t="str">
        <f t="shared" si="2"/>
        <v/>
      </c>
      <c r="O16" s="35"/>
      <c r="P16" s="88"/>
      <c r="Q16" s="88"/>
      <c r="R16" s="87" t="str">
        <f t="shared" si="3"/>
        <v/>
      </c>
      <c r="S16" s="90" t="str">
        <f t="shared" si="4"/>
        <v/>
      </c>
      <c r="T16" s="91" t="str">
        <f t="shared" si="5"/>
        <v/>
      </c>
      <c r="U16" s="85">
        <f t="shared" si="6"/>
        <v>0</v>
      </c>
    </row>
    <row r="17">
      <c r="A17" s="85">
        <v>15.0</v>
      </c>
      <c r="B17" s="35"/>
      <c r="C17" s="35"/>
      <c r="D17" s="86"/>
      <c r="E17" s="35"/>
      <c r="F17" s="86"/>
      <c r="G17" s="35"/>
      <c r="H17" s="85"/>
      <c r="I17" s="85"/>
      <c r="J17" s="87" t="str">
        <f t="shared" si="1"/>
        <v/>
      </c>
      <c r="K17" s="35"/>
      <c r="L17" s="88"/>
      <c r="M17" s="88"/>
      <c r="N17" s="87" t="str">
        <f t="shared" si="2"/>
        <v/>
      </c>
      <c r="O17" s="35"/>
      <c r="P17" s="88"/>
      <c r="Q17" s="88"/>
      <c r="R17" s="87" t="str">
        <f t="shared" si="3"/>
        <v/>
      </c>
      <c r="S17" s="90" t="str">
        <f t="shared" si="4"/>
        <v/>
      </c>
      <c r="T17" s="91" t="str">
        <f t="shared" si="5"/>
        <v/>
      </c>
      <c r="U17" s="85">
        <f t="shared" si="6"/>
        <v>0</v>
      </c>
    </row>
    <row r="18">
      <c r="A18" s="85">
        <v>16.0</v>
      </c>
      <c r="B18" s="35"/>
      <c r="C18" s="35"/>
      <c r="D18" s="86"/>
      <c r="E18" s="35"/>
      <c r="F18" s="86"/>
      <c r="G18" s="35"/>
      <c r="H18" s="85"/>
      <c r="I18" s="85"/>
      <c r="J18" s="87" t="str">
        <f t="shared" si="1"/>
        <v/>
      </c>
      <c r="K18" s="35"/>
      <c r="L18" s="88"/>
      <c r="M18" s="88"/>
      <c r="N18" s="87" t="str">
        <f t="shared" si="2"/>
        <v/>
      </c>
      <c r="O18" s="35"/>
      <c r="P18" s="88"/>
      <c r="Q18" s="88"/>
      <c r="R18" s="87" t="str">
        <f t="shared" si="3"/>
        <v/>
      </c>
      <c r="S18" s="90" t="str">
        <f t="shared" si="4"/>
        <v/>
      </c>
      <c r="T18" s="91" t="str">
        <f t="shared" si="5"/>
        <v/>
      </c>
      <c r="U18" s="85">
        <f t="shared" si="6"/>
        <v>0</v>
      </c>
    </row>
    <row r="19">
      <c r="A19" s="85">
        <v>17.0</v>
      </c>
      <c r="B19" s="35"/>
      <c r="C19" s="35"/>
      <c r="D19" s="86"/>
      <c r="E19" s="35"/>
      <c r="F19" s="86"/>
      <c r="G19" s="35"/>
      <c r="H19" s="85"/>
      <c r="I19" s="85"/>
      <c r="J19" s="87" t="str">
        <f t="shared" si="1"/>
        <v/>
      </c>
      <c r="K19" s="35"/>
      <c r="L19" s="88"/>
      <c r="M19" s="85"/>
      <c r="N19" s="87" t="str">
        <f t="shared" si="2"/>
        <v/>
      </c>
      <c r="O19" s="35"/>
      <c r="P19" s="88"/>
      <c r="Q19" s="85"/>
      <c r="R19" s="87" t="str">
        <f t="shared" si="3"/>
        <v/>
      </c>
      <c r="S19" s="90" t="str">
        <f t="shared" si="4"/>
        <v/>
      </c>
      <c r="T19" s="91" t="str">
        <f t="shared" si="5"/>
        <v/>
      </c>
      <c r="U19" s="85">
        <f t="shared" si="6"/>
        <v>0</v>
      </c>
    </row>
    <row r="20">
      <c r="A20" s="85">
        <v>18.0</v>
      </c>
      <c r="B20" s="35"/>
      <c r="C20" s="35"/>
      <c r="D20" s="86"/>
      <c r="E20" s="85"/>
      <c r="F20" s="86"/>
      <c r="G20" s="35"/>
      <c r="H20" s="85"/>
      <c r="I20" s="85"/>
      <c r="J20" s="87" t="str">
        <f t="shared" si="1"/>
        <v/>
      </c>
      <c r="K20" s="35"/>
      <c r="L20" s="88"/>
      <c r="M20" s="89"/>
      <c r="N20" s="87" t="str">
        <f t="shared" si="2"/>
        <v/>
      </c>
      <c r="O20" s="35"/>
      <c r="P20" s="88"/>
      <c r="Q20" s="88"/>
      <c r="R20" s="87" t="str">
        <f t="shared" si="3"/>
        <v/>
      </c>
      <c r="S20" s="90" t="str">
        <f t="shared" si="4"/>
        <v/>
      </c>
      <c r="T20" s="91" t="str">
        <f t="shared" si="5"/>
        <v/>
      </c>
      <c r="U20" s="85">
        <f t="shared" si="6"/>
        <v>0</v>
      </c>
    </row>
    <row r="21">
      <c r="A21" s="85">
        <v>19.0</v>
      </c>
      <c r="B21" s="35"/>
      <c r="C21" s="35"/>
      <c r="D21" s="86"/>
      <c r="E21" s="35"/>
      <c r="F21" s="86"/>
      <c r="G21" s="35"/>
      <c r="H21" s="85"/>
      <c r="I21" s="85"/>
      <c r="J21" s="87" t="str">
        <f t="shared" si="1"/>
        <v/>
      </c>
      <c r="K21" s="35"/>
      <c r="L21" s="88"/>
      <c r="M21" s="85"/>
      <c r="N21" s="87" t="str">
        <f t="shared" si="2"/>
        <v/>
      </c>
      <c r="O21" s="35"/>
      <c r="P21" s="88"/>
      <c r="Q21" s="85"/>
      <c r="R21" s="87" t="str">
        <f t="shared" si="3"/>
        <v/>
      </c>
      <c r="S21" s="90" t="str">
        <f t="shared" si="4"/>
        <v/>
      </c>
      <c r="T21" s="91" t="str">
        <f t="shared" si="5"/>
        <v/>
      </c>
      <c r="U21" s="85">
        <f t="shared" si="6"/>
        <v>0</v>
      </c>
    </row>
    <row r="22">
      <c r="A22" s="85">
        <v>20.0</v>
      </c>
      <c r="B22" s="35"/>
      <c r="C22" s="35"/>
      <c r="D22" s="86"/>
      <c r="E22" s="35"/>
      <c r="F22" s="86"/>
      <c r="G22" s="35"/>
      <c r="H22" s="85"/>
      <c r="I22" s="85"/>
      <c r="J22" s="87" t="str">
        <f t="shared" si="1"/>
        <v/>
      </c>
      <c r="K22" s="35"/>
      <c r="L22" s="88"/>
      <c r="M22" s="88"/>
      <c r="N22" s="87" t="str">
        <f t="shared" si="2"/>
        <v/>
      </c>
      <c r="O22" s="35"/>
      <c r="P22" s="88"/>
      <c r="Q22" s="88"/>
      <c r="R22" s="87" t="str">
        <f t="shared" si="3"/>
        <v/>
      </c>
      <c r="S22" s="90" t="str">
        <f t="shared" si="4"/>
        <v/>
      </c>
      <c r="T22" s="91" t="str">
        <f t="shared" si="5"/>
        <v/>
      </c>
      <c r="U22" s="85">
        <f t="shared" si="6"/>
        <v>0</v>
      </c>
    </row>
    <row r="23">
      <c r="A23" s="85">
        <v>21.0</v>
      </c>
      <c r="B23" s="35"/>
      <c r="C23" s="35"/>
      <c r="D23" s="86"/>
      <c r="E23" s="35"/>
      <c r="F23" s="86"/>
      <c r="G23" s="35"/>
      <c r="H23" s="85"/>
      <c r="I23" s="85"/>
      <c r="J23" s="87" t="str">
        <f t="shared" si="1"/>
        <v/>
      </c>
      <c r="K23" s="35"/>
      <c r="L23" s="88"/>
      <c r="M23" s="88"/>
      <c r="N23" s="87" t="str">
        <f t="shared" si="2"/>
        <v/>
      </c>
      <c r="O23" s="35"/>
      <c r="P23" s="88"/>
      <c r="Q23" s="88"/>
      <c r="R23" s="87" t="str">
        <f t="shared" si="3"/>
        <v/>
      </c>
      <c r="S23" s="90" t="str">
        <f t="shared" si="4"/>
        <v/>
      </c>
      <c r="T23" s="91" t="str">
        <f t="shared" si="5"/>
        <v/>
      </c>
      <c r="U23" s="85">
        <f t="shared" si="6"/>
        <v>0</v>
      </c>
    </row>
    <row r="24">
      <c r="A24" s="85">
        <v>22.0</v>
      </c>
      <c r="B24" s="35"/>
      <c r="C24" s="35"/>
      <c r="D24" s="86"/>
      <c r="E24" s="35"/>
      <c r="F24" s="86"/>
      <c r="G24" s="35"/>
      <c r="H24" s="85"/>
      <c r="I24" s="85"/>
      <c r="J24" s="87" t="str">
        <f t="shared" si="1"/>
        <v/>
      </c>
      <c r="K24" s="35"/>
      <c r="L24" s="88"/>
      <c r="M24" s="88"/>
      <c r="N24" s="87" t="str">
        <f t="shared" si="2"/>
        <v/>
      </c>
      <c r="O24" s="35"/>
      <c r="P24" s="88"/>
      <c r="Q24" s="88"/>
      <c r="R24" s="87" t="str">
        <f t="shared" si="3"/>
        <v/>
      </c>
      <c r="S24" s="90" t="str">
        <f t="shared" si="4"/>
        <v/>
      </c>
      <c r="T24" s="91" t="str">
        <f t="shared" si="5"/>
        <v/>
      </c>
      <c r="U24" s="85">
        <f t="shared" si="6"/>
        <v>0</v>
      </c>
    </row>
    <row r="25">
      <c r="A25" s="85">
        <v>23.0</v>
      </c>
      <c r="B25" s="35"/>
      <c r="C25" s="35"/>
      <c r="D25" s="86"/>
      <c r="E25" s="35"/>
      <c r="F25" s="86"/>
      <c r="G25" s="35"/>
      <c r="H25" s="85"/>
      <c r="I25" s="85"/>
      <c r="J25" s="87" t="str">
        <f t="shared" si="1"/>
        <v/>
      </c>
      <c r="K25" s="35"/>
      <c r="L25" s="88"/>
      <c r="M25" s="88"/>
      <c r="N25" s="87" t="str">
        <f t="shared" si="2"/>
        <v/>
      </c>
      <c r="O25" s="35"/>
      <c r="P25" s="88"/>
      <c r="Q25" s="88"/>
      <c r="R25" s="87" t="str">
        <f t="shared" si="3"/>
        <v/>
      </c>
      <c r="S25" s="90" t="str">
        <f t="shared" si="4"/>
        <v/>
      </c>
      <c r="T25" s="91" t="str">
        <f t="shared" si="5"/>
        <v/>
      </c>
      <c r="U25" s="85">
        <f t="shared" si="6"/>
        <v>0</v>
      </c>
    </row>
    <row r="26">
      <c r="A26" s="85">
        <v>24.0</v>
      </c>
      <c r="B26" s="35"/>
      <c r="C26" s="65"/>
      <c r="D26" s="76"/>
      <c r="E26" s="93"/>
      <c r="F26" s="76"/>
      <c r="G26" s="93"/>
      <c r="H26" s="93"/>
      <c r="I26" s="93"/>
      <c r="J26" s="87" t="str">
        <f t="shared" si="1"/>
        <v/>
      </c>
      <c r="K26" s="93"/>
      <c r="L26" s="93"/>
      <c r="M26" s="93"/>
      <c r="N26" s="87" t="str">
        <f t="shared" si="2"/>
        <v/>
      </c>
      <c r="O26" s="93"/>
      <c r="P26" s="93"/>
      <c r="Q26" s="93"/>
      <c r="R26" s="87" t="str">
        <f t="shared" si="3"/>
        <v/>
      </c>
      <c r="S26" s="90" t="str">
        <f t="shared" si="4"/>
        <v/>
      </c>
      <c r="T26" s="91" t="str">
        <f t="shared" si="5"/>
        <v/>
      </c>
      <c r="U26" s="85">
        <f t="shared" si="6"/>
        <v>0</v>
      </c>
    </row>
    <row r="27">
      <c r="A27" s="85">
        <v>25.0</v>
      </c>
      <c r="B27" s="35"/>
      <c r="C27" s="65"/>
      <c r="D27" s="76"/>
      <c r="E27" s="93"/>
      <c r="F27" s="76"/>
      <c r="G27" s="93"/>
      <c r="H27" s="93"/>
      <c r="I27" s="93"/>
      <c r="J27" s="87" t="str">
        <f t="shared" si="1"/>
        <v/>
      </c>
      <c r="K27" s="93"/>
      <c r="L27" s="93"/>
      <c r="M27" s="93"/>
      <c r="N27" s="87" t="str">
        <f t="shared" si="2"/>
        <v/>
      </c>
      <c r="O27" s="93"/>
      <c r="P27" s="93"/>
      <c r="Q27" s="93"/>
      <c r="R27" s="87" t="str">
        <f t="shared" si="3"/>
        <v/>
      </c>
      <c r="S27" s="90" t="str">
        <f t="shared" si="4"/>
        <v/>
      </c>
      <c r="T27" s="91" t="str">
        <f t="shared" si="5"/>
        <v/>
      </c>
      <c r="U27" s="85">
        <f t="shared" si="6"/>
        <v>0</v>
      </c>
    </row>
    <row r="28">
      <c r="A28" s="85">
        <v>26.0</v>
      </c>
      <c r="B28" s="35"/>
      <c r="C28" s="65"/>
      <c r="D28" s="76"/>
      <c r="E28" s="93"/>
      <c r="F28" s="76"/>
      <c r="G28" s="93"/>
      <c r="H28" s="93"/>
      <c r="I28" s="93"/>
      <c r="J28" s="87" t="str">
        <f t="shared" si="1"/>
        <v/>
      </c>
      <c r="K28" s="93"/>
      <c r="L28" s="93"/>
      <c r="M28" s="93"/>
      <c r="N28" s="87" t="str">
        <f t="shared" si="2"/>
        <v/>
      </c>
      <c r="O28" s="93"/>
      <c r="P28" s="93"/>
      <c r="Q28" s="93"/>
      <c r="R28" s="87" t="str">
        <f t="shared" si="3"/>
        <v/>
      </c>
      <c r="S28" s="90" t="str">
        <f t="shared" si="4"/>
        <v/>
      </c>
      <c r="T28" s="91" t="str">
        <f t="shared" si="5"/>
        <v/>
      </c>
      <c r="U28" s="85">
        <f t="shared" si="6"/>
        <v>0</v>
      </c>
    </row>
    <row r="29">
      <c r="A29" s="85">
        <v>27.0</v>
      </c>
      <c r="B29" s="35"/>
      <c r="C29" s="65"/>
      <c r="D29" s="76"/>
      <c r="E29" s="93"/>
      <c r="F29" s="76"/>
      <c r="G29" s="93"/>
      <c r="H29" s="93"/>
      <c r="I29" s="93"/>
      <c r="J29" s="87" t="str">
        <f t="shared" si="1"/>
        <v/>
      </c>
      <c r="K29" s="93"/>
      <c r="L29" s="93"/>
      <c r="M29" s="93"/>
      <c r="N29" s="87" t="str">
        <f t="shared" si="2"/>
        <v/>
      </c>
      <c r="O29" s="93"/>
      <c r="P29" s="93"/>
      <c r="Q29" s="93"/>
      <c r="R29" s="87" t="str">
        <f t="shared" si="3"/>
        <v/>
      </c>
      <c r="S29" s="90" t="str">
        <f t="shared" si="4"/>
        <v/>
      </c>
      <c r="T29" s="91" t="str">
        <f t="shared" si="5"/>
        <v/>
      </c>
      <c r="U29" s="85">
        <f t="shared" si="6"/>
        <v>0</v>
      </c>
    </row>
    <row r="30">
      <c r="A30" s="85">
        <v>28.0</v>
      </c>
      <c r="B30" s="35"/>
      <c r="C30" s="65"/>
      <c r="D30" s="76"/>
      <c r="E30" s="93"/>
      <c r="F30" s="76"/>
      <c r="G30" s="93"/>
      <c r="H30" s="93"/>
      <c r="I30" s="93"/>
      <c r="J30" s="87" t="str">
        <f t="shared" si="1"/>
        <v/>
      </c>
      <c r="K30" s="93"/>
      <c r="L30" s="93"/>
      <c r="M30" s="93"/>
      <c r="N30" s="87" t="str">
        <f t="shared" si="2"/>
        <v/>
      </c>
      <c r="O30" s="93"/>
      <c r="P30" s="93"/>
      <c r="Q30" s="93"/>
      <c r="R30" s="87" t="str">
        <f t="shared" si="3"/>
        <v/>
      </c>
      <c r="S30" s="90" t="str">
        <f t="shared" si="4"/>
        <v/>
      </c>
      <c r="T30" s="91" t="str">
        <f t="shared" si="5"/>
        <v/>
      </c>
      <c r="U30" s="85">
        <f t="shared" si="6"/>
        <v>0</v>
      </c>
    </row>
    <row r="31">
      <c r="A31" s="85">
        <v>29.0</v>
      </c>
      <c r="B31" s="35"/>
      <c r="C31" s="65"/>
      <c r="D31" s="76"/>
      <c r="E31" s="93"/>
      <c r="F31" s="76"/>
      <c r="G31" s="93"/>
      <c r="H31" s="93"/>
      <c r="I31" s="93"/>
      <c r="J31" s="87" t="str">
        <f t="shared" si="1"/>
        <v/>
      </c>
      <c r="K31" s="93"/>
      <c r="L31" s="93"/>
      <c r="M31" s="93"/>
      <c r="N31" s="87" t="str">
        <f t="shared" si="2"/>
        <v/>
      </c>
      <c r="O31" s="93"/>
      <c r="P31" s="93"/>
      <c r="Q31" s="93"/>
      <c r="R31" s="87" t="str">
        <f t="shared" si="3"/>
        <v/>
      </c>
      <c r="S31" s="90" t="str">
        <f t="shared" si="4"/>
        <v/>
      </c>
      <c r="T31" s="91" t="str">
        <f t="shared" si="5"/>
        <v/>
      </c>
      <c r="U31" s="85">
        <f t="shared" si="6"/>
        <v>0</v>
      </c>
    </row>
    <row r="32">
      <c r="A32" s="85">
        <v>30.0</v>
      </c>
      <c r="B32" s="35"/>
      <c r="C32" s="65"/>
      <c r="D32" s="76"/>
      <c r="E32" s="93"/>
      <c r="F32" s="76"/>
      <c r="G32" s="93"/>
      <c r="H32" s="93"/>
      <c r="I32" s="93"/>
      <c r="J32" s="87" t="str">
        <f t="shared" si="1"/>
        <v/>
      </c>
      <c r="K32" s="93"/>
      <c r="L32" s="93"/>
      <c r="M32" s="93"/>
      <c r="N32" s="87" t="str">
        <f t="shared" si="2"/>
        <v/>
      </c>
      <c r="O32" s="93"/>
      <c r="P32" s="93"/>
      <c r="Q32" s="93"/>
      <c r="R32" s="87" t="str">
        <f t="shared" si="3"/>
        <v/>
      </c>
      <c r="S32" s="90" t="str">
        <f t="shared" si="4"/>
        <v/>
      </c>
      <c r="T32" s="91" t="str">
        <f t="shared" si="5"/>
        <v/>
      </c>
      <c r="U32" s="85">
        <f t="shared" si="6"/>
        <v>0</v>
      </c>
    </row>
    <row r="33">
      <c r="A33" s="85">
        <v>31.0</v>
      </c>
      <c r="B33" s="35"/>
      <c r="C33" s="65"/>
      <c r="D33" s="76"/>
      <c r="E33" s="93"/>
      <c r="F33" s="76"/>
      <c r="G33" s="93"/>
      <c r="H33" s="93"/>
      <c r="I33" s="93"/>
      <c r="J33" s="87" t="str">
        <f t="shared" si="1"/>
        <v/>
      </c>
      <c r="K33" s="93"/>
      <c r="L33" s="93"/>
      <c r="M33" s="93"/>
      <c r="N33" s="87" t="str">
        <f t="shared" si="2"/>
        <v/>
      </c>
      <c r="O33" s="93"/>
      <c r="P33" s="93"/>
      <c r="Q33" s="93"/>
      <c r="R33" s="87" t="str">
        <f t="shared" si="3"/>
        <v/>
      </c>
      <c r="S33" s="90" t="str">
        <f t="shared" si="4"/>
        <v/>
      </c>
      <c r="T33" s="91" t="str">
        <f t="shared" si="5"/>
        <v/>
      </c>
      <c r="U33" s="85">
        <f t="shared" si="6"/>
        <v>0</v>
      </c>
    </row>
    <row r="34">
      <c r="A34" s="85">
        <v>32.0</v>
      </c>
      <c r="B34" s="35"/>
      <c r="C34" s="65"/>
      <c r="D34" s="76"/>
      <c r="E34" s="93"/>
      <c r="F34" s="76"/>
      <c r="G34" s="93"/>
      <c r="H34" s="93"/>
      <c r="I34" s="93"/>
      <c r="J34" s="87" t="str">
        <f t="shared" si="1"/>
        <v/>
      </c>
      <c r="K34" s="93"/>
      <c r="L34" s="93"/>
      <c r="M34" s="93"/>
      <c r="N34" s="87" t="str">
        <f t="shared" si="2"/>
        <v/>
      </c>
      <c r="O34" s="93"/>
      <c r="P34" s="93"/>
      <c r="Q34" s="93"/>
      <c r="R34" s="87" t="str">
        <f t="shared" si="3"/>
        <v/>
      </c>
      <c r="S34" s="90" t="str">
        <f t="shared" si="4"/>
        <v/>
      </c>
      <c r="T34" s="91" t="str">
        <f t="shared" si="5"/>
        <v/>
      </c>
      <c r="U34" s="85">
        <f t="shared" si="6"/>
        <v>0</v>
      </c>
    </row>
    <row r="35">
      <c r="A35" s="85">
        <v>33.0</v>
      </c>
      <c r="B35" s="35"/>
      <c r="C35" s="65"/>
      <c r="D35" s="76"/>
      <c r="E35" s="93"/>
      <c r="F35" s="76"/>
      <c r="G35" s="93"/>
      <c r="H35" s="93"/>
      <c r="I35" s="93"/>
      <c r="J35" s="87" t="str">
        <f t="shared" si="1"/>
        <v/>
      </c>
      <c r="K35" s="93"/>
      <c r="L35" s="93"/>
      <c r="M35" s="93"/>
      <c r="N35" s="87" t="str">
        <f t="shared" si="2"/>
        <v/>
      </c>
      <c r="O35" s="93"/>
      <c r="P35" s="93"/>
      <c r="Q35" s="93"/>
      <c r="R35" s="87" t="str">
        <f t="shared" si="3"/>
        <v/>
      </c>
      <c r="S35" s="90" t="str">
        <f t="shared" si="4"/>
        <v/>
      </c>
      <c r="T35" s="91" t="str">
        <f t="shared" si="5"/>
        <v/>
      </c>
      <c r="U35" s="85">
        <f t="shared" si="6"/>
        <v>0</v>
      </c>
    </row>
    <row r="36">
      <c r="A36" s="85">
        <v>34.0</v>
      </c>
      <c r="B36" s="35"/>
      <c r="C36" s="65"/>
      <c r="D36" s="76"/>
      <c r="E36" s="93"/>
      <c r="F36" s="76"/>
      <c r="G36" s="93"/>
      <c r="H36" s="93"/>
      <c r="I36" s="93"/>
      <c r="J36" s="87" t="str">
        <f t="shared" si="1"/>
        <v/>
      </c>
      <c r="K36" s="93"/>
      <c r="L36" s="93"/>
      <c r="M36" s="93"/>
      <c r="N36" s="87" t="str">
        <f t="shared" si="2"/>
        <v/>
      </c>
      <c r="O36" s="93"/>
      <c r="P36" s="93"/>
      <c r="Q36" s="93"/>
      <c r="R36" s="87" t="str">
        <f t="shared" si="3"/>
        <v/>
      </c>
      <c r="S36" s="90" t="str">
        <f t="shared" si="4"/>
        <v/>
      </c>
      <c r="T36" s="91" t="str">
        <f t="shared" si="5"/>
        <v/>
      </c>
      <c r="U36" s="85">
        <f t="shared" si="6"/>
        <v>0</v>
      </c>
    </row>
    <row r="37">
      <c r="A37" s="85">
        <v>35.0</v>
      </c>
      <c r="B37" s="35"/>
      <c r="C37" s="65"/>
      <c r="D37" s="76"/>
      <c r="E37" s="93"/>
      <c r="F37" s="76"/>
      <c r="G37" s="93"/>
      <c r="H37" s="93"/>
      <c r="I37" s="93"/>
      <c r="J37" s="87" t="str">
        <f t="shared" si="1"/>
        <v/>
      </c>
      <c r="K37" s="93"/>
      <c r="L37" s="93"/>
      <c r="M37" s="93"/>
      <c r="N37" s="87" t="str">
        <f t="shared" si="2"/>
        <v/>
      </c>
      <c r="O37" s="93"/>
      <c r="P37" s="93"/>
      <c r="Q37" s="93"/>
      <c r="R37" s="87" t="str">
        <f t="shared" si="3"/>
        <v/>
      </c>
      <c r="S37" s="90" t="str">
        <f t="shared" si="4"/>
        <v/>
      </c>
      <c r="T37" s="91" t="str">
        <f t="shared" si="5"/>
        <v/>
      </c>
      <c r="U37" s="85">
        <f t="shared" si="6"/>
        <v>0</v>
      </c>
    </row>
    <row r="38">
      <c r="A38" s="85">
        <v>36.0</v>
      </c>
      <c r="B38" s="35"/>
      <c r="C38" s="65"/>
      <c r="D38" s="76"/>
      <c r="E38" s="93"/>
      <c r="F38" s="76"/>
      <c r="G38" s="93"/>
      <c r="H38" s="93"/>
      <c r="I38" s="93"/>
      <c r="J38" s="87" t="str">
        <f t="shared" si="1"/>
        <v/>
      </c>
      <c r="K38" s="93"/>
      <c r="L38" s="93"/>
      <c r="M38" s="93"/>
      <c r="N38" s="87" t="str">
        <f t="shared" si="2"/>
        <v/>
      </c>
      <c r="O38" s="93"/>
      <c r="P38" s="93"/>
      <c r="Q38" s="93"/>
      <c r="R38" s="87" t="str">
        <f t="shared" si="3"/>
        <v/>
      </c>
      <c r="S38" s="90" t="str">
        <f t="shared" si="4"/>
        <v/>
      </c>
      <c r="T38" s="91" t="str">
        <f t="shared" si="5"/>
        <v/>
      </c>
      <c r="U38" s="85">
        <f t="shared" si="6"/>
        <v>0</v>
      </c>
    </row>
    <row r="39">
      <c r="A39" s="85">
        <v>37.0</v>
      </c>
      <c r="B39" s="35"/>
      <c r="C39" s="65"/>
      <c r="D39" s="76"/>
      <c r="E39" s="93"/>
      <c r="F39" s="76"/>
      <c r="G39" s="93"/>
      <c r="H39" s="93"/>
      <c r="I39" s="93"/>
      <c r="J39" s="87" t="str">
        <f t="shared" si="1"/>
        <v/>
      </c>
      <c r="K39" s="93"/>
      <c r="L39" s="93"/>
      <c r="M39" s="93"/>
      <c r="N39" s="87" t="str">
        <f t="shared" si="2"/>
        <v/>
      </c>
      <c r="O39" s="93"/>
      <c r="P39" s="93"/>
      <c r="Q39" s="93"/>
      <c r="R39" s="87" t="str">
        <f t="shared" si="3"/>
        <v/>
      </c>
      <c r="S39" s="90" t="str">
        <f t="shared" si="4"/>
        <v/>
      </c>
      <c r="T39" s="91" t="str">
        <f t="shared" si="5"/>
        <v/>
      </c>
      <c r="U39" s="85">
        <f t="shared" si="6"/>
        <v>0</v>
      </c>
    </row>
    <row r="40">
      <c r="A40" s="85">
        <v>38.0</v>
      </c>
      <c r="B40" s="35"/>
      <c r="C40" s="65"/>
      <c r="D40" s="76"/>
      <c r="E40" s="93"/>
      <c r="F40" s="76"/>
      <c r="G40" s="93"/>
      <c r="H40" s="93"/>
      <c r="I40" s="93"/>
      <c r="J40" s="87" t="str">
        <f t="shared" si="1"/>
        <v/>
      </c>
      <c r="K40" s="93"/>
      <c r="L40" s="93"/>
      <c r="M40" s="93"/>
      <c r="N40" s="87" t="str">
        <f t="shared" si="2"/>
        <v/>
      </c>
      <c r="O40" s="93"/>
      <c r="P40" s="93"/>
      <c r="Q40" s="93"/>
      <c r="R40" s="87" t="str">
        <f t="shared" si="3"/>
        <v/>
      </c>
      <c r="S40" s="90" t="str">
        <f t="shared" si="4"/>
        <v/>
      </c>
      <c r="T40" s="91" t="str">
        <f t="shared" si="5"/>
        <v/>
      </c>
      <c r="U40" s="85">
        <f t="shared" si="6"/>
        <v>0</v>
      </c>
    </row>
    <row r="41">
      <c r="A41" s="85">
        <v>39.0</v>
      </c>
      <c r="B41" s="35"/>
      <c r="C41" s="65"/>
      <c r="D41" s="76"/>
      <c r="E41" s="93"/>
      <c r="F41" s="76"/>
      <c r="G41" s="93"/>
      <c r="H41" s="93"/>
      <c r="I41" s="93"/>
      <c r="J41" s="87" t="str">
        <f t="shared" si="1"/>
        <v/>
      </c>
      <c r="K41" s="93"/>
      <c r="L41" s="93"/>
      <c r="M41" s="93"/>
      <c r="N41" s="87" t="str">
        <f t="shared" si="2"/>
        <v/>
      </c>
      <c r="O41" s="93"/>
      <c r="P41" s="93"/>
      <c r="Q41" s="93"/>
      <c r="R41" s="87" t="str">
        <f t="shared" si="3"/>
        <v/>
      </c>
      <c r="S41" s="90" t="str">
        <f t="shared" si="4"/>
        <v/>
      </c>
      <c r="T41" s="91" t="str">
        <f t="shared" si="5"/>
        <v/>
      </c>
      <c r="U41" s="85">
        <f t="shared" si="6"/>
        <v>0</v>
      </c>
    </row>
    <row r="42">
      <c r="A42" s="85">
        <v>40.0</v>
      </c>
      <c r="B42" s="35"/>
      <c r="C42" s="65"/>
      <c r="D42" s="76"/>
      <c r="E42" s="93"/>
      <c r="F42" s="76"/>
      <c r="G42" s="93"/>
      <c r="H42" s="93"/>
      <c r="I42" s="93"/>
      <c r="J42" s="87" t="str">
        <f t="shared" si="1"/>
        <v/>
      </c>
      <c r="K42" s="93"/>
      <c r="L42" s="93"/>
      <c r="M42" s="93"/>
      <c r="N42" s="87" t="str">
        <f t="shared" si="2"/>
        <v/>
      </c>
      <c r="O42" s="93"/>
      <c r="P42" s="93"/>
      <c r="Q42" s="93"/>
      <c r="R42" s="87" t="str">
        <f t="shared" si="3"/>
        <v/>
      </c>
      <c r="S42" s="90" t="str">
        <f t="shared" si="4"/>
        <v/>
      </c>
      <c r="T42" s="91" t="str">
        <f t="shared" si="5"/>
        <v/>
      </c>
      <c r="U42" s="85">
        <f t="shared" si="6"/>
        <v>0</v>
      </c>
    </row>
    <row r="43">
      <c r="A43" s="85">
        <v>41.0</v>
      </c>
      <c r="B43" s="35"/>
      <c r="C43" s="65"/>
      <c r="D43" s="76"/>
      <c r="E43" s="93"/>
      <c r="F43" s="76"/>
      <c r="G43" s="93"/>
      <c r="H43" s="93"/>
      <c r="I43" s="93"/>
      <c r="J43" s="87" t="str">
        <f t="shared" si="1"/>
        <v/>
      </c>
      <c r="K43" s="93"/>
      <c r="L43" s="93"/>
      <c r="M43" s="93"/>
      <c r="N43" s="87" t="str">
        <f t="shared" si="2"/>
        <v/>
      </c>
      <c r="O43" s="93"/>
      <c r="P43" s="93"/>
      <c r="Q43" s="93"/>
      <c r="R43" s="87" t="str">
        <f t="shared" si="3"/>
        <v/>
      </c>
      <c r="S43" s="90" t="str">
        <f t="shared" si="4"/>
        <v/>
      </c>
      <c r="T43" s="91" t="str">
        <f t="shared" si="5"/>
        <v/>
      </c>
      <c r="U43" s="85">
        <f t="shared" si="6"/>
        <v>0</v>
      </c>
    </row>
    <row r="44">
      <c r="A44" s="85">
        <v>42.0</v>
      </c>
      <c r="B44" s="35"/>
      <c r="C44" s="65"/>
      <c r="D44" s="76"/>
      <c r="E44" s="93"/>
      <c r="F44" s="76"/>
      <c r="G44" s="93"/>
      <c r="H44" s="93"/>
      <c r="I44" s="93"/>
      <c r="J44" s="87" t="str">
        <f t="shared" si="1"/>
        <v/>
      </c>
      <c r="K44" s="93"/>
      <c r="L44" s="93"/>
      <c r="M44" s="93"/>
      <c r="N44" s="87" t="str">
        <f t="shared" si="2"/>
        <v/>
      </c>
      <c r="O44" s="93"/>
      <c r="P44" s="93"/>
      <c r="Q44" s="93"/>
      <c r="R44" s="87" t="str">
        <f t="shared" si="3"/>
        <v/>
      </c>
      <c r="S44" s="90" t="str">
        <f t="shared" si="4"/>
        <v/>
      </c>
      <c r="T44" s="91" t="str">
        <f t="shared" si="5"/>
        <v/>
      </c>
      <c r="U44" s="85">
        <f t="shared" si="6"/>
        <v>0</v>
      </c>
    </row>
    <row r="45">
      <c r="A45" s="85">
        <v>43.0</v>
      </c>
      <c r="B45" s="35"/>
      <c r="C45" s="65"/>
      <c r="D45" s="76"/>
      <c r="E45" s="93"/>
      <c r="F45" s="76"/>
      <c r="G45" s="93"/>
      <c r="H45" s="93"/>
      <c r="I45" s="93"/>
      <c r="J45" s="87" t="str">
        <f t="shared" si="1"/>
        <v/>
      </c>
      <c r="K45" s="93"/>
      <c r="L45" s="93"/>
      <c r="M45" s="93"/>
      <c r="N45" s="87" t="str">
        <f t="shared" si="2"/>
        <v/>
      </c>
      <c r="O45" s="93"/>
      <c r="P45" s="93"/>
      <c r="Q45" s="93"/>
      <c r="R45" s="87" t="str">
        <f t="shared" si="3"/>
        <v/>
      </c>
      <c r="S45" s="90" t="str">
        <f t="shared" si="4"/>
        <v/>
      </c>
      <c r="T45" s="91" t="str">
        <f t="shared" si="5"/>
        <v/>
      </c>
      <c r="U45" s="85">
        <f t="shared" si="6"/>
        <v>0</v>
      </c>
    </row>
    <row r="46">
      <c r="A46" s="85">
        <v>44.0</v>
      </c>
      <c r="B46" s="35"/>
      <c r="C46" s="65"/>
      <c r="D46" s="76"/>
      <c r="E46" s="93"/>
      <c r="F46" s="76"/>
      <c r="G46" s="93"/>
      <c r="H46" s="93"/>
      <c r="I46" s="93"/>
      <c r="J46" s="87" t="str">
        <f t="shared" si="1"/>
        <v/>
      </c>
      <c r="K46" s="93"/>
      <c r="L46" s="93"/>
      <c r="M46" s="93"/>
      <c r="N46" s="87" t="str">
        <f t="shared" si="2"/>
        <v/>
      </c>
      <c r="O46" s="93"/>
      <c r="P46" s="93"/>
      <c r="Q46" s="93"/>
      <c r="R46" s="87" t="str">
        <f t="shared" si="3"/>
        <v/>
      </c>
      <c r="S46" s="90" t="str">
        <f t="shared" si="4"/>
        <v/>
      </c>
      <c r="T46" s="91" t="str">
        <f t="shared" si="5"/>
        <v/>
      </c>
      <c r="U46" s="85">
        <f t="shared" si="6"/>
        <v>0</v>
      </c>
    </row>
    <row r="47">
      <c r="A47" s="85">
        <v>45.0</v>
      </c>
      <c r="B47" s="35"/>
      <c r="C47" s="65"/>
      <c r="D47" s="76"/>
      <c r="E47" s="93"/>
      <c r="F47" s="76"/>
      <c r="G47" s="93"/>
      <c r="H47" s="93"/>
      <c r="I47" s="93"/>
      <c r="J47" s="87" t="str">
        <f t="shared" si="1"/>
        <v/>
      </c>
      <c r="K47" s="93"/>
      <c r="L47" s="93"/>
      <c r="M47" s="93"/>
      <c r="N47" s="87" t="str">
        <f t="shared" si="2"/>
        <v/>
      </c>
      <c r="O47" s="93"/>
      <c r="P47" s="93"/>
      <c r="Q47" s="93"/>
      <c r="R47" s="87" t="str">
        <f t="shared" si="3"/>
        <v/>
      </c>
      <c r="S47" s="90" t="str">
        <f t="shared" si="4"/>
        <v/>
      </c>
      <c r="T47" s="91" t="str">
        <f t="shared" si="5"/>
        <v/>
      </c>
      <c r="U47" s="85">
        <f t="shared" si="6"/>
        <v>0</v>
      </c>
    </row>
    <row r="48">
      <c r="A48" s="85">
        <v>46.0</v>
      </c>
      <c r="B48" s="35"/>
      <c r="C48" s="65"/>
      <c r="D48" s="76"/>
      <c r="E48" s="93"/>
      <c r="F48" s="76"/>
      <c r="G48" s="93"/>
      <c r="H48" s="93"/>
      <c r="I48" s="93"/>
      <c r="J48" s="87" t="str">
        <f t="shared" si="1"/>
        <v/>
      </c>
      <c r="K48" s="93"/>
      <c r="L48" s="93"/>
      <c r="M48" s="93"/>
      <c r="N48" s="87" t="str">
        <f t="shared" si="2"/>
        <v/>
      </c>
      <c r="O48" s="93"/>
      <c r="P48" s="93"/>
      <c r="Q48" s="93"/>
      <c r="R48" s="87" t="str">
        <f t="shared" si="3"/>
        <v/>
      </c>
      <c r="S48" s="90" t="str">
        <f t="shared" si="4"/>
        <v/>
      </c>
      <c r="T48" s="91" t="str">
        <f t="shared" si="5"/>
        <v/>
      </c>
      <c r="U48" s="85">
        <f t="shared" si="6"/>
        <v>0</v>
      </c>
    </row>
    <row r="49">
      <c r="A49" s="85">
        <v>47.0</v>
      </c>
      <c r="B49" s="35"/>
      <c r="C49" s="65"/>
      <c r="D49" s="76"/>
      <c r="E49" s="93"/>
      <c r="F49" s="76"/>
      <c r="G49" s="93"/>
      <c r="H49" s="93"/>
      <c r="I49" s="93"/>
      <c r="J49" s="87" t="str">
        <f t="shared" si="1"/>
        <v/>
      </c>
      <c r="K49" s="93"/>
      <c r="L49" s="93"/>
      <c r="M49" s="93"/>
      <c r="N49" s="87" t="str">
        <f t="shared" si="2"/>
        <v/>
      </c>
      <c r="O49" s="93"/>
      <c r="P49" s="93"/>
      <c r="Q49" s="93"/>
      <c r="R49" s="87" t="str">
        <f t="shared" si="3"/>
        <v/>
      </c>
      <c r="S49" s="90" t="str">
        <f t="shared" si="4"/>
        <v/>
      </c>
      <c r="T49" s="91" t="str">
        <f t="shared" si="5"/>
        <v/>
      </c>
      <c r="U49" s="85">
        <f t="shared" si="6"/>
        <v>0</v>
      </c>
    </row>
    <row r="50">
      <c r="A50" s="85">
        <v>48.0</v>
      </c>
      <c r="B50" s="35"/>
      <c r="C50" s="65"/>
      <c r="D50" s="76"/>
      <c r="E50" s="93"/>
      <c r="F50" s="76"/>
      <c r="G50" s="93"/>
      <c r="H50" s="93"/>
      <c r="I50" s="93"/>
      <c r="J50" s="87" t="str">
        <f t="shared" si="1"/>
        <v/>
      </c>
      <c r="K50" s="93"/>
      <c r="L50" s="93"/>
      <c r="M50" s="93"/>
      <c r="N50" s="87" t="str">
        <f t="shared" si="2"/>
        <v/>
      </c>
      <c r="O50" s="93"/>
      <c r="P50" s="93"/>
      <c r="Q50" s="93"/>
      <c r="R50" s="87" t="str">
        <f t="shared" si="3"/>
        <v/>
      </c>
      <c r="S50" s="90" t="str">
        <f t="shared" si="4"/>
        <v/>
      </c>
      <c r="T50" s="91" t="str">
        <f t="shared" si="5"/>
        <v/>
      </c>
      <c r="U50" s="85">
        <f t="shared" si="6"/>
        <v>0</v>
      </c>
    </row>
    <row r="51">
      <c r="A51" s="85">
        <v>49.0</v>
      </c>
      <c r="B51" s="35"/>
      <c r="C51" s="65"/>
      <c r="D51" s="76"/>
      <c r="E51" s="93"/>
      <c r="F51" s="76"/>
      <c r="G51" s="93"/>
      <c r="H51" s="93"/>
      <c r="I51" s="93"/>
      <c r="J51" s="87" t="str">
        <f t="shared" si="1"/>
        <v/>
      </c>
      <c r="K51" s="93"/>
      <c r="L51" s="93"/>
      <c r="M51" s="93"/>
      <c r="N51" s="87" t="str">
        <f t="shared" si="2"/>
        <v/>
      </c>
      <c r="O51" s="93"/>
      <c r="P51" s="93"/>
      <c r="Q51" s="93"/>
      <c r="R51" s="87" t="str">
        <f t="shared" si="3"/>
        <v/>
      </c>
      <c r="S51" s="90" t="str">
        <f t="shared" si="4"/>
        <v/>
      </c>
      <c r="T51" s="91" t="str">
        <f t="shared" si="5"/>
        <v/>
      </c>
      <c r="U51" s="85">
        <f t="shared" si="6"/>
        <v>0</v>
      </c>
    </row>
    <row r="52">
      <c r="A52" s="85">
        <v>50.0</v>
      </c>
      <c r="B52" s="35"/>
      <c r="C52" s="65"/>
      <c r="D52" s="76"/>
      <c r="E52" s="93"/>
      <c r="F52" s="76"/>
      <c r="G52" s="93"/>
      <c r="H52" s="93"/>
      <c r="I52" s="93"/>
      <c r="J52" s="87" t="str">
        <f t="shared" si="1"/>
        <v/>
      </c>
      <c r="K52" s="93"/>
      <c r="L52" s="93"/>
      <c r="M52" s="93"/>
      <c r="N52" s="87" t="str">
        <f t="shared" si="2"/>
        <v/>
      </c>
      <c r="O52" s="93"/>
      <c r="P52" s="93"/>
      <c r="Q52" s="93"/>
      <c r="R52" s="87" t="str">
        <f t="shared" si="3"/>
        <v/>
      </c>
      <c r="S52" s="90" t="str">
        <f t="shared" si="4"/>
        <v/>
      </c>
      <c r="T52" s="91" t="str">
        <f t="shared" si="5"/>
        <v/>
      </c>
      <c r="U52" s="85">
        <f t="shared" si="6"/>
        <v>0</v>
      </c>
    </row>
    <row r="53">
      <c r="A53" s="85">
        <v>51.0</v>
      </c>
      <c r="B53" s="35"/>
      <c r="C53" s="65"/>
      <c r="D53" s="76"/>
      <c r="E53" s="93"/>
      <c r="F53" s="76"/>
      <c r="G53" s="93"/>
      <c r="H53" s="93"/>
      <c r="I53" s="93"/>
      <c r="J53" s="87" t="str">
        <f t="shared" si="1"/>
        <v/>
      </c>
      <c r="K53" s="93"/>
      <c r="L53" s="93"/>
      <c r="M53" s="93"/>
      <c r="N53" s="87" t="str">
        <f t="shared" si="2"/>
        <v/>
      </c>
      <c r="O53" s="93"/>
      <c r="P53" s="93"/>
      <c r="Q53" s="93"/>
      <c r="R53" s="87" t="str">
        <f t="shared" si="3"/>
        <v/>
      </c>
      <c r="S53" s="90" t="str">
        <f t="shared" si="4"/>
        <v/>
      </c>
      <c r="T53" s="91" t="str">
        <f t="shared" si="5"/>
        <v/>
      </c>
      <c r="U53" s="85">
        <f t="shared" si="6"/>
        <v>0</v>
      </c>
    </row>
    <row r="54">
      <c r="A54" s="85">
        <v>52.0</v>
      </c>
      <c r="B54" s="35"/>
      <c r="C54" s="65"/>
      <c r="D54" s="76"/>
      <c r="E54" s="93"/>
      <c r="F54" s="76"/>
      <c r="G54" s="93"/>
      <c r="H54" s="93"/>
      <c r="I54" s="93"/>
      <c r="J54" s="87" t="str">
        <f t="shared" si="1"/>
        <v/>
      </c>
      <c r="K54" s="93"/>
      <c r="L54" s="93"/>
      <c r="M54" s="93"/>
      <c r="N54" s="87" t="str">
        <f t="shared" si="2"/>
        <v/>
      </c>
      <c r="O54" s="93"/>
      <c r="P54" s="93"/>
      <c r="Q54" s="93"/>
      <c r="R54" s="87" t="str">
        <f t="shared" si="3"/>
        <v/>
      </c>
      <c r="S54" s="90" t="str">
        <f t="shared" si="4"/>
        <v/>
      </c>
      <c r="T54" s="91" t="str">
        <f t="shared" si="5"/>
        <v/>
      </c>
      <c r="U54" s="85">
        <f t="shared" si="6"/>
        <v>0</v>
      </c>
    </row>
    <row r="55">
      <c r="A55" s="85">
        <v>53.0</v>
      </c>
      <c r="B55" s="35"/>
      <c r="C55" s="65"/>
      <c r="D55" s="76"/>
      <c r="E55" s="93"/>
      <c r="F55" s="76"/>
      <c r="G55" s="93"/>
      <c r="H55" s="93"/>
      <c r="I55" s="93"/>
      <c r="J55" s="87" t="str">
        <f t="shared" si="1"/>
        <v/>
      </c>
      <c r="K55" s="93"/>
      <c r="L55" s="93"/>
      <c r="M55" s="93"/>
      <c r="N55" s="87" t="str">
        <f t="shared" si="2"/>
        <v/>
      </c>
      <c r="O55" s="93"/>
      <c r="P55" s="93"/>
      <c r="Q55" s="93"/>
      <c r="R55" s="87" t="str">
        <f t="shared" si="3"/>
        <v/>
      </c>
      <c r="S55" s="90" t="str">
        <f t="shared" si="4"/>
        <v/>
      </c>
      <c r="T55" s="91" t="str">
        <f t="shared" si="5"/>
        <v/>
      </c>
      <c r="U55" s="85">
        <f t="shared" si="6"/>
        <v>0</v>
      </c>
    </row>
    <row r="56">
      <c r="A56" s="85">
        <v>54.0</v>
      </c>
      <c r="B56" s="35"/>
      <c r="C56" s="65"/>
      <c r="D56" s="76"/>
      <c r="E56" s="93"/>
      <c r="F56" s="76"/>
      <c r="G56" s="93"/>
      <c r="H56" s="93"/>
      <c r="I56" s="93"/>
      <c r="J56" s="87" t="str">
        <f t="shared" si="1"/>
        <v/>
      </c>
      <c r="K56" s="93"/>
      <c r="L56" s="93"/>
      <c r="M56" s="93"/>
      <c r="N56" s="87" t="str">
        <f t="shared" si="2"/>
        <v/>
      </c>
      <c r="O56" s="93"/>
      <c r="P56" s="93"/>
      <c r="Q56" s="93"/>
      <c r="R56" s="87" t="str">
        <f t="shared" si="3"/>
        <v/>
      </c>
      <c r="S56" s="90" t="str">
        <f t="shared" si="4"/>
        <v/>
      </c>
      <c r="T56" s="91" t="str">
        <f t="shared" si="5"/>
        <v/>
      </c>
      <c r="U56" s="85">
        <f t="shared" si="6"/>
        <v>0</v>
      </c>
    </row>
    <row r="57">
      <c r="A57" s="85">
        <v>55.0</v>
      </c>
      <c r="B57" s="35"/>
      <c r="C57" s="65"/>
      <c r="D57" s="76"/>
      <c r="E57" s="93"/>
      <c r="F57" s="76"/>
      <c r="G57" s="93"/>
      <c r="H57" s="93"/>
      <c r="I57" s="93"/>
      <c r="J57" s="87" t="str">
        <f t="shared" si="1"/>
        <v/>
      </c>
      <c r="K57" s="93"/>
      <c r="L57" s="93"/>
      <c r="M57" s="93"/>
      <c r="N57" s="87" t="str">
        <f t="shared" si="2"/>
        <v/>
      </c>
      <c r="O57" s="93"/>
      <c r="P57" s="93"/>
      <c r="Q57" s="93"/>
      <c r="R57" s="87" t="str">
        <f t="shared" si="3"/>
        <v/>
      </c>
      <c r="S57" s="90" t="str">
        <f t="shared" si="4"/>
        <v/>
      </c>
      <c r="T57" s="91" t="str">
        <f t="shared" si="5"/>
        <v/>
      </c>
      <c r="U57" s="85">
        <f t="shared" si="6"/>
        <v>0</v>
      </c>
    </row>
    <row r="58">
      <c r="A58" s="85">
        <v>56.0</v>
      </c>
      <c r="B58" s="35"/>
      <c r="C58" s="65"/>
      <c r="D58" s="76"/>
      <c r="E58" s="93"/>
      <c r="F58" s="76"/>
      <c r="G58" s="93"/>
      <c r="H58" s="93"/>
      <c r="I58" s="93"/>
      <c r="J58" s="87" t="str">
        <f t="shared" si="1"/>
        <v/>
      </c>
      <c r="K58" s="93"/>
      <c r="L58" s="93"/>
      <c r="M58" s="93"/>
      <c r="N58" s="87" t="str">
        <f t="shared" si="2"/>
        <v/>
      </c>
      <c r="O58" s="93"/>
      <c r="P58" s="93"/>
      <c r="Q58" s="93"/>
      <c r="R58" s="87" t="str">
        <f t="shared" si="3"/>
        <v/>
      </c>
      <c r="S58" s="90" t="str">
        <f t="shared" si="4"/>
        <v/>
      </c>
      <c r="T58" s="91" t="str">
        <f t="shared" si="5"/>
        <v/>
      </c>
      <c r="U58" s="85">
        <f t="shared" si="6"/>
        <v>0</v>
      </c>
    </row>
    <row r="59">
      <c r="A59" s="85">
        <v>57.0</v>
      </c>
      <c r="B59" s="35"/>
      <c r="C59" s="65"/>
      <c r="D59" s="76"/>
      <c r="E59" s="93"/>
      <c r="F59" s="76"/>
      <c r="G59" s="93"/>
      <c r="H59" s="93"/>
      <c r="I59" s="93"/>
      <c r="J59" s="87" t="str">
        <f t="shared" si="1"/>
        <v/>
      </c>
      <c r="K59" s="93"/>
      <c r="L59" s="93"/>
      <c r="M59" s="93"/>
      <c r="N59" s="87" t="str">
        <f t="shared" si="2"/>
        <v/>
      </c>
      <c r="O59" s="93"/>
      <c r="P59" s="93"/>
      <c r="Q59" s="93"/>
      <c r="R59" s="87" t="str">
        <f t="shared" si="3"/>
        <v/>
      </c>
      <c r="S59" s="90" t="str">
        <f t="shared" si="4"/>
        <v/>
      </c>
      <c r="T59" s="91" t="str">
        <f t="shared" si="5"/>
        <v/>
      </c>
      <c r="U59" s="85">
        <f t="shared" si="6"/>
        <v>0</v>
      </c>
    </row>
    <row r="60">
      <c r="A60" s="85">
        <v>58.0</v>
      </c>
      <c r="B60" s="35"/>
      <c r="C60" s="65"/>
      <c r="D60" s="76"/>
      <c r="E60" s="93"/>
      <c r="F60" s="76"/>
      <c r="G60" s="93"/>
      <c r="H60" s="93"/>
      <c r="I60" s="93"/>
      <c r="J60" s="87" t="str">
        <f t="shared" si="1"/>
        <v/>
      </c>
      <c r="K60" s="93"/>
      <c r="L60" s="93"/>
      <c r="M60" s="93"/>
      <c r="N60" s="87" t="str">
        <f t="shared" si="2"/>
        <v/>
      </c>
      <c r="O60" s="93"/>
      <c r="P60" s="93"/>
      <c r="Q60" s="93"/>
      <c r="R60" s="87" t="str">
        <f t="shared" si="3"/>
        <v/>
      </c>
      <c r="S60" s="90" t="str">
        <f t="shared" si="4"/>
        <v/>
      </c>
      <c r="T60" s="91" t="str">
        <f t="shared" si="5"/>
        <v/>
      </c>
      <c r="U60" s="85">
        <f t="shared" si="6"/>
        <v>0</v>
      </c>
    </row>
    <row r="61">
      <c r="A61" s="85">
        <v>59.0</v>
      </c>
      <c r="B61" s="35"/>
      <c r="C61" s="65"/>
      <c r="D61" s="76"/>
      <c r="E61" s="93"/>
      <c r="F61" s="76"/>
      <c r="G61" s="93"/>
      <c r="H61" s="93"/>
      <c r="I61" s="93"/>
      <c r="J61" s="87" t="str">
        <f t="shared" si="1"/>
        <v/>
      </c>
      <c r="K61" s="93"/>
      <c r="L61" s="93"/>
      <c r="M61" s="93"/>
      <c r="N61" s="87" t="str">
        <f t="shared" si="2"/>
        <v/>
      </c>
      <c r="O61" s="93"/>
      <c r="P61" s="93"/>
      <c r="Q61" s="93"/>
      <c r="R61" s="87" t="str">
        <f t="shared" si="3"/>
        <v/>
      </c>
      <c r="S61" s="90" t="str">
        <f t="shared" si="4"/>
        <v/>
      </c>
      <c r="T61" s="91" t="str">
        <f t="shared" si="5"/>
        <v/>
      </c>
      <c r="U61" s="85">
        <f t="shared" si="6"/>
        <v>0</v>
      </c>
    </row>
    <row r="62">
      <c r="A62" s="85">
        <v>60.0</v>
      </c>
      <c r="B62" s="35"/>
      <c r="C62" s="65"/>
      <c r="D62" s="76"/>
      <c r="E62" s="93"/>
      <c r="F62" s="76"/>
      <c r="G62" s="93"/>
      <c r="H62" s="93"/>
      <c r="I62" s="93"/>
      <c r="J62" s="87" t="str">
        <f t="shared" si="1"/>
        <v/>
      </c>
      <c r="K62" s="93"/>
      <c r="L62" s="93"/>
      <c r="M62" s="93"/>
      <c r="N62" s="87" t="str">
        <f t="shared" si="2"/>
        <v/>
      </c>
      <c r="O62" s="93"/>
      <c r="P62" s="93"/>
      <c r="Q62" s="93"/>
      <c r="R62" s="87" t="str">
        <f t="shared" si="3"/>
        <v/>
      </c>
      <c r="S62" s="90" t="str">
        <f t="shared" si="4"/>
        <v/>
      </c>
      <c r="T62" s="91" t="str">
        <f t="shared" si="5"/>
        <v/>
      </c>
      <c r="U62" s="85">
        <f t="shared" si="6"/>
        <v>0</v>
      </c>
    </row>
    <row r="63">
      <c r="A63" s="85">
        <v>61.0</v>
      </c>
      <c r="B63" s="35"/>
      <c r="C63" s="65"/>
      <c r="D63" s="76"/>
      <c r="E63" s="93"/>
      <c r="F63" s="76"/>
      <c r="G63" s="93"/>
      <c r="H63" s="93"/>
      <c r="I63" s="93"/>
      <c r="J63" s="87" t="str">
        <f t="shared" si="1"/>
        <v/>
      </c>
      <c r="K63" s="93"/>
      <c r="L63" s="93"/>
      <c r="M63" s="93"/>
      <c r="N63" s="87" t="str">
        <f t="shared" si="2"/>
        <v/>
      </c>
      <c r="O63" s="93"/>
      <c r="P63" s="93"/>
      <c r="Q63" s="93"/>
      <c r="R63" s="87" t="str">
        <f t="shared" si="3"/>
        <v/>
      </c>
      <c r="S63" s="90" t="str">
        <f t="shared" si="4"/>
        <v/>
      </c>
      <c r="T63" s="91" t="str">
        <f t="shared" si="5"/>
        <v/>
      </c>
      <c r="U63" s="85">
        <f t="shared" si="6"/>
        <v>0</v>
      </c>
    </row>
    <row r="64">
      <c r="A64" s="85">
        <v>62.0</v>
      </c>
      <c r="B64" s="35"/>
      <c r="C64" s="65"/>
      <c r="D64" s="76"/>
      <c r="E64" s="93"/>
      <c r="F64" s="76"/>
      <c r="G64" s="93"/>
      <c r="H64" s="93"/>
      <c r="I64" s="93"/>
      <c r="J64" s="87" t="str">
        <f t="shared" si="1"/>
        <v/>
      </c>
      <c r="K64" s="93"/>
      <c r="L64" s="93"/>
      <c r="M64" s="93"/>
      <c r="N64" s="87" t="str">
        <f t="shared" si="2"/>
        <v/>
      </c>
      <c r="O64" s="93"/>
      <c r="P64" s="93"/>
      <c r="Q64" s="93"/>
      <c r="R64" s="87" t="str">
        <f t="shared" si="3"/>
        <v/>
      </c>
      <c r="S64" s="90" t="str">
        <f t="shared" si="4"/>
        <v/>
      </c>
      <c r="T64" s="91" t="str">
        <f t="shared" si="5"/>
        <v/>
      </c>
      <c r="U64" s="85">
        <f t="shared" si="6"/>
        <v>0</v>
      </c>
    </row>
    <row r="65">
      <c r="A65" s="85">
        <v>63.0</v>
      </c>
      <c r="B65" s="35"/>
      <c r="C65" s="65"/>
      <c r="D65" s="76"/>
      <c r="E65" s="93"/>
      <c r="F65" s="76"/>
      <c r="G65" s="93"/>
      <c r="H65" s="93"/>
      <c r="I65" s="93"/>
      <c r="J65" s="87" t="str">
        <f t="shared" si="1"/>
        <v/>
      </c>
      <c r="K65" s="93"/>
      <c r="L65" s="93"/>
      <c r="M65" s="93"/>
      <c r="N65" s="87" t="str">
        <f t="shared" si="2"/>
        <v/>
      </c>
      <c r="O65" s="93"/>
      <c r="P65" s="93"/>
      <c r="Q65" s="93"/>
      <c r="R65" s="87" t="str">
        <f t="shared" si="3"/>
        <v/>
      </c>
      <c r="S65" s="90" t="str">
        <f t="shared" si="4"/>
        <v/>
      </c>
      <c r="T65" s="91" t="str">
        <f t="shared" si="5"/>
        <v/>
      </c>
      <c r="U65" s="85">
        <f t="shared" si="6"/>
        <v>0</v>
      </c>
    </row>
    <row r="66">
      <c r="A66" s="85">
        <v>64.0</v>
      </c>
      <c r="B66" s="35"/>
      <c r="C66" s="65"/>
      <c r="D66" s="76"/>
      <c r="E66" s="93"/>
      <c r="F66" s="76"/>
      <c r="G66" s="93"/>
      <c r="H66" s="93"/>
      <c r="I66" s="93"/>
      <c r="J66" s="87" t="str">
        <f t="shared" si="1"/>
        <v/>
      </c>
      <c r="K66" s="93"/>
      <c r="L66" s="93"/>
      <c r="M66" s="93"/>
      <c r="N66" s="87" t="str">
        <f t="shared" si="2"/>
        <v/>
      </c>
      <c r="O66" s="93"/>
      <c r="P66" s="93"/>
      <c r="Q66" s="93"/>
      <c r="R66" s="87" t="str">
        <f t="shared" si="3"/>
        <v/>
      </c>
      <c r="S66" s="90" t="str">
        <f t="shared" si="4"/>
        <v/>
      </c>
      <c r="T66" s="91" t="str">
        <f t="shared" si="5"/>
        <v/>
      </c>
      <c r="U66" s="85">
        <f t="shared" si="6"/>
        <v>0</v>
      </c>
    </row>
    <row r="67">
      <c r="A67" s="85">
        <v>65.0</v>
      </c>
      <c r="B67" s="35"/>
      <c r="C67" s="65"/>
      <c r="D67" s="76"/>
      <c r="E67" s="93"/>
      <c r="F67" s="76"/>
      <c r="G67" s="93"/>
      <c r="H67" s="93"/>
      <c r="I67" s="93"/>
      <c r="J67" s="87" t="str">
        <f t="shared" si="1"/>
        <v/>
      </c>
      <c r="K67" s="93"/>
      <c r="L67" s="93"/>
      <c r="M67" s="93"/>
      <c r="N67" s="87" t="str">
        <f t="shared" si="2"/>
        <v/>
      </c>
      <c r="O67" s="93"/>
      <c r="P67" s="93"/>
      <c r="Q67" s="93"/>
      <c r="R67" s="87" t="str">
        <f t="shared" si="3"/>
        <v/>
      </c>
      <c r="S67" s="90" t="str">
        <f t="shared" si="4"/>
        <v/>
      </c>
      <c r="T67" s="91" t="str">
        <f t="shared" si="5"/>
        <v/>
      </c>
      <c r="U67" s="85">
        <f t="shared" si="6"/>
        <v>0</v>
      </c>
    </row>
    <row r="68">
      <c r="A68" s="85">
        <v>66.0</v>
      </c>
      <c r="B68" s="35"/>
      <c r="C68" s="65"/>
      <c r="D68" s="76"/>
      <c r="E68" s="93"/>
      <c r="F68" s="76"/>
      <c r="G68" s="93"/>
      <c r="H68" s="93"/>
      <c r="I68" s="93"/>
      <c r="J68" s="87" t="str">
        <f t="shared" si="1"/>
        <v/>
      </c>
      <c r="K68" s="93"/>
      <c r="L68" s="93"/>
      <c r="M68" s="93"/>
      <c r="N68" s="87" t="str">
        <f t="shared" si="2"/>
        <v/>
      </c>
      <c r="O68" s="93"/>
      <c r="P68" s="93"/>
      <c r="Q68" s="93"/>
      <c r="R68" s="87" t="str">
        <f t="shared" si="3"/>
        <v/>
      </c>
      <c r="S68" s="90" t="str">
        <f t="shared" si="4"/>
        <v/>
      </c>
      <c r="T68" s="91" t="str">
        <f t="shared" si="5"/>
        <v/>
      </c>
      <c r="U68" s="85">
        <f t="shared" si="6"/>
        <v>0</v>
      </c>
    </row>
    <row r="69">
      <c r="A69" s="85">
        <v>67.0</v>
      </c>
      <c r="B69" s="35"/>
      <c r="C69" s="65"/>
      <c r="D69" s="76"/>
      <c r="E69" s="93"/>
      <c r="F69" s="76"/>
      <c r="G69" s="93"/>
      <c r="H69" s="93"/>
      <c r="I69" s="93"/>
      <c r="J69" s="87" t="str">
        <f t="shared" si="1"/>
        <v/>
      </c>
      <c r="K69" s="93"/>
      <c r="L69" s="93"/>
      <c r="M69" s="93"/>
      <c r="N69" s="87" t="str">
        <f t="shared" si="2"/>
        <v/>
      </c>
      <c r="O69" s="93"/>
      <c r="P69" s="93"/>
      <c r="Q69" s="93"/>
      <c r="R69" s="87" t="str">
        <f t="shared" si="3"/>
        <v/>
      </c>
      <c r="S69" s="90" t="str">
        <f t="shared" si="4"/>
        <v/>
      </c>
      <c r="T69" s="91" t="str">
        <f t="shared" si="5"/>
        <v/>
      </c>
      <c r="U69" s="85">
        <f t="shared" si="6"/>
        <v>0</v>
      </c>
    </row>
    <row r="70">
      <c r="A70" s="85">
        <v>68.0</v>
      </c>
      <c r="B70" s="35"/>
      <c r="C70" s="65"/>
      <c r="D70" s="76"/>
      <c r="E70" s="93"/>
      <c r="F70" s="76"/>
      <c r="G70" s="93"/>
      <c r="H70" s="93"/>
      <c r="I70" s="93"/>
      <c r="J70" s="87" t="str">
        <f t="shared" si="1"/>
        <v/>
      </c>
      <c r="K70" s="93"/>
      <c r="L70" s="93"/>
      <c r="M70" s="93"/>
      <c r="N70" s="87" t="str">
        <f t="shared" si="2"/>
        <v/>
      </c>
      <c r="O70" s="93"/>
      <c r="P70" s="93"/>
      <c r="Q70" s="93"/>
      <c r="R70" s="87" t="str">
        <f t="shared" si="3"/>
        <v/>
      </c>
      <c r="S70" s="90" t="str">
        <f t="shared" si="4"/>
        <v/>
      </c>
      <c r="T70" s="91" t="str">
        <f t="shared" si="5"/>
        <v/>
      </c>
      <c r="U70" s="85">
        <f t="shared" si="6"/>
        <v>0</v>
      </c>
    </row>
    <row r="71">
      <c r="A71" s="85">
        <v>69.0</v>
      </c>
      <c r="B71" s="35"/>
      <c r="C71" s="65"/>
      <c r="D71" s="76"/>
      <c r="E71" s="93"/>
      <c r="F71" s="76"/>
      <c r="G71" s="93"/>
      <c r="H71" s="93"/>
      <c r="I71" s="93"/>
      <c r="J71" s="87" t="str">
        <f t="shared" si="1"/>
        <v/>
      </c>
      <c r="K71" s="93"/>
      <c r="L71" s="93"/>
      <c r="M71" s="93"/>
      <c r="N71" s="87" t="str">
        <f t="shared" si="2"/>
        <v/>
      </c>
      <c r="O71" s="93"/>
      <c r="P71" s="93"/>
      <c r="Q71" s="93"/>
      <c r="R71" s="87" t="str">
        <f t="shared" si="3"/>
        <v/>
      </c>
      <c r="S71" s="90" t="str">
        <f t="shared" si="4"/>
        <v/>
      </c>
      <c r="T71" s="91" t="str">
        <f t="shared" si="5"/>
        <v/>
      </c>
      <c r="U71" s="85">
        <f t="shared" si="6"/>
        <v>0</v>
      </c>
    </row>
    <row r="72">
      <c r="A72" s="85">
        <v>70.0</v>
      </c>
      <c r="B72" s="35"/>
      <c r="C72" s="65"/>
      <c r="D72" s="76"/>
      <c r="E72" s="93"/>
      <c r="F72" s="76"/>
      <c r="G72" s="93"/>
      <c r="H72" s="93"/>
      <c r="I72" s="93"/>
      <c r="J72" s="87" t="str">
        <f t="shared" si="1"/>
        <v/>
      </c>
      <c r="K72" s="93"/>
      <c r="L72" s="93"/>
      <c r="M72" s="93"/>
      <c r="N72" s="87" t="str">
        <f t="shared" si="2"/>
        <v/>
      </c>
      <c r="O72" s="93"/>
      <c r="P72" s="93"/>
      <c r="Q72" s="93"/>
      <c r="R72" s="87" t="str">
        <f t="shared" si="3"/>
        <v/>
      </c>
      <c r="S72" s="90" t="str">
        <f t="shared" si="4"/>
        <v/>
      </c>
      <c r="T72" s="91" t="str">
        <f t="shared" si="5"/>
        <v/>
      </c>
      <c r="U72" s="85">
        <f t="shared" si="6"/>
        <v>0</v>
      </c>
    </row>
    <row r="73">
      <c r="A73" s="85">
        <v>71.0</v>
      </c>
      <c r="B73" s="35"/>
      <c r="C73" s="65"/>
      <c r="D73" s="76"/>
      <c r="E73" s="93"/>
      <c r="F73" s="76"/>
      <c r="G73" s="93"/>
      <c r="H73" s="93"/>
      <c r="I73" s="93"/>
      <c r="J73" s="87" t="str">
        <f t="shared" si="1"/>
        <v/>
      </c>
      <c r="K73" s="93"/>
      <c r="L73" s="93"/>
      <c r="M73" s="93"/>
      <c r="N73" s="87" t="str">
        <f t="shared" si="2"/>
        <v/>
      </c>
      <c r="O73" s="93"/>
      <c r="P73" s="93"/>
      <c r="Q73" s="93"/>
      <c r="R73" s="87" t="str">
        <f t="shared" si="3"/>
        <v/>
      </c>
      <c r="S73" s="90" t="str">
        <f t="shared" si="4"/>
        <v/>
      </c>
      <c r="T73" s="91" t="str">
        <f t="shared" si="5"/>
        <v/>
      </c>
      <c r="U73" s="85">
        <f t="shared" si="6"/>
        <v>0</v>
      </c>
    </row>
    <row r="74">
      <c r="A74" s="85">
        <v>72.0</v>
      </c>
      <c r="B74" s="35"/>
      <c r="C74" s="65"/>
      <c r="D74" s="76"/>
      <c r="E74" s="93"/>
      <c r="F74" s="76"/>
      <c r="G74" s="93"/>
      <c r="H74" s="93"/>
      <c r="I74" s="93"/>
      <c r="J74" s="87" t="str">
        <f t="shared" si="1"/>
        <v/>
      </c>
      <c r="K74" s="93"/>
      <c r="L74" s="93"/>
      <c r="M74" s="93"/>
      <c r="N74" s="87" t="str">
        <f t="shared" si="2"/>
        <v/>
      </c>
      <c r="O74" s="93"/>
      <c r="P74" s="93"/>
      <c r="Q74" s="93"/>
      <c r="R74" s="87" t="str">
        <f t="shared" si="3"/>
        <v/>
      </c>
      <c r="S74" s="90" t="str">
        <f t="shared" si="4"/>
        <v/>
      </c>
      <c r="T74" s="91" t="str">
        <f t="shared" si="5"/>
        <v/>
      </c>
      <c r="U74" s="85">
        <f t="shared" si="6"/>
        <v>0</v>
      </c>
    </row>
    <row r="75">
      <c r="A75" s="85">
        <v>73.0</v>
      </c>
      <c r="B75" s="35"/>
      <c r="C75" s="65"/>
      <c r="D75" s="76"/>
      <c r="E75" s="93"/>
      <c r="F75" s="76"/>
      <c r="G75" s="93"/>
      <c r="H75" s="93"/>
      <c r="I75" s="93"/>
      <c r="J75" s="87" t="str">
        <f t="shared" si="1"/>
        <v/>
      </c>
      <c r="K75" s="93"/>
      <c r="L75" s="93"/>
      <c r="M75" s="93"/>
      <c r="N75" s="87" t="str">
        <f t="shared" si="2"/>
        <v/>
      </c>
      <c r="O75" s="93"/>
      <c r="P75" s="93"/>
      <c r="Q75" s="93"/>
      <c r="R75" s="87" t="str">
        <f t="shared" si="3"/>
        <v/>
      </c>
      <c r="S75" s="90" t="str">
        <f t="shared" si="4"/>
        <v/>
      </c>
      <c r="T75" s="91" t="str">
        <f t="shared" si="5"/>
        <v/>
      </c>
      <c r="U75" s="85">
        <f t="shared" si="6"/>
        <v>0</v>
      </c>
    </row>
    <row r="76">
      <c r="A76" s="85">
        <v>74.0</v>
      </c>
      <c r="B76" s="35"/>
      <c r="C76" s="65"/>
      <c r="D76" s="76"/>
      <c r="E76" s="93"/>
      <c r="F76" s="76"/>
      <c r="G76" s="93"/>
      <c r="H76" s="93"/>
      <c r="I76" s="93"/>
      <c r="J76" s="87" t="str">
        <f t="shared" si="1"/>
        <v/>
      </c>
      <c r="K76" s="93"/>
      <c r="L76" s="93"/>
      <c r="M76" s="93"/>
      <c r="N76" s="87" t="str">
        <f t="shared" si="2"/>
        <v/>
      </c>
      <c r="O76" s="93"/>
      <c r="P76" s="93"/>
      <c r="Q76" s="93"/>
      <c r="R76" s="87" t="str">
        <f t="shared" si="3"/>
        <v/>
      </c>
      <c r="S76" s="90" t="str">
        <f t="shared" si="4"/>
        <v/>
      </c>
      <c r="T76" s="91" t="str">
        <f t="shared" si="5"/>
        <v/>
      </c>
      <c r="U76" s="85">
        <f t="shared" si="6"/>
        <v>0</v>
      </c>
    </row>
    <row r="77">
      <c r="A77" s="85">
        <v>75.0</v>
      </c>
      <c r="B77" s="35"/>
      <c r="C77" s="65"/>
      <c r="D77" s="76"/>
      <c r="E77" s="93"/>
      <c r="F77" s="76"/>
      <c r="G77" s="93"/>
      <c r="H77" s="93"/>
      <c r="I77" s="93"/>
      <c r="J77" s="87" t="str">
        <f t="shared" si="1"/>
        <v/>
      </c>
      <c r="K77" s="93"/>
      <c r="L77" s="93"/>
      <c r="M77" s="93"/>
      <c r="N77" s="87" t="str">
        <f t="shared" si="2"/>
        <v/>
      </c>
      <c r="O77" s="93"/>
      <c r="P77" s="93"/>
      <c r="Q77" s="93"/>
      <c r="R77" s="87" t="str">
        <f t="shared" si="3"/>
        <v/>
      </c>
      <c r="S77" s="90" t="str">
        <f t="shared" si="4"/>
        <v/>
      </c>
      <c r="T77" s="91" t="str">
        <f t="shared" si="5"/>
        <v/>
      </c>
      <c r="U77" s="85">
        <f t="shared" si="6"/>
        <v>0</v>
      </c>
    </row>
  </sheetData>
  <autoFilter ref="$B$2:$T$77"/>
  <customSheetViews>
    <customSheetView guid="{B0C17AAF-6872-48F8-A58E-565BF6C8DB27}" filter="1" showAutoFilter="1">
      <autoFilter ref="$C$2:$T$52"/>
    </customSheetView>
  </customSheetViews>
  <mergeCells count="3">
    <mergeCell ref="K1:N1"/>
    <mergeCell ref="O1:R1"/>
    <mergeCell ref="G1:J1"/>
  </mergeCells>
  <conditionalFormatting sqref="G3:I77 K3:M77 O3:Q77">
    <cfRule type="endsWith" dxfId="2" priority="1" operator="endsWith" text="g">
      <formula>RIGHT((G3),LEN("g"))=("g")</formula>
    </cfRule>
  </conditionalFormatting>
  <conditionalFormatting sqref="G3:I77 K3:M77 O3:Q77">
    <cfRule type="endsWith" dxfId="1" priority="2" operator="endsWith" text="x">
      <formula>RIGHT((G3),LEN("x"))=("x")</formula>
    </cfRule>
  </conditionalFormatting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tabColor rgb="FF000000"/>
    <outlinePr summaryBelow="0" summaryRight="0"/>
  </sheetPr>
  <sheetViews>
    <sheetView workbookViewId="0">
      <pane xSplit="6.0" ySplit="2.0" topLeftCell="G3" activePane="bottomRight" state="frozen"/>
      <selection activeCell="G1" sqref="G1" pane="topRight"/>
      <selection activeCell="A3" sqref="A3" pane="bottomLeft"/>
      <selection activeCell="G3" sqref="G3" pane="bottomRight"/>
    </sheetView>
  </sheetViews>
  <sheetFormatPr customHeight="1" defaultColWidth="14.43" defaultRowHeight="15.75"/>
  <cols>
    <col customWidth="1" min="1" max="1" width="3.57"/>
    <col customWidth="1" min="2" max="2" width="10.0"/>
    <col customWidth="1" min="3" max="3" width="6.86"/>
    <col customWidth="1" min="4" max="4" width="14.71"/>
    <col customWidth="1" min="5" max="5" width="7.57"/>
    <col customWidth="1" min="6" max="6" width="18.29"/>
    <col customWidth="1" min="7" max="18" width="5.71"/>
    <col customWidth="1" min="19" max="19" width="9.86"/>
    <col customWidth="1" min="20" max="20" width="11.0"/>
    <col customWidth="1" hidden="1" min="21" max="21" width="11.0"/>
  </cols>
  <sheetData>
    <row r="1">
      <c r="A1" s="14"/>
      <c r="B1" s="16" t="s">
        <v>19</v>
      </c>
      <c r="C1" s="16" t="s">
        <v>135</v>
      </c>
      <c r="D1" s="57" t="s">
        <v>22</v>
      </c>
      <c r="E1" s="57" t="s">
        <v>23</v>
      </c>
      <c r="F1" s="57" t="s">
        <v>25</v>
      </c>
      <c r="G1" s="57" t="s">
        <v>115</v>
      </c>
      <c r="K1" s="57" t="s">
        <v>116</v>
      </c>
      <c r="O1" s="57" t="s">
        <v>117</v>
      </c>
      <c r="S1" s="57" t="s">
        <v>118</v>
      </c>
      <c r="T1" s="57" t="s">
        <v>119</v>
      </c>
      <c r="U1" s="57"/>
    </row>
    <row r="2">
      <c r="A2" s="81"/>
      <c r="B2" s="83" t="s">
        <v>19</v>
      </c>
      <c r="C2" s="83" t="s">
        <v>135</v>
      </c>
      <c r="D2" s="83" t="s">
        <v>22</v>
      </c>
      <c r="E2" s="84" t="s">
        <v>23</v>
      </c>
      <c r="F2" s="83" t="s">
        <v>25</v>
      </c>
      <c r="G2" s="83" t="s">
        <v>136</v>
      </c>
      <c r="H2" s="83" t="s">
        <v>137</v>
      </c>
      <c r="I2" s="83" t="s">
        <v>138</v>
      </c>
      <c r="J2" s="83" t="s">
        <v>139</v>
      </c>
      <c r="K2" s="83" t="s">
        <v>140</v>
      </c>
      <c r="L2" s="83" t="s">
        <v>141</v>
      </c>
      <c r="M2" s="83" t="s">
        <v>142</v>
      </c>
      <c r="N2" s="83" t="s">
        <v>143</v>
      </c>
      <c r="O2" s="83" t="s">
        <v>144</v>
      </c>
      <c r="P2" s="83" t="s">
        <v>145</v>
      </c>
      <c r="Q2" s="83" t="s">
        <v>146</v>
      </c>
      <c r="R2" s="83" t="s">
        <v>147</v>
      </c>
      <c r="S2" s="83"/>
      <c r="T2" s="84" t="s">
        <v>119</v>
      </c>
      <c r="U2" s="84"/>
    </row>
    <row r="3">
      <c r="A3" s="85">
        <v>1.0</v>
      </c>
      <c r="B3" s="35"/>
      <c r="C3" s="35"/>
      <c r="D3" s="86"/>
      <c r="E3" s="35"/>
      <c r="F3" s="86"/>
      <c r="G3" s="35"/>
      <c r="H3" s="85"/>
      <c r="I3" s="85"/>
      <c r="J3" s="87" t="str">
        <f t="shared" ref="J3:J77" si="1">IFERROR(__xludf.DUMMYFUNCTION("if(isblank(B3),,Max(if(right(G3,1)=""g"",split(G3,""g""),),if(right(H3,1)=""g"",split(H3,""g""),),if(right(I3,1)=""g"",split(I3,""g""),)))"),"")</f>
        <v/>
      </c>
      <c r="K3" s="35"/>
      <c r="L3" s="88"/>
      <c r="M3" s="88"/>
      <c r="N3" s="87" t="str">
        <f t="shared" ref="N3:N77" si="2">IFERROR(__xludf.DUMMYFUNCTION("if(isblank($B3),,Max(if(right(K3,1)=""g"",split(K3,""g""),),if(right(L3,1)=""g"",split(L3,""g""),),if(right(M3,1)=""g"",split(M3,""g""),)))"),"")</f>
        <v/>
      </c>
      <c r="O3" s="35"/>
      <c r="P3" s="88"/>
      <c r="Q3" s="88"/>
      <c r="R3" s="87" t="str">
        <f t="shared" ref="R3:R77" si="3">IFERROR(__xludf.DUMMYFUNCTION("if(isblank($B3),,Max(if(right(O3,1)=""g"",split(O3,""g""),),if(right(P3,1)=""g"",split(P3,""g""),),if(right(Q3,1)=""g"",split(Q3,""g""),)))"),"")</f>
        <v/>
      </c>
      <c r="S3" s="90" t="str">
        <f t="shared" ref="S3:S77" si="4">if(isblank(F3),,if(or(and(right(G3,1)="x",right(H3,1)="x",right(I3,1)="x"),and(right(K3,1)="x",right(L3,1)="x",right(M3,1)="x"),and(right(O3,1)="x",right(P3,1)="x",right(Q3,1)="x")),0,J3+N3+R3))</f>
        <v/>
      </c>
      <c r="T3" s="91" t="str">
        <f t="shared" ref="T3:T77" si="5">if(isblank(E3),,S3/E3)</f>
        <v/>
      </c>
      <c r="U3" s="85">
        <f t="shared" ref="U3:U77" si="6">countif(G3:Q3,"*g")</f>
        <v>0</v>
      </c>
    </row>
    <row r="4">
      <c r="A4" s="85">
        <v>2.0</v>
      </c>
      <c r="B4" s="35"/>
      <c r="C4" s="35"/>
      <c r="D4" s="86"/>
      <c r="E4" s="35"/>
      <c r="F4" s="86"/>
      <c r="G4" s="35"/>
      <c r="H4" s="85"/>
      <c r="I4" s="85"/>
      <c r="J4" s="87" t="str">
        <f t="shared" si="1"/>
        <v/>
      </c>
      <c r="K4" s="35"/>
      <c r="L4" s="88"/>
      <c r="M4" s="88"/>
      <c r="N4" s="87" t="str">
        <f t="shared" si="2"/>
        <v/>
      </c>
      <c r="O4" s="35"/>
      <c r="P4" s="88"/>
      <c r="Q4" s="88"/>
      <c r="R4" s="87" t="str">
        <f t="shared" si="3"/>
        <v/>
      </c>
      <c r="S4" s="90" t="str">
        <f t="shared" si="4"/>
        <v/>
      </c>
      <c r="T4" s="91" t="str">
        <f t="shared" si="5"/>
        <v/>
      </c>
      <c r="U4" s="85">
        <f t="shared" si="6"/>
        <v>0</v>
      </c>
    </row>
    <row r="5">
      <c r="A5" s="85">
        <v>3.0</v>
      </c>
      <c r="B5" s="35"/>
      <c r="C5" s="35"/>
      <c r="D5" s="86"/>
      <c r="E5" s="35"/>
      <c r="F5" s="86"/>
      <c r="G5" s="35"/>
      <c r="H5" s="85"/>
      <c r="I5" s="85"/>
      <c r="J5" s="87" t="str">
        <f t="shared" si="1"/>
        <v/>
      </c>
      <c r="K5" s="35"/>
      <c r="L5" s="88"/>
      <c r="M5" s="88"/>
      <c r="N5" s="87" t="str">
        <f t="shared" si="2"/>
        <v/>
      </c>
      <c r="O5" s="35"/>
      <c r="P5" s="88"/>
      <c r="Q5" s="88"/>
      <c r="R5" s="87" t="str">
        <f t="shared" si="3"/>
        <v/>
      </c>
      <c r="S5" s="90" t="str">
        <f t="shared" si="4"/>
        <v/>
      </c>
      <c r="T5" s="91" t="str">
        <f t="shared" si="5"/>
        <v/>
      </c>
      <c r="U5" s="85">
        <f t="shared" si="6"/>
        <v>0</v>
      </c>
    </row>
    <row r="6" ht="16.5" customHeight="1">
      <c r="A6" s="85">
        <v>4.0</v>
      </c>
      <c r="B6" s="35"/>
      <c r="C6" s="35"/>
      <c r="D6" s="86"/>
      <c r="E6" s="35"/>
      <c r="F6" s="86"/>
      <c r="G6" s="35"/>
      <c r="H6" s="85"/>
      <c r="I6" s="85"/>
      <c r="J6" s="87" t="str">
        <f t="shared" si="1"/>
        <v/>
      </c>
      <c r="K6" s="35"/>
      <c r="L6" s="88"/>
      <c r="M6" s="88"/>
      <c r="N6" s="87" t="str">
        <f t="shared" si="2"/>
        <v/>
      </c>
      <c r="O6" s="35"/>
      <c r="P6" s="88"/>
      <c r="Q6" s="88"/>
      <c r="R6" s="87" t="str">
        <f t="shared" si="3"/>
        <v/>
      </c>
      <c r="S6" s="90" t="str">
        <f t="shared" si="4"/>
        <v/>
      </c>
      <c r="T6" s="91" t="str">
        <f t="shared" si="5"/>
        <v/>
      </c>
      <c r="U6" s="85">
        <f t="shared" si="6"/>
        <v>0</v>
      </c>
    </row>
    <row r="7">
      <c r="A7" s="85">
        <v>5.0</v>
      </c>
      <c r="B7" s="35"/>
      <c r="C7" s="35"/>
      <c r="D7" s="86"/>
      <c r="E7" s="35"/>
      <c r="F7" s="86"/>
      <c r="G7" s="35"/>
      <c r="H7" s="85"/>
      <c r="I7" s="85"/>
      <c r="J7" s="87" t="str">
        <f t="shared" si="1"/>
        <v/>
      </c>
      <c r="K7" s="35"/>
      <c r="L7" s="88"/>
      <c r="M7" s="88"/>
      <c r="N7" s="87" t="str">
        <f t="shared" si="2"/>
        <v/>
      </c>
      <c r="O7" s="35"/>
      <c r="P7" s="88"/>
      <c r="Q7" s="88"/>
      <c r="R7" s="87" t="str">
        <f t="shared" si="3"/>
        <v/>
      </c>
      <c r="S7" s="90" t="str">
        <f t="shared" si="4"/>
        <v/>
      </c>
      <c r="T7" s="91" t="str">
        <f t="shared" si="5"/>
        <v/>
      </c>
      <c r="U7" s="85">
        <f t="shared" si="6"/>
        <v>0</v>
      </c>
    </row>
    <row r="8">
      <c r="A8" s="85">
        <v>6.0</v>
      </c>
      <c r="B8" s="35"/>
      <c r="C8" s="35"/>
      <c r="D8" s="86"/>
      <c r="E8" s="35"/>
      <c r="F8" s="86"/>
      <c r="G8" s="35"/>
      <c r="H8" s="85"/>
      <c r="I8" s="89"/>
      <c r="J8" s="87" t="str">
        <f t="shared" si="1"/>
        <v/>
      </c>
      <c r="K8" s="35"/>
      <c r="L8" s="88"/>
      <c r="M8" s="88"/>
      <c r="N8" s="87" t="str">
        <f t="shared" si="2"/>
        <v/>
      </c>
      <c r="O8" s="35"/>
      <c r="P8" s="88"/>
      <c r="Q8" s="88"/>
      <c r="R8" s="87" t="str">
        <f t="shared" si="3"/>
        <v/>
      </c>
      <c r="S8" s="90" t="str">
        <f t="shared" si="4"/>
        <v/>
      </c>
      <c r="T8" s="91" t="str">
        <f t="shared" si="5"/>
        <v/>
      </c>
      <c r="U8" s="85">
        <f t="shared" si="6"/>
        <v>0</v>
      </c>
    </row>
    <row r="9">
      <c r="A9" s="85">
        <v>7.0</v>
      </c>
      <c r="B9" s="35"/>
      <c r="C9" s="35"/>
      <c r="D9" s="86"/>
      <c r="E9" s="35"/>
      <c r="F9" s="86"/>
      <c r="G9" s="35"/>
      <c r="H9" s="85"/>
      <c r="I9" s="85"/>
      <c r="J9" s="87" t="str">
        <f t="shared" si="1"/>
        <v/>
      </c>
      <c r="K9" s="35"/>
      <c r="L9" s="88"/>
      <c r="M9" s="88"/>
      <c r="N9" s="87" t="str">
        <f t="shared" si="2"/>
        <v/>
      </c>
      <c r="O9" s="35"/>
      <c r="P9" s="88"/>
      <c r="Q9" s="88"/>
      <c r="R9" s="87" t="str">
        <f t="shared" si="3"/>
        <v/>
      </c>
      <c r="S9" s="90" t="str">
        <f t="shared" si="4"/>
        <v/>
      </c>
      <c r="T9" s="91" t="str">
        <f t="shared" si="5"/>
        <v/>
      </c>
      <c r="U9" s="85">
        <f t="shared" si="6"/>
        <v>0</v>
      </c>
    </row>
    <row r="10">
      <c r="A10" s="85">
        <v>8.0</v>
      </c>
      <c r="B10" s="35"/>
      <c r="C10" s="35"/>
      <c r="D10" s="86"/>
      <c r="E10" s="85"/>
      <c r="F10" s="86"/>
      <c r="G10" s="35"/>
      <c r="H10" s="85"/>
      <c r="I10" s="85"/>
      <c r="J10" s="87" t="str">
        <f t="shared" si="1"/>
        <v/>
      </c>
      <c r="K10" s="35"/>
      <c r="L10" s="88"/>
      <c r="M10" s="88"/>
      <c r="N10" s="87" t="str">
        <f t="shared" si="2"/>
        <v/>
      </c>
      <c r="O10" s="35"/>
      <c r="P10" s="88"/>
      <c r="Q10" s="88"/>
      <c r="R10" s="87" t="str">
        <f t="shared" si="3"/>
        <v/>
      </c>
      <c r="S10" s="90" t="str">
        <f t="shared" si="4"/>
        <v/>
      </c>
      <c r="T10" s="91" t="str">
        <f t="shared" si="5"/>
        <v/>
      </c>
      <c r="U10" s="85">
        <f t="shared" si="6"/>
        <v>0</v>
      </c>
    </row>
    <row r="11">
      <c r="A11" s="85">
        <v>9.0</v>
      </c>
      <c r="B11" s="35"/>
      <c r="C11" s="35"/>
      <c r="D11" s="86"/>
      <c r="E11" s="35"/>
      <c r="F11" s="86"/>
      <c r="G11" s="35"/>
      <c r="H11" s="85"/>
      <c r="I11" s="85"/>
      <c r="J11" s="87" t="str">
        <f t="shared" si="1"/>
        <v/>
      </c>
      <c r="K11" s="35"/>
      <c r="L11" s="88"/>
      <c r="M11" s="88"/>
      <c r="N11" s="87" t="str">
        <f t="shared" si="2"/>
        <v/>
      </c>
      <c r="O11" s="35"/>
      <c r="P11" s="88"/>
      <c r="Q11" s="88"/>
      <c r="R11" s="87" t="str">
        <f t="shared" si="3"/>
        <v/>
      </c>
      <c r="S11" s="90" t="str">
        <f t="shared" si="4"/>
        <v/>
      </c>
      <c r="T11" s="91" t="str">
        <f t="shared" si="5"/>
        <v/>
      </c>
      <c r="U11" s="85">
        <f t="shared" si="6"/>
        <v>0</v>
      </c>
    </row>
    <row r="12">
      <c r="A12" s="85">
        <v>10.0</v>
      </c>
      <c r="B12" s="35"/>
      <c r="C12" s="35"/>
      <c r="D12" s="86"/>
      <c r="E12" s="35"/>
      <c r="F12" s="86"/>
      <c r="G12" s="35"/>
      <c r="H12" s="85"/>
      <c r="I12" s="85"/>
      <c r="J12" s="87" t="str">
        <f t="shared" si="1"/>
        <v/>
      </c>
      <c r="K12" s="35"/>
      <c r="L12" s="88"/>
      <c r="M12" s="85"/>
      <c r="N12" s="87" t="str">
        <f t="shared" si="2"/>
        <v/>
      </c>
      <c r="O12" s="35"/>
      <c r="P12" s="88"/>
      <c r="Q12" s="85"/>
      <c r="R12" s="87" t="str">
        <f t="shared" si="3"/>
        <v/>
      </c>
      <c r="S12" s="90" t="str">
        <f t="shared" si="4"/>
        <v/>
      </c>
      <c r="T12" s="91" t="str">
        <f t="shared" si="5"/>
        <v/>
      </c>
      <c r="U12" s="85">
        <f t="shared" si="6"/>
        <v>0</v>
      </c>
    </row>
    <row r="13">
      <c r="A13" s="85">
        <v>11.0</v>
      </c>
      <c r="B13" s="35"/>
      <c r="C13" s="35"/>
      <c r="D13" s="86"/>
      <c r="E13" s="35"/>
      <c r="F13" s="86"/>
      <c r="G13" s="35"/>
      <c r="H13" s="85"/>
      <c r="I13" s="85"/>
      <c r="J13" s="87" t="str">
        <f t="shared" si="1"/>
        <v/>
      </c>
      <c r="K13" s="35"/>
      <c r="L13" s="88"/>
      <c r="M13" s="88"/>
      <c r="N13" s="87" t="str">
        <f t="shared" si="2"/>
        <v/>
      </c>
      <c r="O13" s="35"/>
      <c r="P13" s="88"/>
      <c r="Q13" s="88"/>
      <c r="R13" s="87" t="str">
        <f t="shared" si="3"/>
        <v/>
      </c>
      <c r="S13" s="90" t="str">
        <f t="shared" si="4"/>
        <v/>
      </c>
      <c r="T13" s="91" t="str">
        <f t="shared" si="5"/>
        <v/>
      </c>
      <c r="U13" s="85">
        <f t="shared" si="6"/>
        <v>0</v>
      </c>
    </row>
    <row r="14">
      <c r="A14" s="85">
        <v>12.0</v>
      </c>
      <c r="B14" s="35"/>
      <c r="C14" s="35"/>
      <c r="D14" s="86"/>
      <c r="E14" s="35"/>
      <c r="F14" s="86"/>
      <c r="G14" s="35"/>
      <c r="H14" s="85"/>
      <c r="I14" s="85"/>
      <c r="J14" s="87" t="str">
        <f t="shared" si="1"/>
        <v/>
      </c>
      <c r="K14" s="35"/>
      <c r="L14" s="88"/>
      <c r="M14" s="88"/>
      <c r="N14" s="87" t="str">
        <f t="shared" si="2"/>
        <v/>
      </c>
      <c r="O14" s="35"/>
      <c r="P14" s="88"/>
      <c r="Q14" s="88"/>
      <c r="R14" s="87" t="str">
        <f t="shared" si="3"/>
        <v/>
      </c>
      <c r="S14" s="90" t="str">
        <f t="shared" si="4"/>
        <v/>
      </c>
      <c r="T14" s="91" t="str">
        <f t="shared" si="5"/>
        <v/>
      </c>
      <c r="U14" s="85">
        <f t="shared" si="6"/>
        <v>0</v>
      </c>
    </row>
    <row r="15">
      <c r="A15" s="85">
        <v>13.0</v>
      </c>
      <c r="B15" s="35"/>
      <c r="C15" s="35"/>
      <c r="D15" s="86"/>
      <c r="E15" s="35"/>
      <c r="F15" s="86"/>
      <c r="G15" s="35"/>
      <c r="H15" s="85"/>
      <c r="I15" s="85"/>
      <c r="J15" s="87" t="str">
        <f t="shared" si="1"/>
        <v/>
      </c>
      <c r="K15" s="35"/>
      <c r="L15" s="88"/>
      <c r="M15" s="88"/>
      <c r="N15" s="87" t="str">
        <f t="shared" si="2"/>
        <v/>
      </c>
      <c r="O15" s="35"/>
      <c r="P15" s="88"/>
      <c r="Q15" s="88"/>
      <c r="R15" s="87" t="str">
        <f t="shared" si="3"/>
        <v/>
      </c>
      <c r="S15" s="90" t="str">
        <f t="shared" si="4"/>
        <v/>
      </c>
      <c r="T15" s="91" t="str">
        <f t="shared" si="5"/>
        <v/>
      </c>
      <c r="U15" s="85">
        <f t="shared" si="6"/>
        <v>0</v>
      </c>
    </row>
    <row r="16">
      <c r="A16" s="85">
        <v>14.0</v>
      </c>
      <c r="B16" s="35"/>
      <c r="C16" s="35"/>
      <c r="D16" s="86"/>
      <c r="E16" s="35"/>
      <c r="F16" s="86"/>
      <c r="G16" s="35"/>
      <c r="H16" s="85"/>
      <c r="I16" s="85"/>
      <c r="J16" s="87" t="str">
        <f t="shared" si="1"/>
        <v/>
      </c>
      <c r="K16" s="35"/>
      <c r="L16" s="88"/>
      <c r="M16" s="88"/>
      <c r="N16" s="87" t="str">
        <f t="shared" si="2"/>
        <v/>
      </c>
      <c r="O16" s="35"/>
      <c r="P16" s="88"/>
      <c r="Q16" s="88"/>
      <c r="R16" s="87" t="str">
        <f t="shared" si="3"/>
        <v/>
      </c>
      <c r="S16" s="90" t="str">
        <f t="shared" si="4"/>
        <v/>
      </c>
      <c r="T16" s="91" t="str">
        <f t="shared" si="5"/>
        <v/>
      </c>
      <c r="U16" s="85">
        <f t="shared" si="6"/>
        <v>0</v>
      </c>
    </row>
    <row r="17">
      <c r="A17" s="85">
        <v>15.0</v>
      </c>
      <c r="B17" s="35"/>
      <c r="C17" s="35"/>
      <c r="D17" s="86"/>
      <c r="E17" s="35"/>
      <c r="F17" s="86"/>
      <c r="G17" s="35"/>
      <c r="H17" s="85"/>
      <c r="I17" s="85"/>
      <c r="J17" s="87" t="str">
        <f t="shared" si="1"/>
        <v/>
      </c>
      <c r="K17" s="35"/>
      <c r="L17" s="88"/>
      <c r="M17" s="88"/>
      <c r="N17" s="87" t="str">
        <f t="shared" si="2"/>
        <v/>
      </c>
      <c r="O17" s="35"/>
      <c r="P17" s="88"/>
      <c r="Q17" s="88"/>
      <c r="R17" s="87" t="str">
        <f t="shared" si="3"/>
        <v/>
      </c>
      <c r="S17" s="90" t="str">
        <f t="shared" si="4"/>
        <v/>
      </c>
      <c r="T17" s="91" t="str">
        <f t="shared" si="5"/>
        <v/>
      </c>
      <c r="U17" s="85">
        <f t="shared" si="6"/>
        <v>0</v>
      </c>
    </row>
    <row r="18">
      <c r="A18" s="85">
        <v>16.0</v>
      </c>
      <c r="B18" s="35"/>
      <c r="C18" s="35"/>
      <c r="D18" s="86"/>
      <c r="E18" s="35"/>
      <c r="F18" s="86"/>
      <c r="G18" s="35"/>
      <c r="H18" s="85"/>
      <c r="I18" s="85"/>
      <c r="J18" s="87" t="str">
        <f t="shared" si="1"/>
        <v/>
      </c>
      <c r="K18" s="35"/>
      <c r="L18" s="88"/>
      <c r="M18" s="88"/>
      <c r="N18" s="87" t="str">
        <f t="shared" si="2"/>
        <v/>
      </c>
      <c r="O18" s="35"/>
      <c r="P18" s="88"/>
      <c r="Q18" s="88"/>
      <c r="R18" s="87" t="str">
        <f t="shared" si="3"/>
        <v/>
      </c>
      <c r="S18" s="90" t="str">
        <f t="shared" si="4"/>
        <v/>
      </c>
      <c r="T18" s="91" t="str">
        <f t="shared" si="5"/>
        <v/>
      </c>
      <c r="U18" s="85">
        <f t="shared" si="6"/>
        <v>0</v>
      </c>
    </row>
    <row r="19">
      <c r="A19" s="85">
        <v>17.0</v>
      </c>
      <c r="B19" s="35"/>
      <c r="C19" s="35"/>
      <c r="D19" s="86"/>
      <c r="E19" s="35"/>
      <c r="F19" s="86"/>
      <c r="G19" s="35"/>
      <c r="H19" s="85"/>
      <c r="I19" s="85"/>
      <c r="J19" s="87" t="str">
        <f t="shared" si="1"/>
        <v/>
      </c>
      <c r="K19" s="35"/>
      <c r="L19" s="88"/>
      <c r="M19" s="85"/>
      <c r="N19" s="87" t="str">
        <f t="shared" si="2"/>
        <v/>
      </c>
      <c r="O19" s="35"/>
      <c r="P19" s="88"/>
      <c r="Q19" s="85"/>
      <c r="R19" s="87" t="str">
        <f t="shared" si="3"/>
        <v/>
      </c>
      <c r="S19" s="90" t="str">
        <f t="shared" si="4"/>
        <v/>
      </c>
      <c r="T19" s="91" t="str">
        <f t="shared" si="5"/>
        <v/>
      </c>
      <c r="U19" s="85">
        <f t="shared" si="6"/>
        <v>0</v>
      </c>
    </row>
    <row r="20">
      <c r="A20" s="85">
        <v>18.0</v>
      </c>
      <c r="B20" s="35"/>
      <c r="C20" s="35"/>
      <c r="D20" s="86"/>
      <c r="E20" s="85"/>
      <c r="F20" s="86"/>
      <c r="G20" s="35"/>
      <c r="H20" s="85"/>
      <c r="I20" s="85"/>
      <c r="J20" s="87" t="str">
        <f t="shared" si="1"/>
        <v/>
      </c>
      <c r="K20" s="35"/>
      <c r="L20" s="88"/>
      <c r="M20" s="89"/>
      <c r="N20" s="87" t="str">
        <f t="shared" si="2"/>
        <v/>
      </c>
      <c r="O20" s="35"/>
      <c r="P20" s="88"/>
      <c r="Q20" s="88"/>
      <c r="R20" s="87" t="str">
        <f t="shared" si="3"/>
        <v/>
      </c>
      <c r="S20" s="90" t="str">
        <f t="shared" si="4"/>
        <v/>
      </c>
      <c r="T20" s="91" t="str">
        <f t="shared" si="5"/>
        <v/>
      </c>
      <c r="U20" s="85">
        <f t="shared" si="6"/>
        <v>0</v>
      </c>
    </row>
    <row r="21">
      <c r="A21" s="85">
        <v>19.0</v>
      </c>
      <c r="B21" s="35"/>
      <c r="C21" s="35"/>
      <c r="D21" s="86"/>
      <c r="E21" s="35"/>
      <c r="F21" s="86"/>
      <c r="G21" s="35"/>
      <c r="H21" s="85"/>
      <c r="I21" s="85"/>
      <c r="J21" s="87" t="str">
        <f t="shared" si="1"/>
        <v/>
      </c>
      <c r="K21" s="35"/>
      <c r="L21" s="88"/>
      <c r="M21" s="85"/>
      <c r="N21" s="87" t="str">
        <f t="shared" si="2"/>
        <v/>
      </c>
      <c r="O21" s="35"/>
      <c r="P21" s="88"/>
      <c r="Q21" s="85"/>
      <c r="R21" s="87" t="str">
        <f t="shared" si="3"/>
        <v/>
      </c>
      <c r="S21" s="90" t="str">
        <f t="shared" si="4"/>
        <v/>
      </c>
      <c r="T21" s="91" t="str">
        <f t="shared" si="5"/>
        <v/>
      </c>
      <c r="U21" s="85">
        <f t="shared" si="6"/>
        <v>0</v>
      </c>
    </row>
    <row r="22">
      <c r="A22" s="85">
        <v>20.0</v>
      </c>
      <c r="B22" s="35"/>
      <c r="C22" s="35"/>
      <c r="D22" s="86"/>
      <c r="E22" s="35"/>
      <c r="F22" s="86"/>
      <c r="G22" s="35"/>
      <c r="H22" s="85"/>
      <c r="I22" s="85"/>
      <c r="J22" s="87" t="str">
        <f t="shared" si="1"/>
        <v/>
      </c>
      <c r="K22" s="35"/>
      <c r="L22" s="88"/>
      <c r="M22" s="88"/>
      <c r="N22" s="87" t="str">
        <f t="shared" si="2"/>
        <v/>
      </c>
      <c r="O22" s="35"/>
      <c r="P22" s="88"/>
      <c r="Q22" s="88"/>
      <c r="R22" s="87" t="str">
        <f t="shared" si="3"/>
        <v/>
      </c>
      <c r="S22" s="90" t="str">
        <f t="shared" si="4"/>
        <v/>
      </c>
      <c r="T22" s="91" t="str">
        <f t="shared" si="5"/>
        <v/>
      </c>
      <c r="U22" s="85">
        <f t="shared" si="6"/>
        <v>0</v>
      </c>
    </row>
    <row r="23">
      <c r="A23" s="85">
        <v>21.0</v>
      </c>
      <c r="B23" s="35"/>
      <c r="C23" s="35"/>
      <c r="D23" s="86"/>
      <c r="E23" s="35"/>
      <c r="F23" s="86"/>
      <c r="G23" s="35"/>
      <c r="H23" s="85"/>
      <c r="I23" s="85"/>
      <c r="J23" s="87" t="str">
        <f t="shared" si="1"/>
        <v/>
      </c>
      <c r="K23" s="35"/>
      <c r="L23" s="88"/>
      <c r="M23" s="88"/>
      <c r="N23" s="87" t="str">
        <f t="shared" si="2"/>
        <v/>
      </c>
      <c r="O23" s="35"/>
      <c r="P23" s="88"/>
      <c r="Q23" s="88"/>
      <c r="R23" s="87" t="str">
        <f t="shared" si="3"/>
        <v/>
      </c>
      <c r="S23" s="90" t="str">
        <f t="shared" si="4"/>
        <v/>
      </c>
      <c r="T23" s="91" t="str">
        <f t="shared" si="5"/>
        <v/>
      </c>
      <c r="U23" s="85">
        <f t="shared" si="6"/>
        <v>0</v>
      </c>
    </row>
    <row r="24">
      <c r="A24" s="85">
        <v>22.0</v>
      </c>
      <c r="B24" s="35"/>
      <c r="C24" s="35"/>
      <c r="D24" s="86"/>
      <c r="E24" s="35"/>
      <c r="F24" s="86"/>
      <c r="G24" s="35"/>
      <c r="H24" s="85"/>
      <c r="I24" s="85"/>
      <c r="J24" s="87" t="str">
        <f t="shared" si="1"/>
        <v/>
      </c>
      <c r="K24" s="35"/>
      <c r="L24" s="88"/>
      <c r="M24" s="88"/>
      <c r="N24" s="87" t="str">
        <f t="shared" si="2"/>
        <v/>
      </c>
      <c r="O24" s="35"/>
      <c r="P24" s="88"/>
      <c r="Q24" s="88"/>
      <c r="R24" s="87" t="str">
        <f t="shared" si="3"/>
        <v/>
      </c>
      <c r="S24" s="90" t="str">
        <f t="shared" si="4"/>
        <v/>
      </c>
      <c r="T24" s="91" t="str">
        <f t="shared" si="5"/>
        <v/>
      </c>
      <c r="U24" s="85">
        <f t="shared" si="6"/>
        <v>0</v>
      </c>
    </row>
    <row r="25">
      <c r="A25" s="85">
        <v>23.0</v>
      </c>
      <c r="B25" s="35"/>
      <c r="C25" s="35"/>
      <c r="D25" s="86"/>
      <c r="E25" s="35"/>
      <c r="F25" s="86"/>
      <c r="G25" s="35"/>
      <c r="H25" s="85"/>
      <c r="I25" s="85"/>
      <c r="J25" s="87" t="str">
        <f t="shared" si="1"/>
        <v/>
      </c>
      <c r="K25" s="35"/>
      <c r="L25" s="88"/>
      <c r="M25" s="88"/>
      <c r="N25" s="87" t="str">
        <f t="shared" si="2"/>
        <v/>
      </c>
      <c r="O25" s="35"/>
      <c r="P25" s="88"/>
      <c r="Q25" s="88"/>
      <c r="R25" s="87" t="str">
        <f t="shared" si="3"/>
        <v/>
      </c>
      <c r="S25" s="90" t="str">
        <f t="shared" si="4"/>
        <v/>
      </c>
      <c r="T25" s="91" t="str">
        <f t="shared" si="5"/>
        <v/>
      </c>
      <c r="U25" s="85">
        <f t="shared" si="6"/>
        <v>0</v>
      </c>
    </row>
    <row r="26">
      <c r="A26" s="85">
        <v>24.0</v>
      </c>
      <c r="B26" s="35"/>
      <c r="C26" s="65"/>
      <c r="D26" s="76"/>
      <c r="E26" s="93"/>
      <c r="F26" s="76"/>
      <c r="G26" s="93"/>
      <c r="H26" s="93"/>
      <c r="I26" s="93"/>
      <c r="J26" s="87" t="str">
        <f t="shared" si="1"/>
        <v/>
      </c>
      <c r="K26" s="93"/>
      <c r="L26" s="93"/>
      <c r="M26" s="93"/>
      <c r="N26" s="87" t="str">
        <f t="shared" si="2"/>
        <v/>
      </c>
      <c r="O26" s="93"/>
      <c r="P26" s="93"/>
      <c r="Q26" s="93"/>
      <c r="R26" s="87" t="str">
        <f t="shared" si="3"/>
        <v/>
      </c>
      <c r="S26" s="90" t="str">
        <f t="shared" si="4"/>
        <v/>
      </c>
      <c r="T26" s="91" t="str">
        <f t="shared" si="5"/>
        <v/>
      </c>
      <c r="U26" s="85">
        <f t="shared" si="6"/>
        <v>0</v>
      </c>
    </row>
    <row r="27">
      <c r="A27" s="85">
        <v>25.0</v>
      </c>
      <c r="B27" s="35"/>
      <c r="C27" s="65"/>
      <c r="D27" s="76"/>
      <c r="E27" s="93"/>
      <c r="F27" s="76"/>
      <c r="G27" s="93"/>
      <c r="H27" s="93"/>
      <c r="I27" s="93"/>
      <c r="J27" s="87" t="str">
        <f t="shared" si="1"/>
        <v/>
      </c>
      <c r="K27" s="93"/>
      <c r="L27" s="93"/>
      <c r="M27" s="93"/>
      <c r="N27" s="87" t="str">
        <f t="shared" si="2"/>
        <v/>
      </c>
      <c r="O27" s="93"/>
      <c r="P27" s="93"/>
      <c r="Q27" s="93"/>
      <c r="R27" s="87" t="str">
        <f t="shared" si="3"/>
        <v/>
      </c>
      <c r="S27" s="90" t="str">
        <f t="shared" si="4"/>
        <v/>
      </c>
      <c r="T27" s="91" t="str">
        <f t="shared" si="5"/>
        <v/>
      </c>
      <c r="U27" s="85">
        <f t="shared" si="6"/>
        <v>0</v>
      </c>
    </row>
    <row r="28">
      <c r="A28" s="85">
        <v>26.0</v>
      </c>
      <c r="B28" s="35"/>
      <c r="C28" s="65"/>
      <c r="D28" s="76"/>
      <c r="E28" s="93"/>
      <c r="F28" s="76"/>
      <c r="G28" s="93"/>
      <c r="H28" s="93"/>
      <c r="I28" s="93"/>
      <c r="J28" s="87" t="str">
        <f t="shared" si="1"/>
        <v/>
      </c>
      <c r="K28" s="93"/>
      <c r="L28" s="93"/>
      <c r="M28" s="93"/>
      <c r="N28" s="87" t="str">
        <f t="shared" si="2"/>
        <v/>
      </c>
      <c r="O28" s="93"/>
      <c r="P28" s="93"/>
      <c r="Q28" s="93"/>
      <c r="R28" s="87" t="str">
        <f t="shared" si="3"/>
        <v/>
      </c>
      <c r="S28" s="90" t="str">
        <f t="shared" si="4"/>
        <v/>
      </c>
      <c r="T28" s="91" t="str">
        <f t="shared" si="5"/>
        <v/>
      </c>
      <c r="U28" s="85">
        <f t="shared" si="6"/>
        <v>0</v>
      </c>
    </row>
    <row r="29">
      <c r="A29" s="85">
        <v>27.0</v>
      </c>
      <c r="B29" s="35"/>
      <c r="C29" s="65"/>
      <c r="D29" s="76"/>
      <c r="E29" s="93"/>
      <c r="F29" s="76"/>
      <c r="G29" s="93"/>
      <c r="H29" s="93"/>
      <c r="I29" s="93"/>
      <c r="J29" s="87" t="str">
        <f t="shared" si="1"/>
        <v/>
      </c>
      <c r="K29" s="93"/>
      <c r="L29" s="93"/>
      <c r="M29" s="93"/>
      <c r="N29" s="87" t="str">
        <f t="shared" si="2"/>
        <v/>
      </c>
      <c r="O29" s="93"/>
      <c r="P29" s="93"/>
      <c r="Q29" s="93"/>
      <c r="R29" s="87" t="str">
        <f t="shared" si="3"/>
        <v/>
      </c>
      <c r="S29" s="90" t="str">
        <f t="shared" si="4"/>
        <v/>
      </c>
      <c r="T29" s="91" t="str">
        <f t="shared" si="5"/>
        <v/>
      </c>
      <c r="U29" s="85">
        <f t="shared" si="6"/>
        <v>0</v>
      </c>
    </row>
    <row r="30">
      <c r="A30" s="85">
        <v>28.0</v>
      </c>
      <c r="B30" s="35"/>
      <c r="C30" s="65"/>
      <c r="D30" s="76"/>
      <c r="E30" s="93"/>
      <c r="F30" s="76"/>
      <c r="G30" s="93"/>
      <c r="H30" s="93"/>
      <c r="I30" s="93"/>
      <c r="J30" s="87" t="str">
        <f t="shared" si="1"/>
        <v/>
      </c>
      <c r="K30" s="93"/>
      <c r="L30" s="93"/>
      <c r="M30" s="93"/>
      <c r="N30" s="87" t="str">
        <f t="shared" si="2"/>
        <v/>
      </c>
      <c r="O30" s="93"/>
      <c r="P30" s="93"/>
      <c r="Q30" s="93"/>
      <c r="R30" s="87" t="str">
        <f t="shared" si="3"/>
        <v/>
      </c>
      <c r="S30" s="90" t="str">
        <f t="shared" si="4"/>
        <v/>
      </c>
      <c r="T30" s="91" t="str">
        <f t="shared" si="5"/>
        <v/>
      </c>
      <c r="U30" s="85">
        <f t="shared" si="6"/>
        <v>0</v>
      </c>
    </row>
    <row r="31">
      <c r="A31" s="85">
        <v>29.0</v>
      </c>
      <c r="B31" s="35"/>
      <c r="C31" s="65"/>
      <c r="D31" s="76"/>
      <c r="E31" s="93"/>
      <c r="F31" s="76"/>
      <c r="G31" s="93"/>
      <c r="H31" s="93"/>
      <c r="I31" s="93"/>
      <c r="J31" s="87" t="str">
        <f t="shared" si="1"/>
        <v/>
      </c>
      <c r="K31" s="93"/>
      <c r="L31" s="93"/>
      <c r="M31" s="93"/>
      <c r="N31" s="87" t="str">
        <f t="shared" si="2"/>
        <v/>
      </c>
      <c r="O31" s="93"/>
      <c r="P31" s="93"/>
      <c r="Q31" s="93"/>
      <c r="R31" s="87" t="str">
        <f t="shared" si="3"/>
        <v/>
      </c>
      <c r="S31" s="90" t="str">
        <f t="shared" si="4"/>
        <v/>
      </c>
      <c r="T31" s="91" t="str">
        <f t="shared" si="5"/>
        <v/>
      </c>
      <c r="U31" s="85">
        <f t="shared" si="6"/>
        <v>0</v>
      </c>
    </row>
    <row r="32">
      <c r="A32" s="85">
        <v>30.0</v>
      </c>
      <c r="B32" s="35"/>
      <c r="C32" s="65"/>
      <c r="D32" s="76"/>
      <c r="E32" s="93"/>
      <c r="F32" s="76"/>
      <c r="G32" s="93"/>
      <c r="H32" s="93"/>
      <c r="I32" s="93"/>
      <c r="J32" s="87" t="str">
        <f t="shared" si="1"/>
        <v/>
      </c>
      <c r="K32" s="93"/>
      <c r="L32" s="93"/>
      <c r="M32" s="93"/>
      <c r="N32" s="87" t="str">
        <f t="shared" si="2"/>
        <v/>
      </c>
      <c r="O32" s="93"/>
      <c r="P32" s="93"/>
      <c r="Q32" s="93"/>
      <c r="R32" s="87" t="str">
        <f t="shared" si="3"/>
        <v/>
      </c>
      <c r="S32" s="90" t="str">
        <f t="shared" si="4"/>
        <v/>
      </c>
      <c r="T32" s="91" t="str">
        <f t="shared" si="5"/>
        <v/>
      </c>
      <c r="U32" s="85">
        <f t="shared" si="6"/>
        <v>0</v>
      </c>
    </row>
    <row r="33">
      <c r="A33" s="85">
        <v>31.0</v>
      </c>
      <c r="B33" s="35"/>
      <c r="C33" s="65"/>
      <c r="D33" s="76"/>
      <c r="E33" s="93"/>
      <c r="F33" s="76"/>
      <c r="G33" s="93"/>
      <c r="H33" s="93"/>
      <c r="I33" s="93"/>
      <c r="J33" s="87" t="str">
        <f t="shared" si="1"/>
        <v/>
      </c>
      <c r="K33" s="93"/>
      <c r="L33" s="93"/>
      <c r="M33" s="93"/>
      <c r="N33" s="87" t="str">
        <f t="shared" si="2"/>
        <v/>
      </c>
      <c r="O33" s="93"/>
      <c r="P33" s="93"/>
      <c r="Q33" s="93"/>
      <c r="R33" s="87" t="str">
        <f t="shared" si="3"/>
        <v/>
      </c>
      <c r="S33" s="90" t="str">
        <f t="shared" si="4"/>
        <v/>
      </c>
      <c r="T33" s="91" t="str">
        <f t="shared" si="5"/>
        <v/>
      </c>
      <c r="U33" s="85">
        <f t="shared" si="6"/>
        <v>0</v>
      </c>
    </row>
    <row r="34">
      <c r="A34" s="85">
        <v>32.0</v>
      </c>
      <c r="B34" s="35"/>
      <c r="C34" s="65"/>
      <c r="D34" s="76"/>
      <c r="E34" s="93"/>
      <c r="F34" s="76"/>
      <c r="G34" s="93"/>
      <c r="H34" s="93"/>
      <c r="I34" s="93"/>
      <c r="J34" s="87" t="str">
        <f t="shared" si="1"/>
        <v/>
      </c>
      <c r="K34" s="93"/>
      <c r="L34" s="93"/>
      <c r="M34" s="93"/>
      <c r="N34" s="87" t="str">
        <f t="shared" si="2"/>
        <v/>
      </c>
      <c r="O34" s="93"/>
      <c r="P34" s="93"/>
      <c r="Q34" s="93"/>
      <c r="R34" s="87" t="str">
        <f t="shared" si="3"/>
        <v/>
      </c>
      <c r="S34" s="90" t="str">
        <f t="shared" si="4"/>
        <v/>
      </c>
      <c r="T34" s="91" t="str">
        <f t="shared" si="5"/>
        <v/>
      </c>
      <c r="U34" s="85">
        <f t="shared" si="6"/>
        <v>0</v>
      </c>
    </row>
    <row r="35">
      <c r="A35" s="85">
        <v>33.0</v>
      </c>
      <c r="B35" s="35"/>
      <c r="C35" s="65"/>
      <c r="D35" s="76"/>
      <c r="E35" s="93"/>
      <c r="F35" s="76"/>
      <c r="G35" s="93"/>
      <c r="H35" s="93"/>
      <c r="I35" s="93"/>
      <c r="J35" s="87" t="str">
        <f t="shared" si="1"/>
        <v/>
      </c>
      <c r="K35" s="93"/>
      <c r="L35" s="93"/>
      <c r="M35" s="93"/>
      <c r="N35" s="87" t="str">
        <f t="shared" si="2"/>
        <v/>
      </c>
      <c r="O35" s="93"/>
      <c r="P35" s="93"/>
      <c r="Q35" s="93"/>
      <c r="R35" s="87" t="str">
        <f t="shared" si="3"/>
        <v/>
      </c>
      <c r="S35" s="90" t="str">
        <f t="shared" si="4"/>
        <v/>
      </c>
      <c r="T35" s="91" t="str">
        <f t="shared" si="5"/>
        <v/>
      </c>
      <c r="U35" s="85">
        <f t="shared" si="6"/>
        <v>0</v>
      </c>
    </row>
    <row r="36">
      <c r="A36" s="85">
        <v>34.0</v>
      </c>
      <c r="B36" s="35"/>
      <c r="C36" s="65"/>
      <c r="D36" s="76"/>
      <c r="E36" s="93"/>
      <c r="F36" s="76"/>
      <c r="G36" s="93"/>
      <c r="H36" s="93"/>
      <c r="I36" s="93"/>
      <c r="J36" s="87" t="str">
        <f t="shared" si="1"/>
        <v/>
      </c>
      <c r="K36" s="93"/>
      <c r="L36" s="93"/>
      <c r="M36" s="93"/>
      <c r="N36" s="87" t="str">
        <f t="shared" si="2"/>
        <v/>
      </c>
      <c r="O36" s="93"/>
      <c r="P36" s="93"/>
      <c r="Q36" s="93"/>
      <c r="R36" s="87" t="str">
        <f t="shared" si="3"/>
        <v/>
      </c>
      <c r="S36" s="90" t="str">
        <f t="shared" si="4"/>
        <v/>
      </c>
      <c r="T36" s="91" t="str">
        <f t="shared" si="5"/>
        <v/>
      </c>
      <c r="U36" s="85">
        <f t="shared" si="6"/>
        <v>0</v>
      </c>
    </row>
    <row r="37">
      <c r="A37" s="85">
        <v>35.0</v>
      </c>
      <c r="B37" s="35"/>
      <c r="C37" s="65"/>
      <c r="D37" s="76"/>
      <c r="E37" s="93"/>
      <c r="F37" s="76"/>
      <c r="G37" s="93"/>
      <c r="H37" s="93"/>
      <c r="I37" s="93"/>
      <c r="J37" s="87" t="str">
        <f t="shared" si="1"/>
        <v/>
      </c>
      <c r="K37" s="93"/>
      <c r="L37" s="93"/>
      <c r="M37" s="93"/>
      <c r="N37" s="87" t="str">
        <f t="shared" si="2"/>
        <v/>
      </c>
      <c r="O37" s="93"/>
      <c r="P37" s="93"/>
      <c r="Q37" s="93"/>
      <c r="R37" s="87" t="str">
        <f t="shared" si="3"/>
        <v/>
      </c>
      <c r="S37" s="90" t="str">
        <f t="shared" si="4"/>
        <v/>
      </c>
      <c r="T37" s="91" t="str">
        <f t="shared" si="5"/>
        <v/>
      </c>
      <c r="U37" s="85">
        <f t="shared" si="6"/>
        <v>0</v>
      </c>
    </row>
    <row r="38">
      <c r="A38" s="85">
        <v>36.0</v>
      </c>
      <c r="B38" s="35"/>
      <c r="C38" s="65"/>
      <c r="D38" s="76"/>
      <c r="E38" s="93"/>
      <c r="F38" s="76"/>
      <c r="G38" s="93"/>
      <c r="H38" s="93"/>
      <c r="I38" s="93"/>
      <c r="J38" s="87" t="str">
        <f t="shared" si="1"/>
        <v/>
      </c>
      <c r="K38" s="93"/>
      <c r="L38" s="93"/>
      <c r="M38" s="93"/>
      <c r="N38" s="87" t="str">
        <f t="shared" si="2"/>
        <v/>
      </c>
      <c r="O38" s="93"/>
      <c r="P38" s="93"/>
      <c r="Q38" s="93"/>
      <c r="R38" s="87" t="str">
        <f t="shared" si="3"/>
        <v/>
      </c>
      <c r="S38" s="90" t="str">
        <f t="shared" si="4"/>
        <v/>
      </c>
      <c r="T38" s="91" t="str">
        <f t="shared" si="5"/>
        <v/>
      </c>
      <c r="U38" s="85">
        <f t="shared" si="6"/>
        <v>0</v>
      </c>
    </row>
    <row r="39">
      <c r="A39" s="85">
        <v>37.0</v>
      </c>
      <c r="B39" s="35"/>
      <c r="C39" s="65"/>
      <c r="D39" s="76"/>
      <c r="E39" s="93"/>
      <c r="F39" s="76"/>
      <c r="G39" s="93"/>
      <c r="H39" s="93"/>
      <c r="I39" s="93"/>
      <c r="J39" s="87" t="str">
        <f t="shared" si="1"/>
        <v/>
      </c>
      <c r="K39" s="93"/>
      <c r="L39" s="93"/>
      <c r="M39" s="93"/>
      <c r="N39" s="87" t="str">
        <f t="shared" si="2"/>
        <v/>
      </c>
      <c r="O39" s="93"/>
      <c r="P39" s="93"/>
      <c r="Q39" s="93"/>
      <c r="R39" s="87" t="str">
        <f t="shared" si="3"/>
        <v/>
      </c>
      <c r="S39" s="90" t="str">
        <f t="shared" si="4"/>
        <v/>
      </c>
      <c r="T39" s="91" t="str">
        <f t="shared" si="5"/>
        <v/>
      </c>
      <c r="U39" s="85">
        <f t="shared" si="6"/>
        <v>0</v>
      </c>
    </row>
    <row r="40">
      <c r="A40" s="85">
        <v>38.0</v>
      </c>
      <c r="B40" s="35"/>
      <c r="C40" s="65"/>
      <c r="D40" s="76"/>
      <c r="E40" s="93"/>
      <c r="F40" s="76"/>
      <c r="G40" s="93"/>
      <c r="H40" s="93"/>
      <c r="I40" s="93"/>
      <c r="J40" s="87" t="str">
        <f t="shared" si="1"/>
        <v/>
      </c>
      <c r="K40" s="93"/>
      <c r="L40" s="93"/>
      <c r="M40" s="93"/>
      <c r="N40" s="87" t="str">
        <f t="shared" si="2"/>
        <v/>
      </c>
      <c r="O40" s="93"/>
      <c r="P40" s="93"/>
      <c r="Q40" s="93"/>
      <c r="R40" s="87" t="str">
        <f t="shared" si="3"/>
        <v/>
      </c>
      <c r="S40" s="90" t="str">
        <f t="shared" si="4"/>
        <v/>
      </c>
      <c r="T40" s="91" t="str">
        <f t="shared" si="5"/>
        <v/>
      </c>
      <c r="U40" s="85">
        <f t="shared" si="6"/>
        <v>0</v>
      </c>
    </row>
    <row r="41">
      <c r="A41" s="85">
        <v>39.0</v>
      </c>
      <c r="B41" s="35"/>
      <c r="C41" s="65"/>
      <c r="D41" s="76"/>
      <c r="E41" s="93"/>
      <c r="F41" s="76"/>
      <c r="G41" s="93"/>
      <c r="H41" s="93"/>
      <c r="I41" s="93"/>
      <c r="J41" s="87" t="str">
        <f t="shared" si="1"/>
        <v/>
      </c>
      <c r="K41" s="93"/>
      <c r="L41" s="93"/>
      <c r="M41" s="93"/>
      <c r="N41" s="87" t="str">
        <f t="shared" si="2"/>
        <v/>
      </c>
      <c r="O41" s="93"/>
      <c r="P41" s="93"/>
      <c r="Q41" s="93"/>
      <c r="R41" s="87" t="str">
        <f t="shared" si="3"/>
        <v/>
      </c>
      <c r="S41" s="90" t="str">
        <f t="shared" si="4"/>
        <v/>
      </c>
      <c r="T41" s="91" t="str">
        <f t="shared" si="5"/>
        <v/>
      </c>
      <c r="U41" s="85">
        <f t="shared" si="6"/>
        <v>0</v>
      </c>
    </row>
    <row r="42">
      <c r="A42" s="85">
        <v>40.0</v>
      </c>
      <c r="B42" s="35"/>
      <c r="C42" s="65"/>
      <c r="D42" s="76"/>
      <c r="E42" s="93"/>
      <c r="F42" s="76"/>
      <c r="G42" s="93"/>
      <c r="H42" s="93"/>
      <c r="I42" s="93"/>
      <c r="J42" s="87" t="str">
        <f t="shared" si="1"/>
        <v/>
      </c>
      <c r="K42" s="93"/>
      <c r="L42" s="93"/>
      <c r="M42" s="93"/>
      <c r="N42" s="87" t="str">
        <f t="shared" si="2"/>
        <v/>
      </c>
      <c r="O42" s="93"/>
      <c r="P42" s="93"/>
      <c r="Q42" s="93"/>
      <c r="R42" s="87" t="str">
        <f t="shared" si="3"/>
        <v/>
      </c>
      <c r="S42" s="90" t="str">
        <f t="shared" si="4"/>
        <v/>
      </c>
      <c r="T42" s="91" t="str">
        <f t="shared" si="5"/>
        <v/>
      </c>
      <c r="U42" s="85">
        <f t="shared" si="6"/>
        <v>0</v>
      </c>
    </row>
    <row r="43">
      <c r="A43" s="85">
        <v>41.0</v>
      </c>
      <c r="B43" s="35"/>
      <c r="C43" s="65"/>
      <c r="D43" s="76"/>
      <c r="E43" s="93"/>
      <c r="F43" s="76"/>
      <c r="G43" s="93"/>
      <c r="H43" s="93"/>
      <c r="I43" s="93"/>
      <c r="J43" s="87" t="str">
        <f t="shared" si="1"/>
        <v/>
      </c>
      <c r="K43" s="93"/>
      <c r="L43" s="93"/>
      <c r="M43" s="93"/>
      <c r="N43" s="87" t="str">
        <f t="shared" si="2"/>
        <v/>
      </c>
      <c r="O43" s="93"/>
      <c r="P43" s="93"/>
      <c r="Q43" s="93"/>
      <c r="R43" s="87" t="str">
        <f t="shared" si="3"/>
        <v/>
      </c>
      <c r="S43" s="90" t="str">
        <f t="shared" si="4"/>
        <v/>
      </c>
      <c r="T43" s="91" t="str">
        <f t="shared" si="5"/>
        <v/>
      </c>
      <c r="U43" s="85">
        <f t="shared" si="6"/>
        <v>0</v>
      </c>
    </row>
    <row r="44">
      <c r="A44" s="85">
        <v>42.0</v>
      </c>
      <c r="B44" s="35"/>
      <c r="C44" s="65"/>
      <c r="D44" s="76"/>
      <c r="E44" s="93"/>
      <c r="F44" s="76"/>
      <c r="G44" s="93"/>
      <c r="H44" s="93"/>
      <c r="I44" s="93"/>
      <c r="J44" s="87" t="str">
        <f t="shared" si="1"/>
        <v/>
      </c>
      <c r="K44" s="93"/>
      <c r="L44" s="93"/>
      <c r="M44" s="93"/>
      <c r="N44" s="87" t="str">
        <f t="shared" si="2"/>
        <v/>
      </c>
      <c r="O44" s="93"/>
      <c r="P44" s="93"/>
      <c r="Q44" s="93"/>
      <c r="R44" s="87" t="str">
        <f t="shared" si="3"/>
        <v/>
      </c>
      <c r="S44" s="90" t="str">
        <f t="shared" si="4"/>
        <v/>
      </c>
      <c r="T44" s="91" t="str">
        <f t="shared" si="5"/>
        <v/>
      </c>
      <c r="U44" s="85">
        <f t="shared" si="6"/>
        <v>0</v>
      </c>
    </row>
    <row r="45">
      <c r="A45" s="85">
        <v>43.0</v>
      </c>
      <c r="B45" s="35"/>
      <c r="C45" s="65"/>
      <c r="D45" s="76"/>
      <c r="E45" s="93"/>
      <c r="F45" s="76"/>
      <c r="G45" s="93"/>
      <c r="H45" s="93"/>
      <c r="I45" s="93"/>
      <c r="J45" s="87" t="str">
        <f t="shared" si="1"/>
        <v/>
      </c>
      <c r="K45" s="93"/>
      <c r="L45" s="93"/>
      <c r="M45" s="93"/>
      <c r="N45" s="87" t="str">
        <f t="shared" si="2"/>
        <v/>
      </c>
      <c r="O45" s="93"/>
      <c r="P45" s="93"/>
      <c r="Q45" s="93"/>
      <c r="R45" s="87" t="str">
        <f t="shared" si="3"/>
        <v/>
      </c>
      <c r="S45" s="90" t="str">
        <f t="shared" si="4"/>
        <v/>
      </c>
      <c r="T45" s="91" t="str">
        <f t="shared" si="5"/>
        <v/>
      </c>
      <c r="U45" s="85">
        <f t="shared" si="6"/>
        <v>0</v>
      </c>
    </row>
    <row r="46">
      <c r="A46" s="85">
        <v>44.0</v>
      </c>
      <c r="B46" s="35"/>
      <c r="C46" s="65"/>
      <c r="D46" s="76"/>
      <c r="E46" s="93"/>
      <c r="F46" s="76"/>
      <c r="G46" s="93"/>
      <c r="H46" s="93"/>
      <c r="I46" s="93"/>
      <c r="J46" s="87" t="str">
        <f t="shared" si="1"/>
        <v/>
      </c>
      <c r="K46" s="93"/>
      <c r="L46" s="93"/>
      <c r="M46" s="93"/>
      <c r="N46" s="87" t="str">
        <f t="shared" si="2"/>
        <v/>
      </c>
      <c r="O46" s="93"/>
      <c r="P46" s="93"/>
      <c r="Q46" s="93"/>
      <c r="R46" s="87" t="str">
        <f t="shared" si="3"/>
        <v/>
      </c>
      <c r="S46" s="90" t="str">
        <f t="shared" si="4"/>
        <v/>
      </c>
      <c r="T46" s="91" t="str">
        <f t="shared" si="5"/>
        <v/>
      </c>
      <c r="U46" s="85">
        <f t="shared" si="6"/>
        <v>0</v>
      </c>
    </row>
    <row r="47">
      <c r="A47" s="85">
        <v>45.0</v>
      </c>
      <c r="B47" s="35"/>
      <c r="C47" s="65"/>
      <c r="D47" s="76"/>
      <c r="E47" s="93"/>
      <c r="F47" s="76"/>
      <c r="G47" s="93"/>
      <c r="H47" s="93"/>
      <c r="I47" s="93"/>
      <c r="J47" s="87" t="str">
        <f t="shared" si="1"/>
        <v/>
      </c>
      <c r="K47" s="93"/>
      <c r="L47" s="93"/>
      <c r="M47" s="93"/>
      <c r="N47" s="87" t="str">
        <f t="shared" si="2"/>
        <v/>
      </c>
      <c r="O47" s="93"/>
      <c r="P47" s="93"/>
      <c r="Q47" s="93"/>
      <c r="R47" s="87" t="str">
        <f t="shared" si="3"/>
        <v/>
      </c>
      <c r="S47" s="90" t="str">
        <f t="shared" si="4"/>
        <v/>
      </c>
      <c r="T47" s="91" t="str">
        <f t="shared" si="5"/>
        <v/>
      </c>
      <c r="U47" s="85">
        <f t="shared" si="6"/>
        <v>0</v>
      </c>
    </row>
    <row r="48">
      <c r="A48" s="85">
        <v>46.0</v>
      </c>
      <c r="B48" s="35"/>
      <c r="C48" s="65"/>
      <c r="D48" s="76"/>
      <c r="E48" s="93"/>
      <c r="F48" s="76"/>
      <c r="G48" s="93"/>
      <c r="H48" s="93"/>
      <c r="I48" s="93"/>
      <c r="J48" s="87" t="str">
        <f t="shared" si="1"/>
        <v/>
      </c>
      <c r="K48" s="93"/>
      <c r="L48" s="93"/>
      <c r="M48" s="93"/>
      <c r="N48" s="87" t="str">
        <f t="shared" si="2"/>
        <v/>
      </c>
      <c r="O48" s="93"/>
      <c r="P48" s="93"/>
      <c r="Q48" s="93"/>
      <c r="R48" s="87" t="str">
        <f t="shared" si="3"/>
        <v/>
      </c>
      <c r="S48" s="90" t="str">
        <f t="shared" si="4"/>
        <v/>
      </c>
      <c r="T48" s="91" t="str">
        <f t="shared" si="5"/>
        <v/>
      </c>
      <c r="U48" s="85">
        <f t="shared" si="6"/>
        <v>0</v>
      </c>
    </row>
    <row r="49">
      <c r="A49" s="85">
        <v>47.0</v>
      </c>
      <c r="B49" s="35"/>
      <c r="C49" s="65"/>
      <c r="D49" s="76"/>
      <c r="E49" s="93"/>
      <c r="F49" s="76"/>
      <c r="G49" s="93"/>
      <c r="H49" s="93"/>
      <c r="I49" s="93"/>
      <c r="J49" s="87" t="str">
        <f t="shared" si="1"/>
        <v/>
      </c>
      <c r="K49" s="93"/>
      <c r="L49" s="93"/>
      <c r="M49" s="93"/>
      <c r="N49" s="87" t="str">
        <f t="shared" si="2"/>
        <v/>
      </c>
      <c r="O49" s="93"/>
      <c r="P49" s="93"/>
      <c r="Q49" s="93"/>
      <c r="R49" s="87" t="str">
        <f t="shared" si="3"/>
        <v/>
      </c>
      <c r="S49" s="90" t="str">
        <f t="shared" si="4"/>
        <v/>
      </c>
      <c r="T49" s="91" t="str">
        <f t="shared" si="5"/>
        <v/>
      </c>
      <c r="U49" s="85">
        <f t="shared" si="6"/>
        <v>0</v>
      </c>
    </row>
    <row r="50">
      <c r="A50" s="85">
        <v>48.0</v>
      </c>
      <c r="B50" s="35"/>
      <c r="C50" s="65"/>
      <c r="D50" s="76"/>
      <c r="E50" s="93"/>
      <c r="F50" s="76"/>
      <c r="G50" s="93"/>
      <c r="H50" s="93"/>
      <c r="I50" s="93"/>
      <c r="J50" s="87" t="str">
        <f t="shared" si="1"/>
        <v/>
      </c>
      <c r="K50" s="93"/>
      <c r="L50" s="93"/>
      <c r="M50" s="93"/>
      <c r="N50" s="87" t="str">
        <f t="shared" si="2"/>
        <v/>
      </c>
      <c r="O50" s="93"/>
      <c r="P50" s="93"/>
      <c r="Q50" s="93"/>
      <c r="R50" s="87" t="str">
        <f t="shared" si="3"/>
        <v/>
      </c>
      <c r="S50" s="90" t="str">
        <f t="shared" si="4"/>
        <v/>
      </c>
      <c r="T50" s="91" t="str">
        <f t="shared" si="5"/>
        <v/>
      </c>
      <c r="U50" s="85">
        <f t="shared" si="6"/>
        <v>0</v>
      </c>
    </row>
    <row r="51">
      <c r="A51" s="85">
        <v>49.0</v>
      </c>
      <c r="B51" s="35"/>
      <c r="C51" s="65"/>
      <c r="D51" s="76"/>
      <c r="E51" s="93"/>
      <c r="F51" s="76"/>
      <c r="G51" s="93"/>
      <c r="H51" s="93"/>
      <c r="I51" s="93"/>
      <c r="J51" s="87" t="str">
        <f t="shared" si="1"/>
        <v/>
      </c>
      <c r="K51" s="93"/>
      <c r="L51" s="93"/>
      <c r="M51" s="93"/>
      <c r="N51" s="87" t="str">
        <f t="shared" si="2"/>
        <v/>
      </c>
      <c r="O51" s="93"/>
      <c r="P51" s="93"/>
      <c r="Q51" s="93"/>
      <c r="R51" s="87" t="str">
        <f t="shared" si="3"/>
        <v/>
      </c>
      <c r="S51" s="90" t="str">
        <f t="shared" si="4"/>
        <v/>
      </c>
      <c r="T51" s="91" t="str">
        <f t="shared" si="5"/>
        <v/>
      </c>
      <c r="U51" s="85">
        <f t="shared" si="6"/>
        <v>0</v>
      </c>
    </row>
    <row r="52">
      <c r="A52" s="85">
        <v>50.0</v>
      </c>
      <c r="B52" s="35"/>
      <c r="C52" s="65"/>
      <c r="D52" s="76"/>
      <c r="E52" s="93"/>
      <c r="F52" s="76"/>
      <c r="G52" s="93"/>
      <c r="H52" s="93"/>
      <c r="I52" s="93"/>
      <c r="J52" s="87" t="str">
        <f t="shared" si="1"/>
        <v/>
      </c>
      <c r="K52" s="93"/>
      <c r="L52" s="93"/>
      <c r="M52" s="93"/>
      <c r="N52" s="87" t="str">
        <f t="shared" si="2"/>
        <v/>
      </c>
      <c r="O52" s="93"/>
      <c r="P52" s="93"/>
      <c r="Q52" s="93"/>
      <c r="R52" s="87" t="str">
        <f t="shared" si="3"/>
        <v/>
      </c>
      <c r="S52" s="90" t="str">
        <f t="shared" si="4"/>
        <v/>
      </c>
      <c r="T52" s="91" t="str">
        <f t="shared" si="5"/>
        <v/>
      </c>
      <c r="U52" s="85">
        <f t="shared" si="6"/>
        <v>0</v>
      </c>
    </row>
    <row r="53">
      <c r="A53" s="85">
        <v>51.0</v>
      </c>
      <c r="B53" s="35"/>
      <c r="C53" s="65"/>
      <c r="D53" s="76"/>
      <c r="E53" s="93"/>
      <c r="F53" s="76"/>
      <c r="G53" s="93"/>
      <c r="H53" s="93"/>
      <c r="I53" s="93"/>
      <c r="J53" s="87" t="str">
        <f t="shared" si="1"/>
        <v/>
      </c>
      <c r="K53" s="93"/>
      <c r="L53" s="93"/>
      <c r="M53" s="93"/>
      <c r="N53" s="87" t="str">
        <f t="shared" si="2"/>
        <v/>
      </c>
      <c r="O53" s="93"/>
      <c r="P53" s="93"/>
      <c r="Q53" s="93"/>
      <c r="R53" s="87" t="str">
        <f t="shared" si="3"/>
        <v/>
      </c>
      <c r="S53" s="90" t="str">
        <f t="shared" si="4"/>
        <v/>
      </c>
      <c r="T53" s="91" t="str">
        <f t="shared" si="5"/>
        <v/>
      </c>
      <c r="U53" s="85">
        <f t="shared" si="6"/>
        <v>0</v>
      </c>
    </row>
    <row r="54">
      <c r="A54" s="85">
        <v>52.0</v>
      </c>
      <c r="B54" s="35"/>
      <c r="C54" s="65"/>
      <c r="D54" s="76"/>
      <c r="E54" s="93"/>
      <c r="F54" s="76"/>
      <c r="G54" s="93"/>
      <c r="H54" s="93"/>
      <c r="I54" s="93"/>
      <c r="J54" s="87" t="str">
        <f t="shared" si="1"/>
        <v/>
      </c>
      <c r="K54" s="93"/>
      <c r="L54" s="93"/>
      <c r="M54" s="93"/>
      <c r="N54" s="87" t="str">
        <f t="shared" si="2"/>
        <v/>
      </c>
      <c r="O54" s="93"/>
      <c r="P54" s="93"/>
      <c r="Q54" s="93"/>
      <c r="R54" s="87" t="str">
        <f t="shared" si="3"/>
        <v/>
      </c>
      <c r="S54" s="90" t="str">
        <f t="shared" si="4"/>
        <v/>
      </c>
      <c r="T54" s="91" t="str">
        <f t="shared" si="5"/>
        <v/>
      </c>
      <c r="U54" s="85">
        <f t="shared" si="6"/>
        <v>0</v>
      </c>
    </row>
    <row r="55">
      <c r="A55" s="85">
        <v>53.0</v>
      </c>
      <c r="B55" s="35"/>
      <c r="C55" s="65"/>
      <c r="D55" s="76"/>
      <c r="E55" s="93"/>
      <c r="F55" s="76"/>
      <c r="G55" s="93"/>
      <c r="H55" s="93"/>
      <c r="I55" s="93"/>
      <c r="J55" s="87" t="str">
        <f t="shared" si="1"/>
        <v/>
      </c>
      <c r="K55" s="93"/>
      <c r="L55" s="93"/>
      <c r="M55" s="93"/>
      <c r="N55" s="87" t="str">
        <f t="shared" si="2"/>
        <v/>
      </c>
      <c r="O55" s="93"/>
      <c r="P55" s="93"/>
      <c r="Q55" s="93"/>
      <c r="R55" s="87" t="str">
        <f t="shared" si="3"/>
        <v/>
      </c>
      <c r="S55" s="90" t="str">
        <f t="shared" si="4"/>
        <v/>
      </c>
      <c r="T55" s="91" t="str">
        <f t="shared" si="5"/>
        <v/>
      </c>
      <c r="U55" s="85">
        <f t="shared" si="6"/>
        <v>0</v>
      </c>
    </row>
    <row r="56">
      <c r="A56" s="85">
        <v>54.0</v>
      </c>
      <c r="B56" s="35"/>
      <c r="C56" s="65"/>
      <c r="D56" s="76"/>
      <c r="E56" s="93"/>
      <c r="F56" s="76"/>
      <c r="G56" s="93"/>
      <c r="H56" s="93"/>
      <c r="I56" s="93"/>
      <c r="J56" s="87" t="str">
        <f t="shared" si="1"/>
        <v/>
      </c>
      <c r="K56" s="93"/>
      <c r="L56" s="93"/>
      <c r="M56" s="93"/>
      <c r="N56" s="87" t="str">
        <f t="shared" si="2"/>
        <v/>
      </c>
      <c r="O56" s="93"/>
      <c r="P56" s="93"/>
      <c r="Q56" s="93"/>
      <c r="R56" s="87" t="str">
        <f t="shared" si="3"/>
        <v/>
      </c>
      <c r="S56" s="90" t="str">
        <f t="shared" si="4"/>
        <v/>
      </c>
      <c r="T56" s="91" t="str">
        <f t="shared" si="5"/>
        <v/>
      </c>
      <c r="U56" s="85">
        <f t="shared" si="6"/>
        <v>0</v>
      </c>
    </row>
    <row r="57">
      <c r="A57" s="85">
        <v>55.0</v>
      </c>
      <c r="B57" s="35"/>
      <c r="C57" s="65"/>
      <c r="D57" s="76"/>
      <c r="E57" s="93"/>
      <c r="F57" s="76"/>
      <c r="G57" s="93"/>
      <c r="H57" s="93"/>
      <c r="I57" s="93"/>
      <c r="J57" s="87" t="str">
        <f t="shared" si="1"/>
        <v/>
      </c>
      <c r="K57" s="93"/>
      <c r="L57" s="93"/>
      <c r="M57" s="93"/>
      <c r="N57" s="87" t="str">
        <f t="shared" si="2"/>
        <v/>
      </c>
      <c r="O57" s="93"/>
      <c r="P57" s="93"/>
      <c r="Q57" s="93"/>
      <c r="R57" s="87" t="str">
        <f t="shared" si="3"/>
        <v/>
      </c>
      <c r="S57" s="90" t="str">
        <f t="shared" si="4"/>
        <v/>
      </c>
      <c r="T57" s="91" t="str">
        <f t="shared" si="5"/>
        <v/>
      </c>
      <c r="U57" s="85">
        <f t="shared" si="6"/>
        <v>0</v>
      </c>
    </row>
    <row r="58">
      <c r="A58" s="85">
        <v>56.0</v>
      </c>
      <c r="B58" s="35"/>
      <c r="C58" s="65"/>
      <c r="D58" s="76"/>
      <c r="E58" s="93"/>
      <c r="F58" s="76"/>
      <c r="G58" s="93"/>
      <c r="H58" s="93"/>
      <c r="I58" s="93"/>
      <c r="J58" s="87" t="str">
        <f t="shared" si="1"/>
        <v/>
      </c>
      <c r="K58" s="93"/>
      <c r="L58" s="93"/>
      <c r="M58" s="93"/>
      <c r="N58" s="87" t="str">
        <f t="shared" si="2"/>
        <v/>
      </c>
      <c r="O58" s="93"/>
      <c r="P58" s="93"/>
      <c r="Q58" s="93"/>
      <c r="R58" s="87" t="str">
        <f t="shared" si="3"/>
        <v/>
      </c>
      <c r="S58" s="90" t="str">
        <f t="shared" si="4"/>
        <v/>
      </c>
      <c r="T58" s="91" t="str">
        <f t="shared" si="5"/>
        <v/>
      </c>
      <c r="U58" s="85">
        <f t="shared" si="6"/>
        <v>0</v>
      </c>
    </row>
    <row r="59">
      <c r="A59" s="85">
        <v>57.0</v>
      </c>
      <c r="B59" s="35"/>
      <c r="C59" s="65"/>
      <c r="D59" s="76"/>
      <c r="E59" s="93"/>
      <c r="F59" s="76"/>
      <c r="G59" s="93"/>
      <c r="H59" s="93"/>
      <c r="I59" s="93"/>
      <c r="J59" s="87" t="str">
        <f t="shared" si="1"/>
        <v/>
      </c>
      <c r="K59" s="93"/>
      <c r="L59" s="93"/>
      <c r="M59" s="93"/>
      <c r="N59" s="87" t="str">
        <f t="shared" si="2"/>
        <v/>
      </c>
      <c r="O59" s="93"/>
      <c r="P59" s="93"/>
      <c r="Q59" s="93"/>
      <c r="R59" s="87" t="str">
        <f t="shared" si="3"/>
        <v/>
      </c>
      <c r="S59" s="90" t="str">
        <f t="shared" si="4"/>
        <v/>
      </c>
      <c r="T59" s="91" t="str">
        <f t="shared" si="5"/>
        <v/>
      </c>
      <c r="U59" s="85">
        <f t="shared" si="6"/>
        <v>0</v>
      </c>
    </row>
    <row r="60">
      <c r="A60" s="85">
        <v>58.0</v>
      </c>
      <c r="B60" s="35"/>
      <c r="C60" s="65"/>
      <c r="D60" s="76"/>
      <c r="E60" s="93"/>
      <c r="F60" s="76"/>
      <c r="G60" s="93"/>
      <c r="H60" s="93"/>
      <c r="I60" s="93"/>
      <c r="J60" s="87" t="str">
        <f t="shared" si="1"/>
        <v/>
      </c>
      <c r="K60" s="93"/>
      <c r="L60" s="93"/>
      <c r="M60" s="93"/>
      <c r="N60" s="87" t="str">
        <f t="shared" si="2"/>
        <v/>
      </c>
      <c r="O60" s="93"/>
      <c r="P60" s="93"/>
      <c r="Q60" s="93"/>
      <c r="R60" s="87" t="str">
        <f t="shared" si="3"/>
        <v/>
      </c>
      <c r="S60" s="90" t="str">
        <f t="shared" si="4"/>
        <v/>
      </c>
      <c r="T60" s="91" t="str">
        <f t="shared" si="5"/>
        <v/>
      </c>
      <c r="U60" s="85">
        <f t="shared" si="6"/>
        <v>0</v>
      </c>
    </row>
    <row r="61">
      <c r="A61" s="85">
        <v>59.0</v>
      </c>
      <c r="B61" s="35"/>
      <c r="C61" s="65"/>
      <c r="D61" s="76"/>
      <c r="E61" s="93"/>
      <c r="F61" s="76"/>
      <c r="G61" s="93"/>
      <c r="H61" s="93"/>
      <c r="I61" s="93"/>
      <c r="J61" s="87" t="str">
        <f t="shared" si="1"/>
        <v/>
      </c>
      <c r="K61" s="93"/>
      <c r="L61" s="93"/>
      <c r="M61" s="93"/>
      <c r="N61" s="87" t="str">
        <f t="shared" si="2"/>
        <v/>
      </c>
      <c r="O61" s="93"/>
      <c r="P61" s="93"/>
      <c r="Q61" s="93"/>
      <c r="R61" s="87" t="str">
        <f t="shared" si="3"/>
        <v/>
      </c>
      <c r="S61" s="90" t="str">
        <f t="shared" si="4"/>
        <v/>
      </c>
      <c r="T61" s="91" t="str">
        <f t="shared" si="5"/>
        <v/>
      </c>
      <c r="U61" s="85">
        <f t="shared" si="6"/>
        <v>0</v>
      </c>
    </row>
    <row r="62">
      <c r="A62" s="85">
        <v>60.0</v>
      </c>
      <c r="B62" s="35"/>
      <c r="C62" s="65"/>
      <c r="D62" s="76"/>
      <c r="E62" s="93"/>
      <c r="F62" s="76"/>
      <c r="G62" s="93"/>
      <c r="H62" s="93"/>
      <c r="I62" s="93"/>
      <c r="J62" s="87" t="str">
        <f t="shared" si="1"/>
        <v/>
      </c>
      <c r="K62" s="93"/>
      <c r="L62" s="93"/>
      <c r="M62" s="93"/>
      <c r="N62" s="87" t="str">
        <f t="shared" si="2"/>
        <v/>
      </c>
      <c r="O62" s="93"/>
      <c r="P62" s="93"/>
      <c r="Q62" s="93"/>
      <c r="R62" s="87" t="str">
        <f t="shared" si="3"/>
        <v/>
      </c>
      <c r="S62" s="90" t="str">
        <f t="shared" si="4"/>
        <v/>
      </c>
      <c r="T62" s="91" t="str">
        <f t="shared" si="5"/>
        <v/>
      </c>
      <c r="U62" s="85">
        <f t="shared" si="6"/>
        <v>0</v>
      </c>
    </row>
    <row r="63">
      <c r="A63" s="85">
        <v>61.0</v>
      </c>
      <c r="B63" s="35"/>
      <c r="C63" s="65"/>
      <c r="D63" s="76"/>
      <c r="E63" s="93"/>
      <c r="F63" s="76"/>
      <c r="G63" s="93"/>
      <c r="H63" s="93"/>
      <c r="I63" s="93"/>
      <c r="J63" s="87" t="str">
        <f t="shared" si="1"/>
        <v/>
      </c>
      <c r="K63" s="93"/>
      <c r="L63" s="93"/>
      <c r="M63" s="93"/>
      <c r="N63" s="87" t="str">
        <f t="shared" si="2"/>
        <v/>
      </c>
      <c r="O63" s="93"/>
      <c r="P63" s="93"/>
      <c r="Q63" s="93"/>
      <c r="R63" s="87" t="str">
        <f t="shared" si="3"/>
        <v/>
      </c>
      <c r="S63" s="90" t="str">
        <f t="shared" si="4"/>
        <v/>
      </c>
      <c r="T63" s="91" t="str">
        <f t="shared" si="5"/>
        <v/>
      </c>
      <c r="U63" s="85">
        <f t="shared" si="6"/>
        <v>0</v>
      </c>
    </row>
    <row r="64">
      <c r="A64" s="85">
        <v>62.0</v>
      </c>
      <c r="B64" s="35"/>
      <c r="C64" s="65"/>
      <c r="D64" s="76"/>
      <c r="E64" s="93"/>
      <c r="F64" s="76"/>
      <c r="G64" s="93"/>
      <c r="H64" s="93"/>
      <c r="I64" s="93"/>
      <c r="J64" s="87" t="str">
        <f t="shared" si="1"/>
        <v/>
      </c>
      <c r="K64" s="93"/>
      <c r="L64" s="93"/>
      <c r="M64" s="93"/>
      <c r="N64" s="87" t="str">
        <f t="shared" si="2"/>
        <v/>
      </c>
      <c r="O64" s="93"/>
      <c r="P64" s="93"/>
      <c r="Q64" s="93"/>
      <c r="R64" s="87" t="str">
        <f t="shared" si="3"/>
        <v/>
      </c>
      <c r="S64" s="90" t="str">
        <f t="shared" si="4"/>
        <v/>
      </c>
      <c r="T64" s="91" t="str">
        <f t="shared" si="5"/>
        <v/>
      </c>
      <c r="U64" s="85">
        <f t="shared" si="6"/>
        <v>0</v>
      </c>
    </row>
    <row r="65">
      <c r="A65" s="85">
        <v>63.0</v>
      </c>
      <c r="B65" s="35"/>
      <c r="C65" s="65"/>
      <c r="D65" s="76"/>
      <c r="E65" s="93"/>
      <c r="F65" s="76"/>
      <c r="G65" s="93"/>
      <c r="H65" s="93"/>
      <c r="I65" s="93"/>
      <c r="J65" s="87" t="str">
        <f t="shared" si="1"/>
        <v/>
      </c>
      <c r="K65" s="93"/>
      <c r="L65" s="93"/>
      <c r="M65" s="93"/>
      <c r="N65" s="87" t="str">
        <f t="shared" si="2"/>
        <v/>
      </c>
      <c r="O65" s="93"/>
      <c r="P65" s="93"/>
      <c r="Q65" s="93"/>
      <c r="R65" s="87" t="str">
        <f t="shared" si="3"/>
        <v/>
      </c>
      <c r="S65" s="90" t="str">
        <f t="shared" si="4"/>
        <v/>
      </c>
      <c r="T65" s="91" t="str">
        <f t="shared" si="5"/>
        <v/>
      </c>
      <c r="U65" s="85">
        <f t="shared" si="6"/>
        <v>0</v>
      </c>
    </row>
    <row r="66">
      <c r="A66" s="85">
        <v>64.0</v>
      </c>
      <c r="B66" s="35"/>
      <c r="C66" s="65"/>
      <c r="D66" s="76"/>
      <c r="E66" s="93"/>
      <c r="F66" s="76"/>
      <c r="G66" s="93"/>
      <c r="H66" s="93"/>
      <c r="I66" s="93"/>
      <c r="J66" s="87" t="str">
        <f t="shared" si="1"/>
        <v/>
      </c>
      <c r="K66" s="93"/>
      <c r="L66" s="93"/>
      <c r="M66" s="93"/>
      <c r="N66" s="87" t="str">
        <f t="shared" si="2"/>
        <v/>
      </c>
      <c r="O66" s="93"/>
      <c r="P66" s="93"/>
      <c r="Q66" s="93"/>
      <c r="R66" s="87" t="str">
        <f t="shared" si="3"/>
        <v/>
      </c>
      <c r="S66" s="90" t="str">
        <f t="shared" si="4"/>
        <v/>
      </c>
      <c r="T66" s="91" t="str">
        <f t="shared" si="5"/>
        <v/>
      </c>
      <c r="U66" s="85">
        <f t="shared" si="6"/>
        <v>0</v>
      </c>
    </row>
    <row r="67">
      <c r="A67" s="85">
        <v>65.0</v>
      </c>
      <c r="B67" s="35"/>
      <c r="C67" s="65"/>
      <c r="D67" s="76"/>
      <c r="E67" s="93"/>
      <c r="F67" s="76"/>
      <c r="G67" s="93"/>
      <c r="H67" s="93"/>
      <c r="I67" s="93"/>
      <c r="J67" s="87" t="str">
        <f t="shared" si="1"/>
        <v/>
      </c>
      <c r="K67" s="93"/>
      <c r="L67" s="93"/>
      <c r="M67" s="93"/>
      <c r="N67" s="87" t="str">
        <f t="shared" si="2"/>
        <v/>
      </c>
      <c r="O67" s="93"/>
      <c r="P67" s="93"/>
      <c r="Q67" s="93"/>
      <c r="R67" s="87" t="str">
        <f t="shared" si="3"/>
        <v/>
      </c>
      <c r="S67" s="90" t="str">
        <f t="shared" si="4"/>
        <v/>
      </c>
      <c r="T67" s="91" t="str">
        <f t="shared" si="5"/>
        <v/>
      </c>
      <c r="U67" s="85">
        <f t="shared" si="6"/>
        <v>0</v>
      </c>
    </row>
    <row r="68">
      <c r="A68" s="85">
        <v>66.0</v>
      </c>
      <c r="B68" s="35"/>
      <c r="C68" s="65"/>
      <c r="D68" s="76"/>
      <c r="E68" s="93"/>
      <c r="F68" s="76"/>
      <c r="G68" s="93"/>
      <c r="H68" s="93"/>
      <c r="I68" s="93"/>
      <c r="J68" s="87" t="str">
        <f t="shared" si="1"/>
        <v/>
      </c>
      <c r="K68" s="93"/>
      <c r="L68" s="93"/>
      <c r="M68" s="93"/>
      <c r="N68" s="87" t="str">
        <f t="shared" si="2"/>
        <v/>
      </c>
      <c r="O68" s="93"/>
      <c r="P68" s="93"/>
      <c r="Q68" s="93"/>
      <c r="R68" s="87" t="str">
        <f t="shared" si="3"/>
        <v/>
      </c>
      <c r="S68" s="90" t="str">
        <f t="shared" si="4"/>
        <v/>
      </c>
      <c r="T68" s="91" t="str">
        <f t="shared" si="5"/>
        <v/>
      </c>
      <c r="U68" s="85">
        <f t="shared" si="6"/>
        <v>0</v>
      </c>
    </row>
    <row r="69">
      <c r="A69" s="85">
        <v>67.0</v>
      </c>
      <c r="B69" s="35"/>
      <c r="C69" s="65"/>
      <c r="D69" s="76"/>
      <c r="E69" s="93"/>
      <c r="F69" s="76"/>
      <c r="G69" s="93"/>
      <c r="H69" s="93"/>
      <c r="I69" s="93"/>
      <c r="J69" s="87" t="str">
        <f t="shared" si="1"/>
        <v/>
      </c>
      <c r="K69" s="93"/>
      <c r="L69" s="93"/>
      <c r="M69" s="93"/>
      <c r="N69" s="87" t="str">
        <f t="shared" si="2"/>
        <v/>
      </c>
      <c r="O69" s="93"/>
      <c r="P69" s="93"/>
      <c r="Q69" s="93"/>
      <c r="R69" s="87" t="str">
        <f t="shared" si="3"/>
        <v/>
      </c>
      <c r="S69" s="90" t="str">
        <f t="shared" si="4"/>
        <v/>
      </c>
      <c r="T69" s="91" t="str">
        <f t="shared" si="5"/>
        <v/>
      </c>
      <c r="U69" s="85">
        <f t="shared" si="6"/>
        <v>0</v>
      </c>
    </row>
    <row r="70">
      <c r="A70" s="85">
        <v>68.0</v>
      </c>
      <c r="B70" s="35"/>
      <c r="C70" s="65"/>
      <c r="D70" s="76"/>
      <c r="E70" s="93"/>
      <c r="F70" s="76"/>
      <c r="G70" s="93"/>
      <c r="H70" s="93"/>
      <c r="I70" s="93"/>
      <c r="J70" s="87" t="str">
        <f t="shared" si="1"/>
        <v/>
      </c>
      <c r="K70" s="93"/>
      <c r="L70" s="93"/>
      <c r="M70" s="93"/>
      <c r="N70" s="87" t="str">
        <f t="shared" si="2"/>
        <v/>
      </c>
      <c r="O70" s="93"/>
      <c r="P70" s="93"/>
      <c r="Q70" s="93"/>
      <c r="R70" s="87" t="str">
        <f t="shared" si="3"/>
        <v/>
      </c>
      <c r="S70" s="90" t="str">
        <f t="shared" si="4"/>
        <v/>
      </c>
      <c r="T70" s="91" t="str">
        <f t="shared" si="5"/>
        <v/>
      </c>
      <c r="U70" s="85">
        <f t="shared" si="6"/>
        <v>0</v>
      </c>
    </row>
    <row r="71">
      <c r="A71" s="85">
        <v>69.0</v>
      </c>
      <c r="B71" s="35"/>
      <c r="C71" s="65"/>
      <c r="D71" s="76"/>
      <c r="E71" s="93"/>
      <c r="F71" s="76"/>
      <c r="G71" s="93"/>
      <c r="H71" s="93"/>
      <c r="I71" s="93"/>
      <c r="J71" s="87" t="str">
        <f t="shared" si="1"/>
        <v/>
      </c>
      <c r="K71" s="93"/>
      <c r="L71" s="93"/>
      <c r="M71" s="93"/>
      <c r="N71" s="87" t="str">
        <f t="shared" si="2"/>
        <v/>
      </c>
      <c r="O71" s="93"/>
      <c r="P71" s="93"/>
      <c r="Q71" s="93"/>
      <c r="R71" s="87" t="str">
        <f t="shared" si="3"/>
        <v/>
      </c>
      <c r="S71" s="90" t="str">
        <f t="shared" si="4"/>
        <v/>
      </c>
      <c r="T71" s="91" t="str">
        <f t="shared" si="5"/>
        <v/>
      </c>
      <c r="U71" s="85">
        <f t="shared" si="6"/>
        <v>0</v>
      </c>
    </row>
    <row r="72">
      <c r="A72" s="85">
        <v>70.0</v>
      </c>
      <c r="B72" s="35"/>
      <c r="C72" s="65"/>
      <c r="D72" s="76"/>
      <c r="E72" s="93"/>
      <c r="F72" s="76"/>
      <c r="G72" s="93"/>
      <c r="H72" s="93"/>
      <c r="I72" s="93"/>
      <c r="J72" s="87" t="str">
        <f t="shared" si="1"/>
        <v/>
      </c>
      <c r="K72" s="93"/>
      <c r="L72" s="93"/>
      <c r="M72" s="93"/>
      <c r="N72" s="87" t="str">
        <f t="shared" si="2"/>
        <v/>
      </c>
      <c r="O72" s="93"/>
      <c r="P72" s="93"/>
      <c r="Q72" s="93"/>
      <c r="R72" s="87" t="str">
        <f t="shared" si="3"/>
        <v/>
      </c>
      <c r="S72" s="90" t="str">
        <f t="shared" si="4"/>
        <v/>
      </c>
      <c r="T72" s="91" t="str">
        <f t="shared" si="5"/>
        <v/>
      </c>
      <c r="U72" s="85">
        <f t="shared" si="6"/>
        <v>0</v>
      </c>
    </row>
    <row r="73">
      <c r="A73" s="85">
        <v>71.0</v>
      </c>
      <c r="B73" s="35"/>
      <c r="C73" s="65"/>
      <c r="D73" s="76"/>
      <c r="E73" s="93"/>
      <c r="F73" s="76"/>
      <c r="G73" s="93"/>
      <c r="H73" s="93"/>
      <c r="I73" s="93"/>
      <c r="J73" s="87" t="str">
        <f t="shared" si="1"/>
        <v/>
      </c>
      <c r="K73" s="93"/>
      <c r="L73" s="93"/>
      <c r="M73" s="93"/>
      <c r="N73" s="87" t="str">
        <f t="shared" si="2"/>
        <v/>
      </c>
      <c r="O73" s="93"/>
      <c r="P73" s="93"/>
      <c r="Q73" s="93"/>
      <c r="R73" s="87" t="str">
        <f t="shared" si="3"/>
        <v/>
      </c>
      <c r="S73" s="90" t="str">
        <f t="shared" si="4"/>
        <v/>
      </c>
      <c r="T73" s="91" t="str">
        <f t="shared" si="5"/>
        <v/>
      </c>
      <c r="U73" s="85">
        <f t="shared" si="6"/>
        <v>0</v>
      </c>
    </row>
    <row r="74">
      <c r="A74" s="85">
        <v>72.0</v>
      </c>
      <c r="B74" s="35"/>
      <c r="C74" s="65"/>
      <c r="D74" s="76"/>
      <c r="E74" s="93"/>
      <c r="F74" s="76"/>
      <c r="G74" s="93"/>
      <c r="H74" s="93"/>
      <c r="I74" s="93"/>
      <c r="J74" s="87" t="str">
        <f t="shared" si="1"/>
        <v/>
      </c>
      <c r="K74" s="93"/>
      <c r="L74" s="93"/>
      <c r="M74" s="93"/>
      <c r="N74" s="87" t="str">
        <f t="shared" si="2"/>
        <v/>
      </c>
      <c r="O74" s="93"/>
      <c r="P74" s="93"/>
      <c r="Q74" s="93"/>
      <c r="R74" s="87" t="str">
        <f t="shared" si="3"/>
        <v/>
      </c>
      <c r="S74" s="90" t="str">
        <f t="shared" si="4"/>
        <v/>
      </c>
      <c r="T74" s="91" t="str">
        <f t="shared" si="5"/>
        <v/>
      </c>
      <c r="U74" s="85">
        <f t="shared" si="6"/>
        <v>0</v>
      </c>
    </row>
    <row r="75">
      <c r="A75" s="85">
        <v>73.0</v>
      </c>
      <c r="B75" s="35"/>
      <c r="C75" s="65"/>
      <c r="D75" s="76"/>
      <c r="E75" s="93"/>
      <c r="F75" s="76"/>
      <c r="G75" s="93"/>
      <c r="H75" s="93"/>
      <c r="I75" s="93"/>
      <c r="J75" s="87" t="str">
        <f t="shared" si="1"/>
        <v/>
      </c>
      <c r="K75" s="93"/>
      <c r="L75" s="93"/>
      <c r="M75" s="93"/>
      <c r="N75" s="87" t="str">
        <f t="shared" si="2"/>
        <v/>
      </c>
      <c r="O75" s="93"/>
      <c r="P75" s="93"/>
      <c r="Q75" s="93"/>
      <c r="R75" s="87" t="str">
        <f t="shared" si="3"/>
        <v/>
      </c>
      <c r="S75" s="90" t="str">
        <f t="shared" si="4"/>
        <v/>
      </c>
      <c r="T75" s="91" t="str">
        <f t="shared" si="5"/>
        <v/>
      </c>
      <c r="U75" s="85">
        <f t="shared" si="6"/>
        <v>0</v>
      </c>
    </row>
    <row r="76">
      <c r="A76" s="85">
        <v>74.0</v>
      </c>
      <c r="B76" s="35"/>
      <c r="C76" s="65"/>
      <c r="D76" s="76"/>
      <c r="E76" s="93"/>
      <c r="F76" s="76"/>
      <c r="G76" s="93"/>
      <c r="H76" s="93"/>
      <c r="I76" s="93"/>
      <c r="J76" s="87" t="str">
        <f t="shared" si="1"/>
        <v/>
      </c>
      <c r="K76" s="93"/>
      <c r="L76" s="93"/>
      <c r="M76" s="93"/>
      <c r="N76" s="87" t="str">
        <f t="shared" si="2"/>
        <v/>
      </c>
      <c r="O76" s="93"/>
      <c r="P76" s="93"/>
      <c r="Q76" s="93"/>
      <c r="R76" s="87" t="str">
        <f t="shared" si="3"/>
        <v/>
      </c>
      <c r="S76" s="90" t="str">
        <f t="shared" si="4"/>
        <v/>
      </c>
      <c r="T76" s="91" t="str">
        <f t="shared" si="5"/>
        <v/>
      </c>
      <c r="U76" s="85">
        <f t="shared" si="6"/>
        <v>0</v>
      </c>
    </row>
    <row r="77">
      <c r="A77" s="85">
        <v>75.0</v>
      </c>
      <c r="B77" s="35"/>
      <c r="C77" s="65"/>
      <c r="D77" s="76"/>
      <c r="E77" s="93"/>
      <c r="F77" s="76"/>
      <c r="G77" s="93"/>
      <c r="H77" s="93"/>
      <c r="I77" s="93"/>
      <c r="J77" s="87" t="str">
        <f t="shared" si="1"/>
        <v/>
      </c>
      <c r="K77" s="93"/>
      <c r="L77" s="93"/>
      <c r="M77" s="93"/>
      <c r="N77" s="87" t="str">
        <f t="shared" si="2"/>
        <v/>
      </c>
      <c r="O77" s="93"/>
      <c r="P77" s="93"/>
      <c r="Q77" s="93"/>
      <c r="R77" s="87" t="str">
        <f t="shared" si="3"/>
        <v/>
      </c>
      <c r="S77" s="90" t="str">
        <f t="shared" si="4"/>
        <v/>
      </c>
      <c r="T77" s="91" t="str">
        <f t="shared" si="5"/>
        <v/>
      </c>
      <c r="U77" s="85">
        <f t="shared" si="6"/>
        <v>0</v>
      </c>
    </row>
  </sheetData>
  <autoFilter ref="$B$2:$T$77"/>
  <customSheetViews>
    <customSheetView guid="{B0C17AAF-6872-48F8-A58E-565BF6C8DB27}" filter="1" showAutoFilter="1">
      <autoFilter ref="$C$2:$T$52"/>
    </customSheetView>
  </customSheetViews>
  <mergeCells count="3">
    <mergeCell ref="K1:N1"/>
    <mergeCell ref="O1:R1"/>
    <mergeCell ref="G1:J1"/>
  </mergeCells>
  <conditionalFormatting sqref="G3:I77 K3:M77 O3:Q77">
    <cfRule type="endsWith" dxfId="2" priority="1" operator="endsWith" text="g">
      <formula>RIGHT((G3),LEN("g"))=("g")</formula>
    </cfRule>
  </conditionalFormatting>
  <conditionalFormatting sqref="G3:I77 K3:M77 O3:Q77">
    <cfRule type="endsWith" dxfId="1" priority="2" operator="endsWith" text="x">
      <formula>RIGHT((G3),LEN("x"))=("x")</formula>
    </cfRule>
  </conditionalFormatting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tabColor rgb="FF000000"/>
    <outlinePr summaryBelow="0" summaryRight="0"/>
  </sheetPr>
  <sheetViews>
    <sheetView workbookViewId="0">
      <pane xSplit="6.0" ySplit="2.0" topLeftCell="G3" activePane="bottomRight" state="frozen"/>
      <selection activeCell="G1" sqref="G1" pane="topRight"/>
      <selection activeCell="A3" sqref="A3" pane="bottomLeft"/>
      <selection activeCell="G3" sqref="G3" pane="bottomRight"/>
    </sheetView>
  </sheetViews>
  <sheetFormatPr customHeight="1" defaultColWidth="14.43" defaultRowHeight="15.75"/>
  <cols>
    <col customWidth="1" min="1" max="1" width="3.57"/>
    <col customWidth="1" min="2" max="2" width="10.29"/>
    <col customWidth="1" min="3" max="3" width="6.86"/>
    <col customWidth="1" min="4" max="4" width="14.71"/>
    <col customWidth="1" min="5" max="5" width="7.57"/>
    <col customWidth="1" min="6" max="6" width="18.29"/>
    <col customWidth="1" min="7" max="18" width="5.71"/>
    <col customWidth="1" min="19" max="19" width="9.86"/>
    <col customWidth="1" min="20" max="20" width="11.0"/>
    <col customWidth="1" hidden="1" min="21" max="21" width="11.0"/>
  </cols>
  <sheetData>
    <row r="1">
      <c r="A1" s="14"/>
      <c r="B1" s="16" t="s">
        <v>19</v>
      </c>
      <c r="C1" s="16" t="s">
        <v>135</v>
      </c>
      <c r="D1" s="57" t="s">
        <v>22</v>
      </c>
      <c r="E1" s="57" t="s">
        <v>23</v>
      </c>
      <c r="F1" s="57" t="s">
        <v>25</v>
      </c>
      <c r="G1" s="57" t="s">
        <v>115</v>
      </c>
      <c r="K1" s="57" t="s">
        <v>116</v>
      </c>
      <c r="O1" s="57" t="s">
        <v>117</v>
      </c>
      <c r="S1" s="57" t="s">
        <v>118</v>
      </c>
      <c r="T1" s="57" t="s">
        <v>119</v>
      </c>
      <c r="U1" s="57"/>
    </row>
    <row r="2">
      <c r="A2" s="81"/>
      <c r="B2" s="83" t="s">
        <v>19</v>
      </c>
      <c r="C2" s="83" t="s">
        <v>135</v>
      </c>
      <c r="D2" s="83" t="s">
        <v>22</v>
      </c>
      <c r="E2" s="84" t="s">
        <v>23</v>
      </c>
      <c r="F2" s="83" t="s">
        <v>25</v>
      </c>
      <c r="G2" s="83" t="s">
        <v>136</v>
      </c>
      <c r="H2" s="83" t="s">
        <v>137</v>
      </c>
      <c r="I2" s="83" t="s">
        <v>138</v>
      </c>
      <c r="J2" s="83" t="s">
        <v>139</v>
      </c>
      <c r="K2" s="83" t="s">
        <v>140</v>
      </c>
      <c r="L2" s="83" t="s">
        <v>141</v>
      </c>
      <c r="M2" s="83" t="s">
        <v>142</v>
      </c>
      <c r="N2" s="83" t="s">
        <v>143</v>
      </c>
      <c r="O2" s="83" t="s">
        <v>144</v>
      </c>
      <c r="P2" s="83" t="s">
        <v>145</v>
      </c>
      <c r="Q2" s="83" t="s">
        <v>146</v>
      </c>
      <c r="R2" s="83" t="s">
        <v>147</v>
      </c>
      <c r="S2" s="83"/>
      <c r="T2" s="84" t="s">
        <v>119</v>
      </c>
      <c r="U2" s="84"/>
    </row>
    <row r="3">
      <c r="A3" s="85">
        <v>1.0</v>
      </c>
      <c r="B3" s="35"/>
      <c r="C3" s="35"/>
      <c r="D3" s="86"/>
      <c r="E3" s="35"/>
      <c r="F3" s="86"/>
      <c r="G3" s="35"/>
      <c r="H3" s="85"/>
      <c r="I3" s="85"/>
      <c r="J3" s="87" t="str">
        <f t="shared" ref="J3:J77" si="1">IFERROR(__xludf.DUMMYFUNCTION("if(isblank(B3),,Max(if(right(G3,1)=""g"",split(G3,""g""),),if(right(H3,1)=""g"",split(H3,""g""),),if(right(I3,1)=""g"",split(I3,""g""),)))"),"")</f>
        <v/>
      </c>
      <c r="K3" s="35"/>
      <c r="L3" s="88"/>
      <c r="M3" s="88"/>
      <c r="N3" s="87" t="str">
        <f t="shared" ref="N3:N77" si="2">IFERROR(__xludf.DUMMYFUNCTION("if(isblank($B3),,Max(if(right(K3,1)=""g"",split(K3,""g""),),if(right(L3,1)=""g"",split(L3,""g""),),if(right(M3,1)=""g"",split(M3,""g""),)))"),"")</f>
        <v/>
      </c>
      <c r="O3" s="35"/>
      <c r="P3" s="88"/>
      <c r="Q3" s="88"/>
      <c r="R3" s="87" t="str">
        <f t="shared" ref="R3:R77" si="3">IFERROR(__xludf.DUMMYFUNCTION("if(isblank($B3),,Max(if(right(O3,1)=""g"",split(O3,""g""),),if(right(P3,1)=""g"",split(P3,""g""),),if(right(Q3,1)=""g"",split(Q3,""g""),)))"),"")</f>
        <v/>
      </c>
      <c r="S3" s="90" t="str">
        <f t="shared" ref="S3:S77" si="4">if(isblank(F3),,if(or(and(right(G3,1)="x",right(H3,1)="x",right(I3,1)="x"),and(right(K3,1)="x",right(L3,1)="x",right(M3,1)="x"),and(right(O3,1)="x",right(P3,1)="x",right(Q3,1)="x")),0,J3+N3+R3))</f>
        <v/>
      </c>
      <c r="T3" s="91" t="str">
        <f t="shared" ref="T3:T77" si="5">if(isblank(E3),,S3/E3)</f>
        <v/>
      </c>
      <c r="U3" s="85">
        <f t="shared" ref="U3:U77" si="6">countif(G3:Q3,"*g")</f>
        <v>0</v>
      </c>
    </row>
    <row r="4">
      <c r="A4" s="85">
        <v>2.0</v>
      </c>
      <c r="B4" s="35"/>
      <c r="C4" s="35"/>
      <c r="D4" s="86"/>
      <c r="E4" s="35"/>
      <c r="F4" s="86"/>
      <c r="G4" s="35"/>
      <c r="H4" s="85"/>
      <c r="I4" s="85"/>
      <c r="J4" s="87" t="str">
        <f t="shared" si="1"/>
        <v/>
      </c>
      <c r="K4" s="35"/>
      <c r="L4" s="88"/>
      <c r="M4" s="88"/>
      <c r="N4" s="87" t="str">
        <f t="shared" si="2"/>
        <v/>
      </c>
      <c r="O4" s="35"/>
      <c r="P4" s="88"/>
      <c r="Q4" s="88"/>
      <c r="R4" s="87" t="str">
        <f t="shared" si="3"/>
        <v/>
      </c>
      <c r="S4" s="90" t="str">
        <f t="shared" si="4"/>
        <v/>
      </c>
      <c r="T4" s="91" t="str">
        <f t="shared" si="5"/>
        <v/>
      </c>
      <c r="U4" s="85">
        <f t="shared" si="6"/>
        <v>0</v>
      </c>
    </row>
    <row r="5">
      <c r="A5" s="85">
        <v>3.0</v>
      </c>
      <c r="B5" s="35"/>
      <c r="C5" s="35"/>
      <c r="D5" s="86"/>
      <c r="E5" s="35"/>
      <c r="F5" s="86"/>
      <c r="G5" s="35"/>
      <c r="H5" s="85"/>
      <c r="I5" s="85"/>
      <c r="J5" s="87" t="str">
        <f t="shared" si="1"/>
        <v/>
      </c>
      <c r="K5" s="35"/>
      <c r="L5" s="88"/>
      <c r="M5" s="88"/>
      <c r="N5" s="87" t="str">
        <f t="shared" si="2"/>
        <v/>
      </c>
      <c r="O5" s="35"/>
      <c r="P5" s="88"/>
      <c r="Q5" s="88"/>
      <c r="R5" s="87" t="str">
        <f t="shared" si="3"/>
        <v/>
      </c>
      <c r="S5" s="90" t="str">
        <f t="shared" si="4"/>
        <v/>
      </c>
      <c r="T5" s="91" t="str">
        <f t="shared" si="5"/>
        <v/>
      </c>
      <c r="U5" s="85">
        <f t="shared" si="6"/>
        <v>0</v>
      </c>
    </row>
    <row r="6" ht="16.5" customHeight="1">
      <c r="A6" s="85">
        <v>4.0</v>
      </c>
      <c r="B6" s="35"/>
      <c r="C6" s="35"/>
      <c r="D6" s="86"/>
      <c r="E6" s="35"/>
      <c r="F6" s="86"/>
      <c r="G6" s="35"/>
      <c r="H6" s="85"/>
      <c r="I6" s="85"/>
      <c r="J6" s="87" t="str">
        <f t="shared" si="1"/>
        <v/>
      </c>
      <c r="K6" s="35"/>
      <c r="L6" s="88"/>
      <c r="M6" s="88"/>
      <c r="N6" s="87" t="str">
        <f t="shared" si="2"/>
        <v/>
      </c>
      <c r="O6" s="35"/>
      <c r="P6" s="88"/>
      <c r="Q6" s="88"/>
      <c r="R6" s="87" t="str">
        <f t="shared" si="3"/>
        <v/>
      </c>
      <c r="S6" s="90" t="str">
        <f t="shared" si="4"/>
        <v/>
      </c>
      <c r="T6" s="91" t="str">
        <f t="shared" si="5"/>
        <v/>
      </c>
      <c r="U6" s="85">
        <f t="shared" si="6"/>
        <v>0</v>
      </c>
    </row>
    <row r="7">
      <c r="A7" s="85">
        <v>5.0</v>
      </c>
      <c r="B7" s="35"/>
      <c r="C7" s="35"/>
      <c r="D7" s="86"/>
      <c r="E7" s="35"/>
      <c r="F7" s="86"/>
      <c r="G7" s="35"/>
      <c r="H7" s="85"/>
      <c r="I7" s="85"/>
      <c r="J7" s="87" t="str">
        <f t="shared" si="1"/>
        <v/>
      </c>
      <c r="K7" s="35"/>
      <c r="L7" s="88"/>
      <c r="M7" s="88"/>
      <c r="N7" s="87" t="str">
        <f t="shared" si="2"/>
        <v/>
      </c>
      <c r="O7" s="35"/>
      <c r="P7" s="88"/>
      <c r="Q7" s="88"/>
      <c r="R7" s="87" t="str">
        <f t="shared" si="3"/>
        <v/>
      </c>
      <c r="S7" s="90" t="str">
        <f t="shared" si="4"/>
        <v/>
      </c>
      <c r="T7" s="91" t="str">
        <f t="shared" si="5"/>
        <v/>
      </c>
      <c r="U7" s="85">
        <f t="shared" si="6"/>
        <v>0</v>
      </c>
    </row>
    <row r="8">
      <c r="A8" s="85">
        <v>6.0</v>
      </c>
      <c r="B8" s="35"/>
      <c r="C8" s="35"/>
      <c r="D8" s="86"/>
      <c r="E8" s="35"/>
      <c r="F8" s="86"/>
      <c r="G8" s="35"/>
      <c r="H8" s="85"/>
      <c r="I8" s="89"/>
      <c r="J8" s="87" t="str">
        <f t="shared" si="1"/>
        <v/>
      </c>
      <c r="K8" s="35"/>
      <c r="L8" s="88"/>
      <c r="M8" s="88"/>
      <c r="N8" s="87" t="str">
        <f t="shared" si="2"/>
        <v/>
      </c>
      <c r="O8" s="35"/>
      <c r="P8" s="88"/>
      <c r="Q8" s="88"/>
      <c r="R8" s="87" t="str">
        <f t="shared" si="3"/>
        <v/>
      </c>
      <c r="S8" s="90" t="str">
        <f t="shared" si="4"/>
        <v/>
      </c>
      <c r="T8" s="91" t="str">
        <f t="shared" si="5"/>
        <v/>
      </c>
      <c r="U8" s="85">
        <f t="shared" si="6"/>
        <v>0</v>
      </c>
    </row>
    <row r="9">
      <c r="A9" s="85">
        <v>7.0</v>
      </c>
      <c r="B9" s="35"/>
      <c r="C9" s="35"/>
      <c r="D9" s="86"/>
      <c r="E9" s="35"/>
      <c r="F9" s="86"/>
      <c r="G9" s="35"/>
      <c r="H9" s="85"/>
      <c r="I9" s="85"/>
      <c r="J9" s="87" t="str">
        <f t="shared" si="1"/>
        <v/>
      </c>
      <c r="K9" s="35"/>
      <c r="L9" s="88"/>
      <c r="M9" s="88"/>
      <c r="N9" s="87" t="str">
        <f t="shared" si="2"/>
        <v/>
      </c>
      <c r="O9" s="35"/>
      <c r="P9" s="88"/>
      <c r="Q9" s="88"/>
      <c r="R9" s="87" t="str">
        <f t="shared" si="3"/>
        <v/>
      </c>
      <c r="S9" s="90" t="str">
        <f t="shared" si="4"/>
        <v/>
      </c>
      <c r="T9" s="91" t="str">
        <f t="shared" si="5"/>
        <v/>
      </c>
      <c r="U9" s="85">
        <f t="shared" si="6"/>
        <v>0</v>
      </c>
    </row>
    <row r="10">
      <c r="A10" s="85">
        <v>8.0</v>
      </c>
      <c r="B10" s="35"/>
      <c r="C10" s="35"/>
      <c r="D10" s="86"/>
      <c r="E10" s="35"/>
      <c r="F10" s="86"/>
      <c r="G10" s="35"/>
      <c r="H10" s="85"/>
      <c r="I10" s="85"/>
      <c r="J10" s="87" t="str">
        <f t="shared" si="1"/>
        <v/>
      </c>
      <c r="K10" s="35"/>
      <c r="L10" s="88"/>
      <c r="M10" s="88"/>
      <c r="N10" s="87" t="str">
        <f t="shared" si="2"/>
        <v/>
      </c>
      <c r="O10" s="35"/>
      <c r="P10" s="88"/>
      <c r="Q10" s="88"/>
      <c r="R10" s="87" t="str">
        <f t="shared" si="3"/>
        <v/>
      </c>
      <c r="S10" s="90" t="str">
        <f t="shared" si="4"/>
        <v/>
      </c>
      <c r="T10" s="91" t="str">
        <f t="shared" si="5"/>
        <v/>
      </c>
      <c r="U10" s="85">
        <f t="shared" si="6"/>
        <v>0</v>
      </c>
    </row>
    <row r="11">
      <c r="A11" s="85">
        <v>9.0</v>
      </c>
      <c r="B11" s="35"/>
      <c r="C11" s="35"/>
      <c r="D11" s="86"/>
      <c r="E11" s="35"/>
      <c r="F11" s="86"/>
      <c r="G11" s="35"/>
      <c r="H11" s="85"/>
      <c r="I11" s="85"/>
      <c r="J11" s="87" t="str">
        <f t="shared" si="1"/>
        <v/>
      </c>
      <c r="K11" s="35"/>
      <c r="L11" s="88"/>
      <c r="M11" s="88"/>
      <c r="N11" s="87" t="str">
        <f t="shared" si="2"/>
        <v/>
      </c>
      <c r="O11" s="35"/>
      <c r="P11" s="88"/>
      <c r="Q11" s="88"/>
      <c r="R11" s="87" t="str">
        <f t="shared" si="3"/>
        <v/>
      </c>
      <c r="S11" s="90" t="str">
        <f t="shared" si="4"/>
        <v/>
      </c>
      <c r="T11" s="91" t="str">
        <f t="shared" si="5"/>
        <v/>
      </c>
      <c r="U11" s="85">
        <f t="shared" si="6"/>
        <v>0</v>
      </c>
    </row>
    <row r="12">
      <c r="A12" s="85">
        <v>10.0</v>
      </c>
      <c r="B12" s="35"/>
      <c r="C12" s="35"/>
      <c r="D12" s="86"/>
      <c r="E12" s="35"/>
      <c r="F12" s="86"/>
      <c r="G12" s="35"/>
      <c r="H12" s="85"/>
      <c r="I12" s="85"/>
      <c r="J12" s="87" t="str">
        <f t="shared" si="1"/>
        <v/>
      </c>
      <c r="K12" s="35"/>
      <c r="L12" s="88"/>
      <c r="M12" s="85"/>
      <c r="N12" s="87" t="str">
        <f t="shared" si="2"/>
        <v/>
      </c>
      <c r="O12" s="35"/>
      <c r="P12" s="88"/>
      <c r="Q12" s="85"/>
      <c r="R12" s="87" t="str">
        <f t="shared" si="3"/>
        <v/>
      </c>
      <c r="S12" s="90" t="str">
        <f t="shared" si="4"/>
        <v/>
      </c>
      <c r="T12" s="91" t="str">
        <f t="shared" si="5"/>
        <v/>
      </c>
      <c r="U12" s="85">
        <f t="shared" si="6"/>
        <v>0</v>
      </c>
    </row>
    <row r="13">
      <c r="A13" s="85">
        <v>11.0</v>
      </c>
      <c r="B13" s="35"/>
      <c r="C13" s="35"/>
      <c r="D13" s="86"/>
      <c r="E13" s="35"/>
      <c r="F13" s="86"/>
      <c r="G13" s="35"/>
      <c r="H13" s="85"/>
      <c r="I13" s="85"/>
      <c r="J13" s="87" t="str">
        <f t="shared" si="1"/>
        <v/>
      </c>
      <c r="K13" s="35"/>
      <c r="L13" s="88"/>
      <c r="M13" s="88"/>
      <c r="N13" s="87" t="str">
        <f t="shared" si="2"/>
        <v/>
      </c>
      <c r="O13" s="35"/>
      <c r="P13" s="88"/>
      <c r="Q13" s="88"/>
      <c r="R13" s="87" t="str">
        <f t="shared" si="3"/>
        <v/>
      </c>
      <c r="S13" s="90" t="str">
        <f t="shared" si="4"/>
        <v/>
      </c>
      <c r="T13" s="91" t="str">
        <f t="shared" si="5"/>
        <v/>
      </c>
      <c r="U13" s="85">
        <f t="shared" si="6"/>
        <v>0</v>
      </c>
    </row>
    <row r="14">
      <c r="A14" s="85">
        <v>12.0</v>
      </c>
      <c r="B14" s="35"/>
      <c r="C14" s="35"/>
      <c r="D14" s="86"/>
      <c r="E14" s="35"/>
      <c r="F14" s="86"/>
      <c r="G14" s="35"/>
      <c r="H14" s="85"/>
      <c r="I14" s="85"/>
      <c r="J14" s="87" t="str">
        <f t="shared" si="1"/>
        <v/>
      </c>
      <c r="K14" s="35"/>
      <c r="L14" s="88"/>
      <c r="M14" s="88"/>
      <c r="N14" s="87" t="str">
        <f t="shared" si="2"/>
        <v/>
      </c>
      <c r="O14" s="35"/>
      <c r="P14" s="88"/>
      <c r="Q14" s="88"/>
      <c r="R14" s="87" t="str">
        <f t="shared" si="3"/>
        <v/>
      </c>
      <c r="S14" s="90" t="str">
        <f t="shared" si="4"/>
        <v/>
      </c>
      <c r="T14" s="91" t="str">
        <f t="shared" si="5"/>
        <v/>
      </c>
      <c r="U14" s="85">
        <f t="shared" si="6"/>
        <v>0</v>
      </c>
    </row>
    <row r="15">
      <c r="A15" s="85">
        <v>13.0</v>
      </c>
      <c r="B15" s="35"/>
      <c r="C15" s="35"/>
      <c r="D15" s="86"/>
      <c r="E15" s="35"/>
      <c r="F15" s="86"/>
      <c r="G15" s="35"/>
      <c r="H15" s="85"/>
      <c r="I15" s="85"/>
      <c r="J15" s="87" t="str">
        <f t="shared" si="1"/>
        <v/>
      </c>
      <c r="K15" s="35"/>
      <c r="L15" s="88"/>
      <c r="M15" s="88"/>
      <c r="N15" s="87" t="str">
        <f t="shared" si="2"/>
        <v/>
      </c>
      <c r="O15" s="35"/>
      <c r="P15" s="88"/>
      <c r="Q15" s="88"/>
      <c r="R15" s="87" t="str">
        <f t="shared" si="3"/>
        <v/>
      </c>
      <c r="S15" s="90" t="str">
        <f t="shared" si="4"/>
        <v/>
      </c>
      <c r="T15" s="91" t="str">
        <f t="shared" si="5"/>
        <v/>
      </c>
      <c r="U15" s="85">
        <f t="shared" si="6"/>
        <v>0</v>
      </c>
    </row>
    <row r="16">
      <c r="A16" s="85">
        <v>14.0</v>
      </c>
      <c r="B16" s="35"/>
      <c r="C16" s="35"/>
      <c r="D16" s="86"/>
      <c r="E16" s="35"/>
      <c r="F16" s="86"/>
      <c r="G16" s="35"/>
      <c r="H16" s="85"/>
      <c r="I16" s="85"/>
      <c r="J16" s="87" t="str">
        <f t="shared" si="1"/>
        <v/>
      </c>
      <c r="K16" s="35"/>
      <c r="L16" s="88"/>
      <c r="M16" s="88"/>
      <c r="N16" s="87" t="str">
        <f t="shared" si="2"/>
        <v/>
      </c>
      <c r="O16" s="35"/>
      <c r="P16" s="88"/>
      <c r="Q16" s="88"/>
      <c r="R16" s="87" t="str">
        <f t="shared" si="3"/>
        <v/>
      </c>
      <c r="S16" s="90" t="str">
        <f t="shared" si="4"/>
        <v/>
      </c>
      <c r="T16" s="91" t="str">
        <f t="shared" si="5"/>
        <v/>
      </c>
      <c r="U16" s="85">
        <f t="shared" si="6"/>
        <v>0</v>
      </c>
    </row>
    <row r="17">
      <c r="A17" s="85">
        <v>15.0</v>
      </c>
      <c r="B17" s="35"/>
      <c r="C17" s="35"/>
      <c r="D17" s="86"/>
      <c r="E17" s="35"/>
      <c r="F17" s="86"/>
      <c r="G17" s="35"/>
      <c r="H17" s="85"/>
      <c r="I17" s="85"/>
      <c r="J17" s="87" t="str">
        <f t="shared" si="1"/>
        <v/>
      </c>
      <c r="K17" s="35"/>
      <c r="L17" s="88"/>
      <c r="M17" s="88"/>
      <c r="N17" s="87" t="str">
        <f t="shared" si="2"/>
        <v/>
      </c>
      <c r="O17" s="35"/>
      <c r="P17" s="88"/>
      <c r="Q17" s="88"/>
      <c r="R17" s="87" t="str">
        <f t="shared" si="3"/>
        <v/>
      </c>
      <c r="S17" s="90" t="str">
        <f t="shared" si="4"/>
        <v/>
      </c>
      <c r="T17" s="91" t="str">
        <f t="shared" si="5"/>
        <v/>
      </c>
      <c r="U17" s="85">
        <f t="shared" si="6"/>
        <v>0</v>
      </c>
    </row>
    <row r="18">
      <c r="A18" s="85">
        <v>16.0</v>
      </c>
      <c r="B18" s="35"/>
      <c r="C18" s="35"/>
      <c r="D18" s="86"/>
      <c r="E18" s="35"/>
      <c r="F18" s="86"/>
      <c r="G18" s="35"/>
      <c r="H18" s="85"/>
      <c r="I18" s="85"/>
      <c r="J18" s="87" t="str">
        <f t="shared" si="1"/>
        <v/>
      </c>
      <c r="K18" s="35"/>
      <c r="L18" s="88"/>
      <c r="M18" s="88"/>
      <c r="N18" s="87" t="str">
        <f t="shared" si="2"/>
        <v/>
      </c>
      <c r="O18" s="35"/>
      <c r="P18" s="88"/>
      <c r="Q18" s="88"/>
      <c r="R18" s="87" t="str">
        <f t="shared" si="3"/>
        <v/>
      </c>
      <c r="S18" s="90" t="str">
        <f t="shared" si="4"/>
        <v/>
      </c>
      <c r="T18" s="91" t="str">
        <f t="shared" si="5"/>
        <v/>
      </c>
      <c r="U18" s="85">
        <f t="shared" si="6"/>
        <v>0</v>
      </c>
    </row>
    <row r="19">
      <c r="A19" s="85">
        <v>17.0</v>
      </c>
      <c r="B19" s="35"/>
      <c r="C19" s="35"/>
      <c r="D19" s="86"/>
      <c r="E19" s="35"/>
      <c r="F19" s="86"/>
      <c r="G19" s="35"/>
      <c r="H19" s="85"/>
      <c r="I19" s="85"/>
      <c r="J19" s="87" t="str">
        <f t="shared" si="1"/>
        <v/>
      </c>
      <c r="K19" s="35"/>
      <c r="L19" s="88"/>
      <c r="M19" s="85"/>
      <c r="N19" s="87" t="str">
        <f t="shared" si="2"/>
        <v/>
      </c>
      <c r="O19" s="35"/>
      <c r="P19" s="88"/>
      <c r="Q19" s="85"/>
      <c r="R19" s="87" t="str">
        <f t="shared" si="3"/>
        <v/>
      </c>
      <c r="S19" s="90" t="str">
        <f t="shared" si="4"/>
        <v/>
      </c>
      <c r="T19" s="91" t="str">
        <f t="shared" si="5"/>
        <v/>
      </c>
      <c r="U19" s="85">
        <f t="shared" si="6"/>
        <v>0</v>
      </c>
    </row>
    <row r="20">
      <c r="A20" s="85">
        <v>18.0</v>
      </c>
      <c r="B20" s="35"/>
      <c r="C20" s="35"/>
      <c r="D20" s="86"/>
      <c r="E20" s="35"/>
      <c r="F20" s="86"/>
      <c r="G20" s="35"/>
      <c r="H20" s="85"/>
      <c r="I20" s="85"/>
      <c r="J20" s="87" t="str">
        <f t="shared" si="1"/>
        <v/>
      </c>
      <c r="K20" s="35"/>
      <c r="L20" s="88"/>
      <c r="M20" s="89"/>
      <c r="N20" s="87" t="str">
        <f t="shared" si="2"/>
        <v/>
      </c>
      <c r="O20" s="35"/>
      <c r="P20" s="88"/>
      <c r="Q20" s="88"/>
      <c r="R20" s="87" t="str">
        <f t="shared" si="3"/>
        <v/>
      </c>
      <c r="S20" s="90" t="str">
        <f t="shared" si="4"/>
        <v/>
      </c>
      <c r="T20" s="91" t="str">
        <f t="shared" si="5"/>
        <v/>
      </c>
      <c r="U20" s="85">
        <f t="shared" si="6"/>
        <v>0</v>
      </c>
    </row>
    <row r="21">
      <c r="A21" s="85">
        <v>19.0</v>
      </c>
      <c r="B21" s="35"/>
      <c r="C21" s="35"/>
      <c r="D21" s="86"/>
      <c r="E21" s="35"/>
      <c r="F21" s="86"/>
      <c r="G21" s="35"/>
      <c r="H21" s="85"/>
      <c r="I21" s="85"/>
      <c r="J21" s="87" t="str">
        <f t="shared" si="1"/>
        <v/>
      </c>
      <c r="K21" s="35"/>
      <c r="L21" s="88"/>
      <c r="M21" s="85"/>
      <c r="N21" s="87" t="str">
        <f t="shared" si="2"/>
        <v/>
      </c>
      <c r="O21" s="35"/>
      <c r="P21" s="88"/>
      <c r="Q21" s="85"/>
      <c r="R21" s="87" t="str">
        <f t="shared" si="3"/>
        <v/>
      </c>
      <c r="S21" s="90" t="str">
        <f t="shared" si="4"/>
        <v/>
      </c>
      <c r="T21" s="91" t="str">
        <f t="shared" si="5"/>
        <v/>
      </c>
      <c r="U21" s="85">
        <f t="shared" si="6"/>
        <v>0</v>
      </c>
    </row>
    <row r="22">
      <c r="A22" s="85">
        <v>20.0</v>
      </c>
      <c r="B22" s="35"/>
      <c r="C22" s="35"/>
      <c r="D22" s="86"/>
      <c r="E22" s="35"/>
      <c r="F22" s="86"/>
      <c r="G22" s="35"/>
      <c r="H22" s="85"/>
      <c r="I22" s="85"/>
      <c r="J22" s="87" t="str">
        <f t="shared" si="1"/>
        <v/>
      </c>
      <c r="K22" s="35"/>
      <c r="L22" s="88"/>
      <c r="M22" s="88"/>
      <c r="N22" s="87" t="str">
        <f t="shared" si="2"/>
        <v/>
      </c>
      <c r="O22" s="35"/>
      <c r="P22" s="88"/>
      <c r="Q22" s="88"/>
      <c r="R22" s="87" t="str">
        <f t="shared" si="3"/>
        <v/>
      </c>
      <c r="S22" s="90" t="str">
        <f t="shared" si="4"/>
        <v/>
      </c>
      <c r="T22" s="91" t="str">
        <f t="shared" si="5"/>
        <v/>
      </c>
      <c r="U22" s="85">
        <f t="shared" si="6"/>
        <v>0</v>
      </c>
    </row>
    <row r="23">
      <c r="A23" s="85">
        <v>21.0</v>
      </c>
      <c r="B23" s="35"/>
      <c r="C23" s="35"/>
      <c r="D23" s="86"/>
      <c r="E23" s="35"/>
      <c r="F23" s="86"/>
      <c r="G23" s="35"/>
      <c r="H23" s="85"/>
      <c r="I23" s="85"/>
      <c r="J23" s="87" t="str">
        <f t="shared" si="1"/>
        <v/>
      </c>
      <c r="K23" s="35"/>
      <c r="L23" s="88"/>
      <c r="M23" s="88"/>
      <c r="N23" s="87" t="str">
        <f t="shared" si="2"/>
        <v/>
      </c>
      <c r="O23" s="35"/>
      <c r="P23" s="88"/>
      <c r="Q23" s="88"/>
      <c r="R23" s="87" t="str">
        <f t="shared" si="3"/>
        <v/>
      </c>
      <c r="S23" s="90" t="str">
        <f t="shared" si="4"/>
        <v/>
      </c>
      <c r="T23" s="91" t="str">
        <f t="shared" si="5"/>
        <v/>
      </c>
      <c r="U23" s="85">
        <f t="shared" si="6"/>
        <v>0</v>
      </c>
    </row>
    <row r="24">
      <c r="A24" s="85">
        <v>22.0</v>
      </c>
      <c r="B24" s="35"/>
      <c r="C24" s="35"/>
      <c r="D24" s="86"/>
      <c r="E24" s="35"/>
      <c r="F24" s="86"/>
      <c r="G24" s="35"/>
      <c r="H24" s="85"/>
      <c r="I24" s="85"/>
      <c r="J24" s="87" t="str">
        <f t="shared" si="1"/>
        <v/>
      </c>
      <c r="K24" s="35"/>
      <c r="L24" s="88"/>
      <c r="M24" s="88"/>
      <c r="N24" s="87" t="str">
        <f t="shared" si="2"/>
        <v/>
      </c>
      <c r="O24" s="35"/>
      <c r="P24" s="88"/>
      <c r="Q24" s="88"/>
      <c r="R24" s="87" t="str">
        <f t="shared" si="3"/>
        <v/>
      </c>
      <c r="S24" s="90" t="str">
        <f t="shared" si="4"/>
        <v/>
      </c>
      <c r="T24" s="91" t="str">
        <f t="shared" si="5"/>
        <v/>
      </c>
      <c r="U24" s="85">
        <f t="shared" si="6"/>
        <v>0</v>
      </c>
    </row>
    <row r="25">
      <c r="A25" s="85">
        <v>23.0</v>
      </c>
      <c r="B25" s="35"/>
      <c r="C25" s="35"/>
      <c r="D25" s="86"/>
      <c r="E25" s="35"/>
      <c r="F25" s="86"/>
      <c r="G25" s="35"/>
      <c r="H25" s="85"/>
      <c r="I25" s="85"/>
      <c r="J25" s="87" t="str">
        <f t="shared" si="1"/>
        <v/>
      </c>
      <c r="K25" s="35"/>
      <c r="L25" s="88"/>
      <c r="M25" s="88"/>
      <c r="N25" s="87" t="str">
        <f t="shared" si="2"/>
        <v/>
      </c>
      <c r="O25" s="35"/>
      <c r="P25" s="88"/>
      <c r="Q25" s="88"/>
      <c r="R25" s="87" t="str">
        <f t="shared" si="3"/>
        <v/>
      </c>
      <c r="S25" s="90" t="str">
        <f t="shared" si="4"/>
        <v/>
      </c>
      <c r="T25" s="91" t="str">
        <f t="shared" si="5"/>
        <v/>
      </c>
      <c r="U25" s="85">
        <f t="shared" si="6"/>
        <v>0</v>
      </c>
    </row>
    <row r="26">
      <c r="A26" s="85">
        <v>24.0</v>
      </c>
      <c r="B26" s="35"/>
      <c r="C26" s="35"/>
      <c r="D26" s="86"/>
      <c r="E26" s="35"/>
      <c r="F26" s="86"/>
      <c r="G26" s="35"/>
      <c r="H26" s="93"/>
      <c r="I26" s="93"/>
      <c r="J26" s="87" t="str">
        <f t="shared" si="1"/>
        <v/>
      </c>
      <c r="K26" s="93"/>
      <c r="L26" s="93"/>
      <c r="M26" s="93"/>
      <c r="N26" s="87" t="str">
        <f t="shared" si="2"/>
        <v/>
      </c>
      <c r="O26" s="93"/>
      <c r="P26" s="93"/>
      <c r="Q26" s="93"/>
      <c r="R26" s="87" t="str">
        <f t="shared" si="3"/>
        <v/>
      </c>
      <c r="S26" s="90" t="str">
        <f t="shared" si="4"/>
        <v/>
      </c>
      <c r="T26" s="91" t="str">
        <f t="shared" si="5"/>
        <v/>
      </c>
      <c r="U26" s="85">
        <f t="shared" si="6"/>
        <v>0</v>
      </c>
    </row>
    <row r="27">
      <c r="A27" s="85">
        <v>25.0</v>
      </c>
      <c r="B27" s="35"/>
      <c r="C27" s="35"/>
      <c r="D27" s="86"/>
      <c r="E27" s="35"/>
      <c r="F27" s="86"/>
      <c r="G27" s="35"/>
      <c r="H27" s="93"/>
      <c r="I27" s="93"/>
      <c r="J27" s="87" t="str">
        <f t="shared" si="1"/>
        <v/>
      </c>
      <c r="K27" s="93"/>
      <c r="L27" s="93"/>
      <c r="M27" s="93"/>
      <c r="N27" s="87" t="str">
        <f t="shared" si="2"/>
        <v/>
      </c>
      <c r="O27" s="93"/>
      <c r="P27" s="93"/>
      <c r="Q27" s="93"/>
      <c r="R27" s="87" t="str">
        <f t="shared" si="3"/>
        <v/>
      </c>
      <c r="S27" s="90" t="str">
        <f t="shared" si="4"/>
        <v/>
      </c>
      <c r="T27" s="91" t="str">
        <f t="shared" si="5"/>
        <v/>
      </c>
      <c r="U27" s="85">
        <f t="shared" si="6"/>
        <v>0</v>
      </c>
    </row>
    <row r="28">
      <c r="A28" s="85">
        <v>26.0</v>
      </c>
      <c r="B28" s="35"/>
      <c r="C28" s="35"/>
      <c r="D28" s="86"/>
      <c r="E28" s="35"/>
      <c r="F28" s="86"/>
      <c r="G28" s="35"/>
      <c r="H28" s="93"/>
      <c r="I28" s="93"/>
      <c r="J28" s="87" t="str">
        <f t="shared" si="1"/>
        <v/>
      </c>
      <c r="K28" s="93"/>
      <c r="L28" s="93"/>
      <c r="M28" s="93"/>
      <c r="N28" s="87" t="str">
        <f t="shared" si="2"/>
        <v/>
      </c>
      <c r="O28" s="93"/>
      <c r="P28" s="93"/>
      <c r="Q28" s="93"/>
      <c r="R28" s="87" t="str">
        <f t="shared" si="3"/>
        <v/>
      </c>
      <c r="S28" s="90" t="str">
        <f t="shared" si="4"/>
        <v/>
      </c>
      <c r="T28" s="91" t="str">
        <f t="shared" si="5"/>
        <v/>
      </c>
      <c r="U28" s="85">
        <f t="shared" si="6"/>
        <v>0</v>
      </c>
    </row>
    <row r="29">
      <c r="A29" s="85">
        <v>27.0</v>
      </c>
      <c r="B29" s="35"/>
      <c r="C29" s="35"/>
      <c r="D29" s="86"/>
      <c r="E29" s="35"/>
      <c r="F29" s="86"/>
      <c r="G29" s="35"/>
      <c r="H29" s="93"/>
      <c r="I29" s="93"/>
      <c r="J29" s="87" t="str">
        <f t="shared" si="1"/>
        <v/>
      </c>
      <c r="K29" s="93"/>
      <c r="L29" s="93"/>
      <c r="M29" s="93"/>
      <c r="N29" s="87" t="str">
        <f t="shared" si="2"/>
        <v/>
      </c>
      <c r="O29" s="93"/>
      <c r="P29" s="93"/>
      <c r="Q29" s="93"/>
      <c r="R29" s="87" t="str">
        <f t="shared" si="3"/>
        <v/>
      </c>
      <c r="S29" s="90" t="str">
        <f t="shared" si="4"/>
        <v/>
      </c>
      <c r="T29" s="91" t="str">
        <f t="shared" si="5"/>
        <v/>
      </c>
      <c r="U29" s="85">
        <f t="shared" si="6"/>
        <v>0</v>
      </c>
    </row>
    <row r="30">
      <c r="A30" s="85">
        <v>28.0</v>
      </c>
      <c r="B30" s="35"/>
      <c r="C30" s="35"/>
      <c r="D30" s="86"/>
      <c r="E30" s="35"/>
      <c r="F30" s="86"/>
      <c r="G30" s="35"/>
      <c r="H30" s="93"/>
      <c r="I30" s="93"/>
      <c r="J30" s="87" t="str">
        <f t="shared" si="1"/>
        <v/>
      </c>
      <c r="K30" s="93"/>
      <c r="L30" s="93"/>
      <c r="M30" s="93"/>
      <c r="N30" s="87" t="str">
        <f t="shared" si="2"/>
        <v/>
      </c>
      <c r="O30" s="93"/>
      <c r="P30" s="93"/>
      <c r="Q30" s="93"/>
      <c r="R30" s="87" t="str">
        <f t="shared" si="3"/>
        <v/>
      </c>
      <c r="S30" s="90" t="str">
        <f t="shared" si="4"/>
        <v/>
      </c>
      <c r="T30" s="91" t="str">
        <f t="shared" si="5"/>
        <v/>
      </c>
      <c r="U30" s="85">
        <f t="shared" si="6"/>
        <v>0</v>
      </c>
    </row>
    <row r="31">
      <c r="A31" s="85">
        <v>29.0</v>
      </c>
      <c r="B31" s="35"/>
      <c r="C31" s="35"/>
      <c r="D31" s="86"/>
      <c r="E31" s="35"/>
      <c r="F31" s="86"/>
      <c r="G31" s="35"/>
      <c r="H31" s="93"/>
      <c r="I31" s="93"/>
      <c r="J31" s="87" t="str">
        <f t="shared" si="1"/>
        <v/>
      </c>
      <c r="K31" s="93"/>
      <c r="L31" s="93"/>
      <c r="M31" s="93"/>
      <c r="N31" s="87" t="str">
        <f t="shared" si="2"/>
        <v/>
      </c>
      <c r="O31" s="93"/>
      <c r="P31" s="93"/>
      <c r="Q31" s="93"/>
      <c r="R31" s="87" t="str">
        <f t="shared" si="3"/>
        <v/>
      </c>
      <c r="S31" s="90" t="str">
        <f t="shared" si="4"/>
        <v/>
      </c>
      <c r="T31" s="91" t="str">
        <f t="shared" si="5"/>
        <v/>
      </c>
      <c r="U31" s="85">
        <f t="shared" si="6"/>
        <v>0</v>
      </c>
    </row>
    <row r="32">
      <c r="A32" s="85">
        <v>30.0</v>
      </c>
      <c r="B32" s="35"/>
      <c r="C32" s="35"/>
      <c r="D32" s="86"/>
      <c r="E32" s="35"/>
      <c r="F32" s="86"/>
      <c r="G32" s="35"/>
      <c r="H32" s="93"/>
      <c r="I32" s="93"/>
      <c r="J32" s="87" t="str">
        <f t="shared" si="1"/>
        <v/>
      </c>
      <c r="K32" s="93"/>
      <c r="L32" s="93"/>
      <c r="M32" s="93"/>
      <c r="N32" s="87" t="str">
        <f t="shared" si="2"/>
        <v/>
      </c>
      <c r="O32" s="93"/>
      <c r="P32" s="93"/>
      <c r="Q32" s="93"/>
      <c r="R32" s="87" t="str">
        <f t="shared" si="3"/>
        <v/>
      </c>
      <c r="S32" s="90" t="str">
        <f t="shared" si="4"/>
        <v/>
      </c>
      <c r="T32" s="91" t="str">
        <f t="shared" si="5"/>
        <v/>
      </c>
      <c r="U32" s="85">
        <f t="shared" si="6"/>
        <v>0</v>
      </c>
    </row>
    <row r="33">
      <c r="A33" s="85">
        <v>31.0</v>
      </c>
      <c r="B33" s="35"/>
      <c r="C33" s="35"/>
      <c r="D33" s="86"/>
      <c r="E33" s="35"/>
      <c r="F33" s="86"/>
      <c r="G33" s="35"/>
      <c r="H33" s="93"/>
      <c r="I33" s="93"/>
      <c r="J33" s="87" t="str">
        <f t="shared" si="1"/>
        <v/>
      </c>
      <c r="K33" s="93"/>
      <c r="L33" s="93"/>
      <c r="M33" s="93"/>
      <c r="N33" s="87" t="str">
        <f t="shared" si="2"/>
        <v/>
      </c>
      <c r="O33" s="93"/>
      <c r="P33" s="93"/>
      <c r="Q33" s="93"/>
      <c r="R33" s="87" t="str">
        <f t="shared" si="3"/>
        <v/>
      </c>
      <c r="S33" s="90" t="str">
        <f t="shared" si="4"/>
        <v/>
      </c>
      <c r="T33" s="91" t="str">
        <f t="shared" si="5"/>
        <v/>
      </c>
      <c r="U33" s="85">
        <f t="shared" si="6"/>
        <v>0</v>
      </c>
    </row>
    <row r="34">
      <c r="A34" s="85">
        <v>32.0</v>
      </c>
      <c r="B34" s="35"/>
      <c r="C34" s="35"/>
      <c r="D34" s="86"/>
      <c r="E34" s="35"/>
      <c r="F34" s="86"/>
      <c r="G34" s="35"/>
      <c r="H34" s="93"/>
      <c r="I34" s="93"/>
      <c r="J34" s="87" t="str">
        <f t="shared" si="1"/>
        <v/>
      </c>
      <c r="K34" s="93"/>
      <c r="L34" s="93"/>
      <c r="M34" s="93"/>
      <c r="N34" s="87" t="str">
        <f t="shared" si="2"/>
        <v/>
      </c>
      <c r="O34" s="93"/>
      <c r="P34" s="93"/>
      <c r="Q34" s="93"/>
      <c r="R34" s="87" t="str">
        <f t="shared" si="3"/>
        <v/>
      </c>
      <c r="S34" s="90" t="str">
        <f t="shared" si="4"/>
        <v/>
      </c>
      <c r="T34" s="91" t="str">
        <f t="shared" si="5"/>
        <v/>
      </c>
      <c r="U34" s="85">
        <f t="shared" si="6"/>
        <v>0</v>
      </c>
    </row>
    <row r="35">
      <c r="A35" s="85">
        <v>33.0</v>
      </c>
      <c r="B35" s="35"/>
      <c r="C35" s="65"/>
      <c r="D35" s="76"/>
      <c r="E35" s="93"/>
      <c r="F35" s="76"/>
      <c r="G35" s="93"/>
      <c r="H35" s="93"/>
      <c r="I35" s="93"/>
      <c r="J35" s="87" t="str">
        <f t="shared" si="1"/>
        <v/>
      </c>
      <c r="K35" s="93"/>
      <c r="L35" s="93"/>
      <c r="M35" s="93"/>
      <c r="N35" s="87" t="str">
        <f t="shared" si="2"/>
        <v/>
      </c>
      <c r="O35" s="93"/>
      <c r="P35" s="93"/>
      <c r="Q35" s="93"/>
      <c r="R35" s="87" t="str">
        <f t="shared" si="3"/>
        <v/>
      </c>
      <c r="S35" s="90" t="str">
        <f t="shared" si="4"/>
        <v/>
      </c>
      <c r="T35" s="91" t="str">
        <f t="shared" si="5"/>
        <v/>
      </c>
      <c r="U35" s="85">
        <f t="shared" si="6"/>
        <v>0</v>
      </c>
    </row>
    <row r="36">
      <c r="A36" s="85">
        <v>34.0</v>
      </c>
      <c r="B36" s="35"/>
      <c r="C36" s="65"/>
      <c r="D36" s="76"/>
      <c r="E36" s="93"/>
      <c r="F36" s="76"/>
      <c r="G36" s="93"/>
      <c r="H36" s="93"/>
      <c r="I36" s="93"/>
      <c r="J36" s="87" t="str">
        <f t="shared" si="1"/>
        <v/>
      </c>
      <c r="K36" s="93"/>
      <c r="L36" s="93"/>
      <c r="M36" s="93"/>
      <c r="N36" s="87" t="str">
        <f t="shared" si="2"/>
        <v/>
      </c>
      <c r="O36" s="93"/>
      <c r="P36" s="93"/>
      <c r="Q36" s="93"/>
      <c r="R36" s="87" t="str">
        <f t="shared" si="3"/>
        <v/>
      </c>
      <c r="S36" s="90" t="str">
        <f t="shared" si="4"/>
        <v/>
      </c>
      <c r="T36" s="91" t="str">
        <f t="shared" si="5"/>
        <v/>
      </c>
      <c r="U36" s="85">
        <f t="shared" si="6"/>
        <v>0</v>
      </c>
    </row>
    <row r="37">
      <c r="A37" s="85">
        <v>35.0</v>
      </c>
      <c r="B37" s="35"/>
      <c r="C37" s="65"/>
      <c r="D37" s="76"/>
      <c r="E37" s="93"/>
      <c r="F37" s="76"/>
      <c r="G37" s="93"/>
      <c r="H37" s="93"/>
      <c r="I37" s="93"/>
      <c r="J37" s="87" t="str">
        <f t="shared" si="1"/>
        <v/>
      </c>
      <c r="K37" s="93"/>
      <c r="L37" s="93"/>
      <c r="M37" s="93"/>
      <c r="N37" s="87" t="str">
        <f t="shared" si="2"/>
        <v/>
      </c>
      <c r="O37" s="93"/>
      <c r="P37" s="93"/>
      <c r="Q37" s="93"/>
      <c r="R37" s="87" t="str">
        <f t="shared" si="3"/>
        <v/>
      </c>
      <c r="S37" s="90" t="str">
        <f t="shared" si="4"/>
        <v/>
      </c>
      <c r="T37" s="91" t="str">
        <f t="shared" si="5"/>
        <v/>
      </c>
      <c r="U37" s="85">
        <f t="shared" si="6"/>
        <v>0</v>
      </c>
    </row>
    <row r="38">
      <c r="A38" s="85">
        <v>36.0</v>
      </c>
      <c r="B38" s="35"/>
      <c r="C38" s="65"/>
      <c r="D38" s="76"/>
      <c r="E38" s="93"/>
      <c r="F38" s="76"/>
      <c r="G38" s="93"/>
      <c r="H38" s="93"/>
      <c r="I38" s="93"/>
      <c r="J38" s="87" t="str">
        <f t="shared" si="1"/>
        <v/>
      </c>
      <c r="K38" s="93"/>
      <c r="L38" s="93"/>
      <c r="M38" s="93"/>
      <c r="N38" s="87" t="str">
        <f t="shared" si="2"/>
        <v/>
      </c>
      <c r="O38" s="93"/>
      <c r="P38" s="93"/>
      <c r="Q38" s="93"/>
      <c r="R38" s="87" t="str">
        <f t="shared" si="3"/>
        <v/>
      </c>
      <c r="S38" s="90" t="str">
        <f t="shared" si="4"/>
        <v/>
      </c>
      <c r="T38" s="91" t="str">
        <f t="shared" si="5"/>
        <v/>
      </c>
      <c r="U38" s="85">
        <f t="shared" si="6"/>
        <v>0</v>
      </c>
    </row>
    <row r="39">
      <c r="A39" s="85">
        <v>37.0</v>
      </c>
      <c r="B39" s="35"/>
      <c r="C39" s="65"/>
      <c r="D39" s="76"/>
      <c r="E39" s="93"/>
      <c r="F39" s="76"/>
      <c r="G39" s="93"/>
      <c r="H39" s="93"/>
      <c r="I39" s="93"/>
      <c r="J39" s="87" t="str">
        <f t="shared" si="1"/>
        <v/>
      </c>
      <c r="K39" s="93"/>
      <c r="L39" s="93"/>
      <c r="M39" s="93"/>
      <c r="N39" s="87" t="str">
        <f t="shared" si="2"/>
        <v/>
      </c>
      <c r="O39" s="93"/>
      <c r="P39" s="93"/>
      <c r="Q39" s="93"/>
      <c r="R39" s="87" t="str">
        <f t="shared" si="3"/>
        <v/>
      </c>
      <c r="S39" s="90" t="str">
        <f t="shared" si="4"/>
        <v/>
      </c>
      <c r="T39" s="91" t="str">
        <f t="shared" si="5"/>
        <v/>
      </c>
      <c r="U39" s="85">
        <f t="shared" si="6"/>
        <v>0</v>
      </c>
    </row>
    <row r="40">
      <c r="A40" s="85">
        <v>38.0</v>
      </c>
      <c r="B40" s="35"/>
      <c r="C40" s="65"/>
      <c r="D40" s="76"/>
      <c r="E40" s="93"/>
      <c r="F40" s="76"/>
      <c r="G40" s="93"/>
      <c r="H40" s="93"/>
      <c r="I40" s="93"/>
      <c r="J40" s="87" t="str">
        <f t="shared" si="1"/>
        <v/>
      </c>
      <c r="K40" s="93"/>
      <c r="L40" s="93"/>
      <c r="M40" s="93"/>
      <c r="N40" s="87" t="str">
        <f t="shared" si="2"/>
        <v/>
      </c>
      <c r="O40" s="93"/>
      <c r="P40" s="93"/>
      <c r="Q40" s="93"/>
      <c r="R40" s="87" t="str">
        <f t="shared" si="3"/>
        <v/>
      </c>
      <c r="S40" s="90" t="str">
        <f t="shared" si="4"/>
        <v/>
      </c>
      <c r="T40" s="91" t="str">
        <f t="shared" si="5"/>
        <v/>
      </c>
      <c r="U40" s="85">
        <f t="shared" si="6"/>
        <v>0</v>
      </c>
    </row>
    <row r="41">
      <c r="A41" s="85">
        <v>39.0</v>
      </c>
      <c r="B41" s="35"/>
      <c r="C41" s="65"/>
      <c r="D41" s="76"/>
      <c r="E41" s="93"/>
      <c r="F41" s="76"/>
      <c r="G41" s="93"/>
      <c r="H41" s="93"/>
      <c r="I41" s="93"/>
      <c r="J41" s="87" t="str">
        <f t="shared" si="1"/>
        <v/>
      </c>
      <c r="K41" s="93"/>
      <c r="L41" s="93"/>
      <c r="M41" s="93"/>
      <c r="N41" s="87" t="str">
        <f t="shared" si="2"/>
        <v/>
      </c>
      <c r="O41" s="93"/>
      <c r="P41" s="93"/>
      <c r="Q41" s="93"/>
      <c r="R41" s="87" t="str">
        <f t="shared" si="3"/>
        <v/>
      </c>
      <c r="S41" s="90" t="str">
        <f t="shared" si="4"/>
        <v/>
      </c>
      <c r="T41" s="91" t="str">
        <f t="shared" si="5"/>
        <v/>
      </c>
      <c r="U41" s="85">
        <f t="shared" si="6"/>
        <v>0</v>
      </c>
    </row>
    <row r="42">
      <c r="A42" s="85">
        <v>40.0</v>
      </c>
      <c r="B42" s="35"/>
      <c r="C42" s="65"/>
      <c r="D42" s="76"/>
      <c r="E42" s="93"/>
      <c r="F42" s="76"/>
      <c r="G42" s="93"/>
      <c r="H42" s="93"/>
      <c r="I42" s="93"/>
      <c r="J42" s="87" t="str">
        <f t="shared" si="1"/>
        <v/>
      </c>
      <c r="K42" s="93"/>
      <c r="L42" s="93"/>
      <c r="M42" s="93"/>
      <c r="N42" s="87" t="str">
        <f t="shared" si="2"/>
        <v/>
      </c>
      <c r="O42" s="93"/>
      <c r="P42" s="93"/>
      <c r="Q42" s="93"/>
      <c r="R42" s="87" t="str">
        <f t="shared" si="3"/>
        <v/>
      </c>
      <c r="S42" s="90" t="str">
        <f t="shared" si="4"/>
        <v/>
      </c>
      <c r="T42" s="91" t="str">
        <f t="shared" si="5"/>
        <v/>
      </c>
      <c r="U42" s="85">
        <f t="shared" si="6"/>
        <v>0</v>
      </c>
    </row>
    <row r="43">
      <c r="A43" s="85">
        <v>41.0</v>
      </c>
      <c r="B43" s="35"/>
      <c r="C43" s="65"/>
      <c r="D43" s="76"/>
      <c r="E43" s="93"/>
      <c r="F43" s="76"/>
      <c r="G43" s="93"/>
      <c r="H43" s="93"/>
      <c r="I43" s="93"/>
      <c r="J43" s="87" t="str">
        <f t="shared" si="1"/>
        <v/>
      </c>
      <c r="K43" s="93"/>
      <c r="L43" s="93"/>
      <c r="M43" s="93"/>
      <c r="N43" s="87" t="str">
        <f t="shared" si="2"/>
        <v/>
      </c>
      <c r="O43" s="93"/>
      <c r="P43" s="93"/>
      <c r="Q43" s="93"/>
      <c r="R43" s="87" t="str">
        <f t="shared" si="3"/>
        <v/>
      </c>
      <c r="S43" s="90" t="str">
        <f t="shared" si="4"/>
        <v/>
      </c>
      <c r="T43" s="91" t="str">
        <f t="shared" si="5"/>
        <v/>
      </c>
      <c r="U43" s="85">
        <f t="shared" si="6"/>
        <v>0</v>
      </c>
    </row>
    <row r="44">
      <c r="A44" s="85">
        <v>42.0</v>
      </c>
      <c r="B44" s="35"/>
      <c r="C44" s="65"/>
      <c r="D44" s="76"/>
      <c r="E44" s="93"/>
      <c r="F44" s="76"/>
      <c r="G44" s="93"/>
      <c r="H44" s="93"/>
      <c r="I44" s="93"/>
      <c r="J44" s="87" t="str">
        <f t="shared" si="1"/>
        <v/>
      </c>
      <c r="K44" s="93"/>
      <c r="L44" s="93"/>
      <c r="M44" s="93"/>
      <c r="N44" s="87" t="str">
        <f t="shared" si="2"/>
        <v/>
      </c>
      <c r="O44" s="93"/>
      <c r="P44" s="93"/>
      <c r="Q44" s="93"/>
      <c r="R44" s="87" t="str">
        <f t="shared" si="3"/>
        <v/>
      </c>
      <c r="S44" s="90" t="str">
        <f t="shared" si="4"/>
        <v/>
      </c>
      <c r="T44" s="91" t="str">
        <f t="shared" si="5"/>
        <v/>
      </c>
      <c r="U44" s="85">
        <f t="shared" si="6"/>
        <v>0</v>
      </c>
    </row>
    <row r="45">
      <c r="A45" s="85">
        <v>43.0</v>
      </c>
      <c r="B45" s="35"/>
      <c r="C45" s="65"/>
      <c r="D45" s="76"/>
      <c r="E45" s="93"/>
      <c r="F45" s="76"/>
      <c r="G45" s="93"/>
      <c r="H45" s="93"/>
      <c r="I45" s="93"/>
      <c r="J45" s="87" t="str">
        <f t="shared" si="1"/>
        <v/>
      </c>
      <c r="K45" s="93"/>
      <c r="L45" s="93"/>
      <c r="M45" s="93"/>
      <c r="N45" s="87" t="str">
        <f t="shared" si="2"/>
        <v/>
      </c>
      <c r="O45" s="93"/>
      <c r="P45" s="93"/>
      <c r="Q45" s="93"/>
      <c r="R45" s="87" t="str">
        <f t="shared" si="3"/>
        <v/>
      </c>
      <c r="S45" s="90" t="str">
        <f t="shared" si="4"/>
        <v/>
      </c>
      <c r="T45" s="91" t="str">
        <f t="shared" si="5"/>
        <v/>
      </c>
      <c r="U45" s="85">
        <f t="shared" si="6"/>
        <v>0</v>
      </c>
    </row>
    <row r="46">
      <c r="A46" s="85">
        <v>44.0</v>
      </c>
      <c r="B46" s="35"/>
      <c r="C46" s="65"/>
      <c r="D46" s="76"/>
      <c r="E46" s="93"/>
      <c r="F46" s="76"/>
      <c r="G46" s="93"/>
      <c r="H46" s="93"/>
      <c r="I46" s="93"/>
      <c r="J46" s="87" t="str">
        <f t="shared" si="1"/>
        <v/>
      </c>
      <c r="K46" s="93"/>
      <c r="L46" s="93"/>
      <c r="M46" s="93"/>
      <c r="N46" s="87" t="str">
        <f t="shared" si="2"/>
        <v/>
      </c>
      <c r="O46" s="93"/>
      <c r="P46" s="93"/>
      <c r="Q46" s="93"/>
      <c r="R46" s="87" t="str">
        <f t="shared" si="3"/>
        <v/>
      </c>
      <c r="S46" s="90" t="str">
        <f t="shared" si="4"/>
        <v/>
      </c>
      <c r="T46" s="91" t="str">
        <f t="shared" si="5"/>
        <v/>
      </c>
      <c r="U46" s="85">
        <f t="shared" si="6"/>
        <v>0</v>
      </c>
    </row>
    <row r="47">
      <c r="A47" s="85">
        <v>45.0</v>
      </c>
      <c r="B47" s="35"/>
      <c r="C47" s="65"/>
      <c r="D47" s="76"/>
      <c r="E47" s="93"/>
      <c r="F47" s="76"/>
      <c r="G47" s="93"/>
      <c r="H47" s="93"/>
      <c r="I47" s="93"/>
      <c r="J47" s="87" t="str">
        <f t="shared" si="1"/>
        <v/>
      </c>
      <c r="K47" s="93"/>
      <c r="L47" s="93"/>
      <c r="M47" s="93"/>
      <c r="N47" s="87" t="str">
        <f t="shared" si="2"/>
        <v/>
      </c>
      <c r="O47" s="93"/>
      <c r="P47" s="93"/>
      <c r="Q47" s="93"/>
      <c r="R47" s="87" t="str">
        <f t="shared" si="3"/>
        <v/>
      </c>
      <c r="S47" s="90" t="str">
        <f t="shared" si="4"/>
        <v/>
      </c>
      <c r="T47" s="91" t="str">
        <f t="shared" si="5"/>
        <v/>
      </c>
      <c r="U47" s="85">
        <f t="shared" si="6"/>
        <v>0</v>
      </c>
    </row>
    <row r="48">
      <c r="A48" s="85">
        <v>46.0</v>
      </c>
      <c r="B48" s="35"/>
      <c r="C48" s="65"/>
      <c r="D48" s="76"/>
      <c r="E48" s="93"/>
      <c r="F48" s="76"/>
      <c r="G48" s="93"/>
      <c r="H48" s="93"/>
      <c r="I48" s="93"/>
      <c r="J48" s="87" t="str">
        <f t="shared" si="1"/>
        <v/>
      </c>
      <c r="K48" s="93"/>
      <c r="L48" s="93"/>
      <c r="M48" s="93"/>
      <c r="N48" s="87" t="str">
        <f t="shared" si="2"/>
        <v/>
      </c>
      <c r="O48" s="93"/>
      <c r="P48" s="93"/>
      <c r="Q48" s="93"/>
      <c r="R48" s="87" t="str">
        <f t="shared" si="3"/>
        <v/>
      </c>
      <c r="S48" s="90" t="str">
        <f t="shared" si="4"/>
        <v/>
      </c>
      <c r="T48" s="91" t="str">
        <f t="shared" si="5"/>
        <v/>
      </c>
      <c r="U48" s="85">
        <f t="shared" si="6"/>
        <v>0</v>
      </c>
    </row>
    <row r="49">
      <c r="A49" s="85">
        <v>47.0</v>
      </c>
      <c r="B49" s="35"/>
      <c r="C49" s="65"/>
      <c r="D49" s="76"/>
      <c r="E49" s="93"/>
      <c r="F49" s="76"/>
      <c r="G49" s="93"/>
      <c r="H49" s="93"/>
      <c r="I49" s="93"/>
      <c r="J49" s="87" t="str">
        <f t="shared" si="1"/>
        <v/>
      </c>
      <c r="K49" s="93"/>
      <c r="L49" s="93"/>
      <c r="M49" s="93"/>
      <c r="N49" s="87" t="str">
        <f t="shared" si="2"/>
        <v/>
      </c>
      <c r="O49" s="93"/>
      <c r="P49" s="93"/>
      <c r="Q49" s="93"/>
      <c r="R49" s="87" t="str">
        <f t="shared" si="3"/>
        <v/>
      </c>
      <c r="S49" s="90" t="str">
        <f t="shared" si="4"/>
        <v/>
      </c>
      <c r="T49" s="91" t="str">
        <f t="shared" si="5"/>
        <v/>
      </c>
      <c r="U49" s="85">
        <f t="shared" si="6"/>
        <v>0</v>
      </c>
    </row>
    <row r="50">
      <c r="A50" s="85">
        <v>48.0</v>
      </c>
      <c r="B50" s="35"/>
      <c r="C50" s="65"/>
      <c r="D50" s="76"/>
      <c r="E50" s="93"/>
      <c r="F50" s="76"/>
      <c r="G50" s="93"/>
      <c r="H50" s="93"/>
      <c r="I50" s="93"/>
      <c r="J50" s="87" t="str">
        <f t="shared" si="1"/>
        <v/>
      </c>
      <c r="K50" s="93"/>
      <c r="L50" s="93"/>
      <c r="M50" s="93"/>
      <c r="N50" s="87" t="str">
        <f t="shared" si="2"/>
        <v/>
      </c>
      <c r="O50" s="93"/>
      <c r="P50" s="93"/>
      <c r="Q50" s="93"/>
      <c r="R50" s="87" t="str">
        <f t="shared" si="3"/>
        <v/>
      </c>
      <c r="S50" s="90" t="str">
        <f t="shared" si="4"/>
        <v/>
      </c>
      <c r="T50" s="91" t="str">
        <f t="shared" si="5"/>
        <v/>
      </c>
      <c r="U50" s="85">
        <f t="shared" si="6"/>
        <v>0</v>
      </c>
    </row>
    <row r="51">
      <c r="A51" s="85">
        <v>49.0</v>
      </c>
      <c r="B51" s="35"/>
      <c r="C51" s="65"/>
      <c r="D51" s="76"/>
      <c r="E51" s="93"/>
      <c r="F51" s="76"/>
      <c r="G51" s="93"/>
      <c r="H51" s="93"/>
      <c r="I51" s="93"/>
      <c r="J51" s="87" t="str">
        <f t="shared" si="1"/>
        <v/>
      </c>
      <c r="K51" s="93"/>
      <c r="L51" s="93"/>
      <c r="M51" s="93"/>
      <c r="N51" s="87" t="str">
        <f t="shared" si="2"/>
        <v/>
      </c>
      <c r="O51" s="93"/>
      <c r="P51" s="93"/>
      <c r="Q51" s="93"/>
      <c r="R51" s="87" t="str">
        <f t="shared" si="3"/>
        <v/>
      </c>
      <c r="S51" s="90" t="str">
        <f t="shared" si="4"/>
        <v/>
      </c>
      <c r="T51" s="91" t="str">
        <f t="shared" si="5"/>
        <v/>
      </c>
      <c r="U51" s="85">
        <f t="shared" si="6"/>
        <v>0</v>
      </c>
    </row>
    <row r="52">
      <c r="A52" s="85">
        <v>50.0</v>
      </c>
      <c r="B52" s="35"/>
      <c r="C52" s="65"/>
      <c r="D52" s="76"/>
      <c r="E52" s="93"/>
      <c r="F52" s="76"/>
      <c r="G52" s="93"/>
      <c r="H52" s="93"/>
      <c r="I52" s="93"/>
      <c r="J52" s="87" t="str">
        <f t="shared" si="1"/>
        <v/>
      </c>
      <c r="K52" s="93"/>
      <c r="L52" s="93"/>
      <c r="M52" s="93"/>
      <c r="N52" s="87" t="str">
        <f t="shared" si="2"/>
        <v/>
      </c>
      <c r="O52" s="93"/>
      <c r="P52" s="93"/>
      <c r="Q52" s="93"/>
      <c r="R52" s="87" t="str">
        <f t="shared" si="3"/>
        <v/>
      </c>
      <c r="S52" s="90" t="str">
        <f t="shared" si="4"/>
        <v/>
      </c>
      <c r="T52" s="91" t="str">
        <f t="shared" si="5"/>
        <v/>
      </c>
      <c r="U52" s="85">
        <f t="shared" si="6"/>
        <v>0</v>
      </c>
    </row>
    <row r="53">
      <c r="A53" s="85">
        <v>51.0</v>
      </c>
      <c r="B53" s="35"/>
      <c r="C53" s="65"/>
      <c r="D53" s="76"/>
      <c r="E53" s="93"/>
      <c r="F53" s="76"/>
      <c r="G53" s="93"/>
      <c r="H53" s="93"/>
      <c r="I53" s="93"/>
      <c r="J53" s="87" t="str">
        <f t="shared" si="1"/>
        <v/>
      </c>
      <c r="K53" s="93"/>
      <c r="L53" s="93"/>
      <c r="M53" s="93"/>
      <c r="N53" s="87" t="str">
        <f t="shared" si="2"/>
        <v/>
      </c>
      <c r="O53" s="93"/>
      <c r="P53" s="93"/>
      <c r="Q53" s="93"/>
      <c r="R53" s="87" t="str">
        <f t="shared" si="3"/>
        <v/>
      </c>
      <c r="S53" s="90" t="str">
        <f t="shared" si="4"/>
        <v/>
      </c>
      <c r="T53" s="91" t="str">
        <f t="shared" si="5"/>
        <v/>
      </c>
      <c r="U53" s="85">
        <f t="shared" si="6"/>
        <v>0</v>
      </c>
    </row>
    <row r="54">
      <c r="A54" s="85">
        <v>52.0</v>
      </c>
      <c r="B54" s="35"/>
      <c r="C54" s="65"/>
      <c r="D54" s="76"/>
      <c r="E54" s="93"/>
      <c r="F54" s="76"/>
      <c r="G54" s="93"/>
      <c r="H54" s="93"/>
      <c r="I54" s="93"/>
      <c r="J54" s="87" t="str">
        <f t="shared" si="1"/>
        <v/>
      </c>
      <c r="K54" s="93"/>
      <c r="L54" s="93"/>
      <c r="M54" s="93"/>
      <c r="N54" s="87" t="str">
        <f t="shared" si="2"/>
        <v/>
      </c>
      <c r="O54" s="93"/>
      <c r="P54" s="93"/>
      <c r="Q54" s="93"/>
      <c r="R54" s="87" t="str">
        <f t="shared" si="3"/>
        <v/>
      </c>
      <c r="S54" s="90" t="str">
        <f t="shared" si="4"/>
        <v/>
      </c>
      <c r="T54" s="91" t="str">
        <f t="shared" si="5"/>
        <v/>
      </c>
      <c r="U54" s="85">
        <f t="shared" si="6"/>
        <v>0</v>
      </c>
    </row>
    <row r="55">
      <c r="A55" s="85">
        <v>53.0</v>
      </c>
      <c r="B55" s="35"/>
      <c r="C55" s="65"/>
      <c r="D55" s="76"/>
      <c r="E55" s="93"/>
      <c r="F55" s="76"/>
      <c r="G55" s="93"/>
      <c r="H55" s="93"/>
      <c r="I55" s="93"/>
      <c r="J55" s="87" t="str">
        <f t="shared" si="1"/>
        <v/>
      </c>
      <c r="K55" s="93"/>
      <c r="L55" s="93"/>
      <c r="M55" s="93"/>
      <c r="N55" s="87" t="str">
        <f t="shared" si="2"/>
        <v/>
      </c>
      <c r="O55" s="93"/>
      <c r="P55" s="93"/>
      <c r="Q55" s="93"/>
      <c r="R55" s="87" t="str">
        <f t="shared" si="3"/>
        <v/>
      </c>
      <c r="S55" s="90" t="str">
        <f t="shared" si="4"/>
        <v/>
      </c>
      <c r="T55" s="91" t="str">
        <f t="shared" si="5"/>
        <v/>
      </c>
      <c r="U55" s="85">
        <f t="shared" si="6"/>
        <v>0</v>
      </c>
    </row>
    <row r="56">
      <c r="A56" s="85">
        <v>54.0</v>
      </c>
      <c r="B56" s="35"/>
      <c r="C56" s="65"/>
      <c r="D56" s="76"/>
      <c r="E56" s="93"/>
      <c r="F56" s="76"/>
      <c r="G56" s="93"/>
      <c r="H56" s="93"/>
      <c r="I56" s="93"/>
      <c r="J56" s="87" t="str">
        <f t="shared" si="1"/>
        <v/>
      </c>
      <c r="K56" s="93"/>
      <c r="L56" s="93"/>
      <c r="M56" s="93"/>
      <c r="N56" s="87" t="str">
        <f t="shared" si="2"/>
        <v/>
      </c>
      <c r="O56" s="93"/>
      <c r="P56" s="93"/>
      <c r="Q56" s="93"/>
      <c r="R56" s="87" t="str">
        <f t="shared" si="3"/>
        <v/>
      </c>
      <c r="S56" s="90" t="str">
        <f t="shared" si="4"/>
        <v/>
      </c>
      <c r="T56" s="91" t="str">
        <f t="shared" si="5"/>
        <v/>
      </c>
      <c r="U56" s="85">
        <f t="shared" si="6"/>
        <v>0</v>
      </c>
    </row>
    <row r="57">
      <c r="A57" s="85">
        <v>55.0</v>
      </c>
      <c r="B57" s="35"/>
      <c r="C57" s="65"/>
      <c r="D57" s="76"/>
      <c r="E57" s="93"/>
      <c r="F57" s="76"/>
      <c r="G57" s="93"/>
      <c r="H57" s="93"/>
      <c r="I57" s="93"/>
      <c r="J57" s="87" t="str">
        <f t="shared" si="1"/>
        <v/>
      </c>
      <c r="K57" s="93"/>
      <c r="L57" s="93"/>
      <c r="M57" s="93"/>
      <c r="N57" s="87" t="str">
        <f t="shared" si="2"/>
        <v/>
      </c>
      <c r="O57" s="93"/>
      <c r="P57" s="93"/>
      <c r="Q57" s="93"/>
      <c r="R57" s="87" t="str">
        <f t="shared" si="3"/>
        <v/>
      </c>
      <c r="S57" s="90" t="str">
        <f t="shared" si="4"/>
        <v/>
      </c>
      <c r="T57" s="91" t="str">
        <f t="shared" si="5"/>
        <v/>
      </c>
      <c r="U57" s="85">
        <f t="shared" si="6"/>
        <v>0</v>
      </c>
    </row>
    <row r="58">
      <c r="A58" s="85">
        <v>56.0</v>
      </c>
      <c r="B58" s="35"/>
      <c r="C58" s="65"/>
      <c r="D58" s="76"/>
      <c r="E58" s="93"/>
      <c r="F58" s="76"/>
      <c r="G58" s="93"/>
      <c r="H58" s="93"/>
      <c r="I58" s="93"/>
      <c r="J58" s="87" t="str">
        <f t="shared" si="1"/>
        <v/>
      </c>
      <c r="K58" s="93"/>
      <c r="L58" s="93"/>
      <c r="M58" s="93"/>
      <c r="N58" s="87" t="str">
        <f t="shared" si="2"/>
        <v/>
      </c>
      <c r="O58" s="93"/>
      <c r="P58" s="93"/>
      <c r="Q58" s="93"/>
      <c r="R58" s="87" t="str">
        <f t="shared" si="3"/>
        <v/>
      </c>
      <c r="S58" s="90" t="str">
        <f t="shared" si="4"/>
        <v/>
      </c>
      <c r="T58" s="91" t="str">
        <f t="shared" si="5"/>
        <v/>
      </c>
      <c r="U58" s="85">
        <f t="shared" si="6"/>
        <v>0</v>
      </c>
    </row>
    <row r="59">
      <c r="A59" s="85">
        <v>57.0</v>
      </c>
      <c r="B59" s="35"/>
      <c r="C59" s="65"/>
      <c r="D59" s="76"/>
      <c r="E59" s="93"/>
      <c r="F59" s="76"/>
      <c r="G59" s="93"/>
      <c r="H59" s="93"/>
      <c r="I59" s="93"/>
      <c r="J59" s="87" t="str">
        <f t="shared" si="1"/>
        <v/>
      </c>
      <c r="K59" s="93"/>
      <c r="L59" s="93"/>
      <c r="M59" s="93"/>
      <c r="N59" s="87" t="str">
        <f t="shared" si="2"/>
        <v/>
      </c>
      <c r="O59" s="93"/>
      <c r="P59" s="93"/>
      <c r="Q59" s="93"/>
      <c r="R59" s="87" t="str">
        <f t="shared" si="3"/>
        <v/>
      </c>
      <c r="S59" s="90" t="str">
        <f t="shared" si="4"/>
        <v/>
      </c>
      <c r="T59" s="91" t="str">
        <f t="shared" si="5"/>
        <v/>
      </c>
      <c r="U59" s="85">
        <f t="shared" si="6"/>
        <v>0</v>
      </c>
    </row>
    <row r="60">
      <c r="A60" s="85">
        <v>58.0</v>
      </c>
      <c r="B60" s="35"/>
      <c r="C60" s="65"/>
      <c r="D60" s="76"/>
      <c r="E60" s="93"/>
      <c r="F60" s="76"/>
      <c r="G60" s="93"/>
      <c r="H60" s="93"/>
      <c r="I60" s="93"/>
      <c r="J60" s="87" t="str">
        <f t="shared" si="1"/>
        <v/>
      </c>
      <c r="K60" s="93"/>
      <c r="L60" s="93"/>
      <c r="M60" s="93"/>
      <c r="N60" s="87" t="str">
        <f t="shared" si="2"/>
        <v/>
      </c>
      <c r="O60" s="93"/>
      <c r="P60" s="93"/>
      <c r="Q60" s="93"/>
      <c r="R60" s="87" t="str">
        <f t="shared" si="3"/>
        <v/>
      </c>
      <c r="S60" s="90" t="str">
        <f t="shared" si="4"/>
        <v/>
      </c>
      <c r="T60" s="91" t="str">
        <f t="shared" si="5"/>
        <v/>
      </c>
      <c r="U60" s="85">
        <f t="shared" si="6"/>
        <v>0</v>
      </c>
    </row>
    <row r="61">
      <c r="A61" s="85">
        <v>59.0</v>
      </c>
      <c r="B61" s="35"/>
      <c r="C61" s="65"/>
      <c r="D61" s="76"/>
      <c r="E61" s="93"/>
      <c r="F61" s="76"/>
      <c r="G61" s="93"/>
      <c r="H61" s="93"/>
      <c r="I61" s="93"/>
      <c r="J61" s="87" t="str">
        <f t="shared" si="1"/>
        <v/>
      </c>
      <c r="K61" s="93"/>
      <c r="L61" s="93"/>
      <c r="M61" s="93"/>
      <c r="N61" s="87" t="str">
        <f t="shared" si="2"/>
        <v/>
      </c>
      <c r="O61" s="93"/>
      <c r="P61" s="93"/>
      <c r="Q61" s="93"/>
      <c r="R61" s="87" t="str">
        <f t="shared" si="3"/>
        <v/>
      </c>
      <c r="S61" s="90" t="str">
        <f t="shared" si="4"/>
        <v/>
      </c>
      <c r="T61" s="91" t="str">
        <f t="shared" si="5"/>
        <v/>
      </c>
      <c r="U61" s="85">
        <f t="shared" si="6"/>
        <v>0</v>
      </c>
    </row>
    <row r="62">
      <c r="A62" s="85">
        <v>60.0</v>
      </c>
      <c r="B62" s="35"/>
      <c r="C62" s="65"/>
      <c r="D62" s="76"/>
      <c r="E62" s="93"/>
      <c r="F62" s="76"/>
      <c r="G62" s="93"/>
      <c r="H62" s="93"/>
      <c r="I62" s="93"/>
      <c r="J62" s="87" t="str">
        <f t="shared" si="1"/>
        <v/>
      </c>
      <c r="K62" s="93"/>
      <c r="L62" s="93"/>
      <c r="M62" s="93"/>
      <c r="N62" s="87" t="str">
        <f t="shared" si="2"/>
        <v/>
      </c>
      <c r="O62" s="93"/>
      <c r="P62" s="93"/>
      <c r="Q62" s="93"/>
      <c r="R62" s="87" t="str">
        <f t="shared" si="3"/>
        <v/>
      </c>
      <c r="S62" s="90" t="str">
        <f t="shared" si="4"/>
        <v/>
      </c>
      <c r="T62" s="91" t="str">
        <f t="shared" si="5"/>
        <v/>
      </c>
      <c r="U62" s="85">
        <f t="shared" si="6"/>
        <v>0</v>
      </c>
    </row>
    <row r="63">
      <c r="A63" s="85">
        <v>61.0</v>
      </c>
      <c r="B63" s="35"/>
      <c r="C63" s="65"/>
      <c r="D63" s="76"/>
      <c r="E63" s="93"/>
      <c r="F63" s="76"/>
      <c r="G63" s="93"/>
      <c r="H63" s="93"/>
      <c r="I63" s="93"/>
      <c r="J63" s="87" t="str">
        <f t="shared" si="1"/>
        <v/>
      </c>
      <c r="K63" s="93"/>
      <c r="L63" s="93"/>
      <c r="M63" s="93"/>
      <c r="N63" s="87" t="str">
        <f t="shared" si="2"/>
        <v/>
      </c>
      <c r="O63" s="93"/>
      <c r="P63" s="93"/>
      <c r="Q63" s="93"/>
      <c r="R63" s="87" t="str">
        <f t="shared" si="3"/>
        <v/>
      </c>
      <c r="S63" s="90" t="str">
        <f t="shared" si="4"/>
        <v/>
      </c>
      <c r="T63" s="91" t="str">
        <f t="shared" si="5"/>
        <v/>
      </c>
      <c r="U63" s="85">
        <f t="shared" si="6"/>
        <v>0</v>
      </c>
    </row>
    <row r="64">
      <c r="A64" s="85">
        <v>62.0</v>
      </c>
      <c r="B64" s="35"/>
      <c r="C64" s="65"/>
      <c r="D64" s="76"/>
      <c r="E64" s="93"/>
      <c r="F64" s="76"/>
      <c r="G64" s="93"/>
      <c r="H64" s="93"/>
      <c r="I64" s="93"/>
      <c r="J64" s="87" t="str">
        <f t="shared" si="1"/>
        <v/>
      </c>
      <c r="K64" s="93"/>
      <c r="L64" s="93"/>
      <c r="M64" s="93"/>
      <c r="N64" s="87" t="str">
        <f t="shared" si="2"/>
        <v/>
      </c>
      <c r="O64" s="93"/>
      <c r="P64" s="93"/>
      <c r="Q64" s="93"/>
      <c r="R64" s="87" t="str">
        <f t="shared" si="3"/>
        <v/>
      </c>
      <c r="S64" s="90" t="str">
        <f t="shared" si="4"/>
        <v/>
      </c>
      <c r="T64" s="91" t="str">
        <f t="shared" si="5"/>
        <v/>
      </c>
      <c r="U64" s="85">
        <f t="shared" si="6"/>
        <v>0</v>
      </c>
    </row>
    <row r="65">
      <c r="A65" s="85">
        <v>63.0</v>
      </c>
      <c r="B65" s="35"/>
      <c r="C65" s="65"/>
      <c r="D65" s="76"/>
      <c r="E65" s="93"/>
      <c r="F65" s="76"/>
      <c r="G65" s="93"/>
      <c r="H65" s="93"/>
      <c r="I65" s="93"/>
      <c r="J65" s="87" t="str">
        <f t="shared" si="1"/>
        <v/>
      </c>
      <c r="K65" s="93"/>
      <c r="L65" s="93"/>
      <c r="M65" s="93"/>
      <c r="N65" s="87" t="str">
        <f t="shared" si="2"/>
        <v/>
      </c>
      <c r="O65" s="93"/>
      <c r="P65" s="93"/>
      <c r="Q65" s="93"/>
      <c r="R65" s="87" t="str">
        <f t="shared" si="3"/>
        <v/>
      </c>
      <c r="S65" s="90" t="str">
        <f t="shared" si="4"/>
        <v/>
      </c>
      <c r="T65" s="91" t="str">
        <f t="shared" si="5"/>
        <v/>
      </c>
      <c r="U65" s="85">
        <f t="shared" si="6"/>
        <v>0</v>
      </c>
    </row>
    <row r="66">
      <c r="A66" s="85">
        <v>64.0</v>
      </c>
      <c r="B66" s="35"/>
      <c r="C66" s="65"/>
      <c r="D66" s="76"/>
      <c r="E66" s="93"/>
      <c r="F66" s="76"/>
      <c r="G66" s="93"/>
      <c r="H66" s="93"/>
      <c r="I66" s="93"/>
      <c r="J66" s="87" t="str">
        <f t="shared" si="1"/>
        <v/>
      </c>
      <c r="K66" s="93"/>
      <c r="L66" s="93"/>
      <c r="M66" s="93"/>
      <c r="N66" s="87" t="str">
        <f t="shared" si="2"/>
        <v/>
      </c>
      <c r="O66" s="93"/>
      <c r="P66" s="93"/>
      <c r="Q66" s="93"/>
      <c r="R66" s="87" t="str">
        <f t="shared" si="3"/>
        <v/>
      </c>
      <c r="S66" s="90" t="str">
        <f t="shared" si="4"/>
        <v/>
      </c>
      <c r="T66" s="91" t="str">
        <f t="shared" si="5"/>
        <v/>
      </c>
      <c r="U66" s="85">
        <f t="shared" si="6"/>
        <v>0</v>
      </c>
    </row>
    <row r="67">
      <c r="A67" s="85">
        <v>65.0</v>
      </c>
      <c r="B67" s="35"/>
      <c r="C67" s="65"/>
      <c r="D67" s="76"/>
      <c r="E67" s="93"/>
      <c r="F67" s="76"/>
      <c r="G67" s="93"/>
      <c r="H67" s="93"/>
      <c r="I67" s="93"/>
      <c r="J67" s="87" t="str">
        <f t="shared" si="1"/>
        <v/>
      </c>
      <c r="K67" s="93"/>
      <c r="L67" s="93"/>
      <c r="M67" s="93"/>
      <c r="N67" s="87" t="str">
        <f t="shared" si="2"/>
        <v/>
      </c>
      <c r="O67" s="93"/>
      <c r="P67" s="93"/>
      <c r="Q67" s="93"/>
      <c r="R67" s="87" t="str">
        <f t="shared" si="3"/>
        <v/>
      </c>
      <c r="S67" s="90" t="str">
        <f t="shared" si="4"/>
        <v/>
      </c>
      <c r="T67" s="91" t="str">
        <f t="shared" si="5"/>
        <v/>
      </c>
      <c r="U67" s="85">
        <f t="shared" si="6"/>
        <v>0</v>
      </c>
    </row>
    <row r="68">
      <c r="A68" s="85">
        <v>66.0</v>
      </c>
      <c r="B68" s="35"/>
      <c r="C68" s="65"/>
      <c r="D68" s="76"/>
      <c r="E68" s="93"/>
      <c r="F68" s="76"/>
      <c r="G68" s="93"/>
      <c r="H68" s="93"/>
      <c r="I68" s="93"/>
      <c r="J68" s="87" t="str">
        <f t="shared" si="1"/>
        <v/>
      </c>
      <c r="K68" s="93"/>
      <c r="L68" s="93"/>
      <c r="M68" s="93"/>
      <c r="N68" s="87" t="str">
        <f t="shared" si="2"/>
        <v/>
      </c>
      <c r="O68" s="93"/>
      <c r="P68" s="93"/>
      <c r="Q68" s="93"/>
      <c r="R68" s="87" t="str">
        <f t="shared" si="3"/>
        <v/>
      </c>
      <c r="S68" s="90" t="str">
        <f t="shared" si="4"/>
        <v/>
      </c>
      <c r="T68" s="91" t="str">
        <f t="shared" si="5"/>
        <v/>
      </c>
      <c r="U68" s="85">
        <f t="shared" si="6"/>
        <v>0</v>
      </c>
    </row>
    <row r="69">
      <c r="A69" s="85">
        <v>67.0</v>
      </c>
      <c r="B69" s="35"/>
      <c r="C69" s="65"/>
      <c r="D69" s="76"/>
      <c r="E69" s="93"/>
      <c r="F69" s="76"/>
      <c r="G69" s="93"/>
      <c r="H69" s="93"/>
      <c r="I69" s="93"/>
      <c r="J69" s="87" t="str">
        <f t="shared" si="1"/>
        <v/>
      </c>
      <c r="K69" s="93"/>
      <c r="L69" s="93"/>
      <c r="M69" s="93"/>
      <c r="N69" s="87" t="str">
        <f t="shared" si="2"/>
        <v/>
      </c>
      <c r="O69" s="93"/>
      <c r="P69" s="93"/>
      <c r="Q69" s="93"/>
      <c r="R69" s="87" t="str">
        <f t="shared" si="3"/>
        <v/>
      </c>
      <c r="S69" s="90" t="str">
        <f t="shared" si="4"/>
        <v/>
      </c>
      <c r="T69" s="91" t="str">
        <f t="shared" si="5"/>
        <v/>
      </c>
      <c r="U69" s="85">
        <f t="shared" si="6"/>
        <v>0</v>
      </c>
    </row>
    <row r="70">
      <c r="A70" s="85">
        <v>68.0</v>
      </c>
      <c r="B70" s="35"/>
      <c r="C70" s="65"/>
      <c r="D70" s="76"/>
      <c r="E70" s="93"/>
      <c r="F70" s="76"/>
      <c r="G70" s="93"/>
      <c r="H70" s="93"/>
      <c r="I70" s="93"/>
      <c r="J70" s="87" t="str">
        <f t="shared" si="1"/>
        <v/>
      </c>
      <c r="K70" s="93"/>
      <c r="L70" s="93"/>
      <c r="M70" s="93"/>
      <c r="N70" s="87" t="str">
        <f t="shared" si="2"/>
        <v/>
      </c>
      <c r="O70" s="93"/>
      <c r="P70" s="93"/>
      <c r="Q70" s="93"/>
      <c r="R70" s="87" t="str">
        <f t="shared" si="3"/>
        <v/>
      </c>
      <c r="S70" s="90" t="str">
        <f t="shared" si="4"/>
        <v/>
      </c>
      <c r="T70" s="91" t="str">
        <f t="shared" si="5"/>
        <v/>
      </c>
      <c r="U70" s="85">
        <f t="shared" si="6"/>
        <v>0</v>
      </c>
    </row>
    <row r="71">
      <c r="A71" s="85">
        <v>69.0</v>
      </c>
      <c r="B71" s="35"/>
      <c r="C71" s="65"/>
      <c r="D71" s="76"/>
      <c r="E71" s="93"/>
      <c r="F71" s="76"/>
      <c r="G71" s="93"/>
      <c r="H71" s="93"/>
      <c r="I71" s="93"/>
      <c r="J71" s="87" t="str">
        <f t="shared" si="1"/>
        <v/>
      </c>
      <c r="K71" s="93"/>
      <c r="L71" s="93"/>
      <c r="M71" s="93"/>
      <c r="N71" s="87" t="str">
        <f t="shared" si="2"/>
        <v/>
      </c>
      <c r="O71" s="93"/>
      <c r="P71" s="93"/>
      <c r="Q71" s="93"/>
      <c r="R71" s="87" t="str">
        <f t="shared" si="3"/>
        <v/>
      </c>
      <c r="S71" s="90" t="str">
        <f t="shared" si="4"/>
        <v/>
      </c>
      <c r="T71" s="91" t="str">
        <f t="shared" si="5"/>
        <v/>
      </c>
      <c r="U71" s="85">
        <f t="shared" si="6"/>
        <v>0</v>
      </c>
    </row>
    <row r="72">
      <c r="A72" s="85">
        <v>70.0</v>
      </c>
      <c r="B72" s="35"/>
      <c r="C72" s="65"/>
      <c r="D72" s="76"/>
      <c r="E72" s="93"/>
      <c r="F72" s="76"/>
      <c r="G72" s="93"/>
      <c r="H72" s="93"/>
      <c r="I72" s="93"/>
      <c r="J72" s="87" t="str">
        <f t="shared" si="1"/>
        <v/>
      </c>
      <c r="K72" s="93"/>
      <c r="L72" s="93"/>
      <c r="M72" s="93"/>
      <c r="N72" s="87" t="str">
        <f t="shared" si="2"/>
        <v/>
      </c>
      <c r="O72" s="93"/>
      <c r="P72" s="93"/>
      <c r="Q72" s="93"/>
      <c r="R72" s="87" t="str">
        <f t="shared" si="3"/>
        <v/>
      </c>
      <c r="S72" s="90" t="str">
        <f t="shared" si="4"/>
        <v/>
      </c>
      <c r="T72" s="91" t="str">
        <f t="shared" si="5"/>
        <v/>
      </c>
      <c r="U72" s="85">
        <f t="shared" si="6"/>
        <v>0</v>
      </c>
    </row>
    <row r="73">
      <c r="A73" s="85">
        <v>71.0</v>
      </c>
      <c r="B73" s="35"/>
      <c r="C73" s="65"/>
      <c r="D73" s="76"/>
      <c r="E73" s="93"/>
      <c r="F73" s="76"/>
      <c r="G73" s="93"/>
      <c r="H73" s="93"/>
      <c r="I73" s="93"/>
      <c r="J73" s="87" t="str">
        <f t="shared" si="1"/>
        <v/>
      </c>
      <c r="K73" s="93"/>
      <c r="L73" s="93"/>
      <c r="M73" s="93"/>
      <c r="N73" s="87" t="str">
        <f t="shared" si="2"/>
        <v/>
      </c>
      <c r="O73" s="93"/>
      <c r="P73" s="93"/>
      <c r="Q73" s="93"/>
      <c r="R73" s="87" t="str">
        <f t="shared" si="3"/>
        <v/>
      </c>
      <c r="S73" s="90" t="str">
        <f t="shared" si="4"/>
        <v/>
      </c>
      <c r="T73" s="91" t="str">
        <f t="shared" si="5"/>
        <v/>
      </c>
      <c r="U73" s="85">
        <f t="shared" si="6"/>
        <v>0</v>
      </c>
    </row>
    <row r="74">
      <c r="A74" s="85">
        <v>72.0</v>
      </c>
      <c r="B74" s="35"/>
      <c r="C74" s="65"/>
      <c r="D74" s="76"/>
      <c r="E74" s="93"/>
      <c r="F74" s="76"/>
      <c r="G74" s="93"/>
      <c r="H74" s="93"/>
      <c r="I74" s="93"/>
      <c r="J74" s="87" t="str">
        <f t="shared" si="1"/>
        <v/>
      </c>
      <c r="K74" s="93"/>
      <c r="L74" s="93"/>
      <c r="M74" s="93"/>
      <c r="N74" s="87" t="str">
        <f t="shared" si="2"/>
        <v/>
      </c>
      <c r="O74" s="93"/>
      <c r="P74" s="93"/>
      <c r="Q74" s="93"/>
      <c r="R74" s="87" t="str">
        <f t="shared" si="3"/>
        <v/>
      </c>
      <c r="S74" s="90" t="str">
        <f t="shared" si="4"/>
        <v/>
      </c>
      <c r="T74" s="91" t="str">
        <f t="shared" si="5"/>
        <v/>
      </c>
      <c r="U74" s="85">
        <f t="shared" si="6"/>
        <v>0</v>
      </c>
    </row>
    <row r="75">
      <c r="A75" s="85">
        <v>73.0</v>
      </c>
      <c r="B75" s="35"/>
      <c r="C75" s="65"/>
      <c r="D75" s="76"/>
      <c r="E75" s="93"/>
      <c r="F75" s="76"/>
      <c r="G75" s="93"/>
      <c r="H75" s="93"/>
      <c r="I75" s="93"/>
      <c r="J75" s="87" t="str">
        <f t="shared" si="1"/>
        <v/>
      </c>
      <c r="K75" s="93"/>
      <c r="L75" s="93"/>
      <c r="M75" s="93"/>
      <c r="N75" s="87" t="str">
        <f t="shared" si="2"/>
        <v/>
      </c>
      <c r="O75" s="93"/>
      <c r="P75" s="93"/>
      <c r="Q75" s="93"/>
      <c r="R75" s="87" t="str">
        <f t="shared" si="3"/>
        <v/>
      </c>
      <c r="S75" s="90" t="str">
        <f t="shared" si="4"/>
        <v/>
      </c>
      <c r="T75" s="91" t="str">
        <f t="shared" si="5"/>
        <v/>
      </c>
      <c r="U75" s="85">
        <f t="shared" si="6"/>
        <v>0</v>
      </c>
    </row>
    <row r="76">
      <c r="A76" s="85">
        <v>74.0</v>
      </c>
      <c r="B76" s="35"/>
      <c r="C76" s="65"/>
      <c r="D76" s="76"/>
      <c r="E76" s="93"/>
      <c r="F76" s="76"/>
      <c r="G76" s="93"/>
      <c r="H76" s="93"/>
      <c r="I76" s="93"/>
      <c r="J76" s="87" t="str">
        <f t="shared" si="1"/>
        <v/>
      </c>
      <c r="K76" s="93"/>
      <c r="L76" s="93"/>
      <c r="M76" s="93"/>
      <c r="N76" s="87" t="str">
        <f t="shared" si="2"/>
        <v/>
      </c>
      <c r="O76" s="93"/>
      <c r="P76" s="93"/>
      <c r="Q76" s="93"/>
      <c r="R76" s="87" t="str">
        <f t="shared" si="3"/>
        <v/>
      </c>
      <c r="S76" s="90" t="str">
        <f t="shared" si="4"/>
        <v/>
      </c>
      <c r="T76" s="91" t="str">
        <f t="shared" si="5"/>
        <v/>
      </c>
      <c r="U76" s="85">
        <f t="shared" si="6"/>
        <v>0</v>
      </c>
    </row>
    <row r="77">
      <c r="A77" s="85">
        <v>75.0</v>
      </c>
      <c r="B77" s="35"/>
      <c r="C77" s="65"/>
      <c r="D77" s="76"/>
      <c r="E77" s="93"/>
      <c r="F77" s="76"/>
      <c r="G77" s="93"/>
      <c r="H77" s="93"/>
      <c r="I77" s="93"/>
      <c r="J77" s="87" t="str">
        <f t="shared" si="1"/>
        <v/>
      </c>
      <c r="K77" s="93"/>
      <c r="L77" s="93"/>
      <c r="M77" s="93"/>
      <c r="N77" s="87" t="str">
        <f t="shared" si="2"/>
        <v/>
      </c>
      <c r="O77" s="93"/>
      <c r="P77" s="93"/>
      <c r="Q77" s="93"/>
      <c r="R77" s="87" t="str">
        <f t="shared" si="3"/>
        <v/>
      </c>
      <c r="S77" s="90" t="str">
        <f t="shared" si="4"/>
        <v/>
      </c>
      <c r="T77" s="91" t="str">
        <f t="shared" si="5"/>
        <v/>
      </c>
      <c r="U77" s="85">
        <f t="shared" si="6"/>
        <v>0</v>
      </c>
    </row>
  </sheetData>
  <autoFilter ref="$B$2:$T$77"/>
  <customSheetViews>
    <customSheetView guid="{B0C17AAF-6872-48F8-A58E-565BF6C8DB27}" filter="1" showAutoFilter="1">
      <autoFilter ref="$C$2:$T$52"/>
    </customSheetView>
  </customSheetViews>
  <mergeCells count="3">
    <mergeCell ref="K1:N1"/>
    <mergeCell ref="O1:R1"/>
    <mergeCell ref="G1:J1"/>
  </mergeCells>
  <conditionalFormatting sqref="G3:I77 K3:M77 O3:Q77">
    <cfRule type="endsWith" dxfId="2" priority="1" operator="endsWith" text="g">
      <formula>RIGHT((G3),LEN("g"))=("g")</formula>
    </cfRule>
  </conditionalFormatting>
  <conditionalFormatting sqref="G3:I77 K3:M77 O3:Q77">
    <cfRule type="endsWith" dxfId="1" priority="2" operator="endsWith" text="x">
      <formula>RIGHT((G3),LEN("x"))=("x")</formula>
    </cfRule>
  </conditionalFormatting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tabColor rgb="FF000000"/>
    <outlinePr summaryBelow="0" summaryRight="0"/>
  </sheetPr>
  <sheetViews>
    <sheetView workbookViewId="0">
      <pane xSplit="6.0" ySplit="2.0" topLeftCell="G3" activePane="bottomRight" state="frozen"/>
      <selection activeCell="G1" sqref="G1" pane="topRight"/>
      <selection activeCell="A3" sqref="A3" pane="bottomLeft"/>
      <selection activeCell="G3" sqref="G3" pane="bottomRight"/>
    </sheetView>
  </sheetViews>
  <sheetFormatPr customHeight="1" defaultColWidth="14.43" defaultRowHeight="15.75"/>
  <cols>
    <col customWidth="1" min="1" max="1" width="3.57"/>
    <col customWidth="1" min="2" max="2" width="10.29"/>
    <col customWidth="1" min="3" max="3" width="6.86"/>
    <col customWidth="1" min="4" max="4" width="14.71"/>
    <col customWidth="1" min="5" max="5" width="7.57"/>
    <col customWidth="1" min="6" max="6" width="18.29"/>
    <col customWidth="1" min="7" max="18" width="5.71"/>
    <col customWidth="1" min="19" max="19" width="9.86"/>
    <col customWidth="1" min="20" max="20" width="11.0"/>
    <col customWidth="1" hidden="1" min="21" max="21" width="11.0"/>
  </cols>
  <sheetData>
    <row r="1">
      <c r="A1" s="14"/>
      <c r="B1" s="16" t="s">
        <v>19</v>
      </c>
      <c r="C1" s="16" t="s">
        <v>135</v>
      </c>
      <c r="D1" s="57" t="s">
        <v>22</v>
      </c>
      <c r="E1" s="57" t="s">
        <v>23</v>
      </c>
      <c r="F1" s="57" t="s">
        <v>25</v>
      </c>
      <c r="G1" s="57" t="s">
        <v>115</v>
      </c>
      <c r="K1" s="57" t="s">
        <v>116</v>
      </c>
      <c r="O1" s="57" t="s">
        <v>117</v>
      </c>
      <c r="S1" s="57" t="s">
        <v>118</v>
      </c>
      <c r="T1" s="57" t="s">
        <v>119</v>
      </c>
      <c r="U1" s="57"/>
    </row>
    <row r="2">
      <c r="A2" s="81"/>
      <c r="B2" s="83" t="s">
        <v>19</v>
      </c>
      <c r="C2" s="83" t="s">
        <v>135</v>
      </c>
      <c r="D2" s="83" t="s">
        <v>22</v>
      </c>
      <c r="E2" s="84" t="s">
        <v>23</v>
      </c>
      <c r="F2" s="83" t="s">
        <v>25</v>
      </c>
      <c r="G2" s="83" t="s">
        <v>136</v>
      </c>
      <c r="H2" s="83" t="s">
        <v>137</v>
      </c>
      <c r="I2" s="83" t="s">
        <v>138</v>
      </c>
      <c r="J2" s="83" t="s">
        <v>139</v>
      </c>
      <c r="K2" s="83" t="s">
        <v>140</v>
      </c>
      <c r="L2" s="83" t="s">
        <v>141</v>
      </c>
      <c r="M2" s="83" t="s">
        <v>142</v>
      </c>
      <c r="N2" s="83" t="s">
        <v>143</v>
      </c>
      <c r="O2" s="83" t="s">
        <v>144</v>
      </c>
      <c r="P2" s="83" t="s">
        <v>145</v>
      </c>
      <c r="Q2" s="83" t="s">
        <v>146</v>
      </c>
      <c r="R2" s="83" t="s">
        <v>147</v>
      </c>
      <c r="S2" s="83"/>
      <c r="T2" s="84" t="s">
        <v>119</v>
      </c>
      <c r="U2" s="84"/>
    </row>
    <row r="3">
      <c r="A3" s="85">
        <v>1.0</v>
      </c>
      <c r="B3" s="35"/>
      <c r="C3" s="35"/>
      <c r="D3" s="86"/>
      <c r="E3" s="35"/>
      <c r="F3" s="86"/>
      <c r="G3" s="35"/>
      <c r="H3" s="85"/>
      <c r="I3" s="85"/>
      <c r="J3" s="87" t="str">
        <f t="shared" ref="J3:J77" si="1">IFERROR(__xludf.DUMMYFUNCTION("if(isblank(B3),,Max(if(right(G3,1)=""g"",split(G3,""g""),),if(right(H3,1)=""g"",split(H3,""g""),),if(right(I3,1)=""g"",split(I3,""g""),)))"),"")</f>
        <v/>
      </c>
      <c r="K3" s="35"/>
      <c r="L3" s="88"/>
      <c r="M3" s="88"/>
      <c r="N3" s="87" t="str">
        <f t="shared" ref="N3:N77" si="2">IFERROR(__xludf.DUMMYFUNCTION("if(isblank($B3),,Max(if(right(K3,1)=""g"",split(K3,""g""),),if(right(L3,1)=""g"",split(L3,""g""),),if(right(M3,1)=""g"",split(M3,""g""),)))"),"")</f>
        <v/>
      </c>
      <c r="O3" s="35"/>
      <c r="P3" s="88"/>
      <c r="Q3" s="88"/>
      <c r="R3" s="87" t="str">
        <f t="shared" ref="R3:R77" si="3">IFERROR(__xludf.DUMMYFUNCTION("if(isblank($B3),,Max(if(right(O3,1)=""g"",split(O3,""g""),),if(right(P3,1)=""g"",split(P3,""g""),),if(right(Q3,1)=""g"",split(Q3,""g""),)))"),"")</f>
        <v/>
      </c>
      <c r="S3" s="90" t="str">
        <f t="shared" ref="S3:S77" si="4">if(isblank(F3),,if(or(and(right(G3,1)="x",right(H3,1)="x",right(I3,1)="x"),and(right(K3,1)="x",right(L3,1)="x",right(M3,1)="x"),and(right(O3,1)="x",right(P3,1)="x",right(Q3,1)="x")),0,J3+N3+R3))</f>
        <v/>
      </c>
      <c r="T3" s="91" t="str">
        <f t="shared" ref="T3:T77" si="5">if(isblank(E3),,S3/E3)</f>
        <v/>
      </c>
      <c r="U3" s="85">
        <f t="shared" ref="U3:U77" si="6">countif(G3:Q3,"*g")</f>
        <v>0</v>
      </c>
    </row>
    <row r="4">
      <c r="A4" s="85">
        <v>2.0</v>
      </c>
      <c r="B4" s="35"/>
      <c r="C4" s="35"/>
      <c r="D4" s="86"/>
      <c r="E4" s="35"/>
      <c r="F4" s="86"/>
      <c r="G4" s="35"/>
      <c r="H4" s="85"/>
      <c r="I4" s="85"/>
      <c r="J4" s="87" t="str">
        <f t="shared" si="1"/>
        <v/>
      </c>
      <c r="K4" s="35"/>
      <c r="L4" s="88"/>
      <c r="M4" s="88"/>
      <c r="N4" s="87" t="str">
        <f t="shared" si="2"/>
        <v/>
      </c>
      <c r="O4" s="35"/>
      <c r="P4" s="88"/>
      <c r="Q4" s="88"/>
      <c r="R4" s="87" t="str">
        <f t="shared" si="3"/>
        <v/>
      </c>
      <c r="S4" s="90" t="str">
        <f t="shared" si="4"/>
        <v/>
      </c>
      <c r="T4" s="91" t="str">
        <f t="shared" si="5"/>
        <v/>
      </c>
      <c r="U4" s="85">
        <f t="shared" si="6"/>
        <v>0</v>
      </c>
    </row>
    <row r="5">
      <c r="A5" s="85">
        <v>3.0</v>
      </c>
      <c r="B5" s="35"/>
      <c r="C5" s="35"/>
      <c r="D5" s="86"/>
      <c r="E5" s="35"/>
      <c r="F5" s="86"/>
      <c r="G5" s="35"/>
      <c r="H5" s="85"/>
      <c r="I5" s="85"/>
      <c r="J5" s="87" t="str">
        <f t="shared" si="1"/>
        <v/>
      </c>
      <c r="K5" s="35"/>
      <c r="L5" s="88"/>
      <c r="M5" s="88"/>
      <c r="N5" s="87" t="str">
        <f t="shared" si="2"/>
        <v/>
      </c>
      <c r="O5" s="35"/>
      <c r="P5" s="88"/>
      <c r="Q5" s="88"/>
      <c r="R5" s="87" t="str">
        <f t="shared" si="3"/>
        <v/>
      </c>
      <c r="S5" s="90" t="str">
        <f t="shared" si="4"/>
        <v/>
      </c>
      <c r="T5" s="91" t="str">
        <f t="shared" si="5"/>
        <v/>
      </c>
      <c r="U5" s="85">
        <f t="shared" si="6"/>
        <v>0</v>
      </c>
    </row>
    <row r="6" ht="16.5" customHeight="1">
      <c r="A6" s="85">
        <v>4.0</v>
      </c>
      <c r="B6" s="35"/>
      <c r="C6" s="35"/>
      <c r="D6" s="86"/>
      <c r="E6" s="35"/>
      <c r="F6" s="86"/>
      <c r="G6" s="35"/>
      <c r="H6" s="85"/>
      <c r="I6" s="85"/>
      <c r="J6" s="87" t="str">
        <f t="shared" si="1"/>
        <v/>
      </c>
      <c r="K6" s="35"/>
      <c r="L6" s="88"/>
      <c r="M6" s="88"/>
      <c r="N6" s="87" t="str">
        <f t="shared" si="2"/>
        <v/>
      </c>
      <c r="O6" s="35"/>
      <c r="P6" s="88"/>
      <c r="Q6" s="88"/>
      <c r="R6" s="87" t="str">
        <f t="shared" si="3"/>
        <v/>
      </c>
      <c r="S6" s="90" t="str">
        <f t="shared" si="4"/>
        <v/>
      </c>
      <c r="T6" s="91" t="str">
        <f t="shared" si="5"/>
        <v/>
      </c>
      <c r="U6" s="85">
        <f t="shared" si="6"/>
        <v>0</v>
      </c>
    </row>
    <row r="7">
      <c r="A7" s="85">
        <v>5.0</v>
      </c>
      <c r="B7" s="35"/>
      <c r="C7" s="35"/>
      <c r="D7" s="86"/>
      <c r="E7" s="35"/>
      <c r="F7" s="86"/>
      <c r="G7" s="35"/>
      <c r="H7" s="85"/>
      <c r="I7" s="85"/>
      <c r="J7" s="87" t="str">
        <f t="shared" si="1"/>
        <v/>
      </c>
      <c r="K7" s="35"/>
      <c r="L7" s="88"/>
      <c r="M7" s="88"/>
      <c r="N7" s="87" t="str">
        <f t="shared" si="2"/>
        <v/>
      </c>
      <c r="O7" s="35"/>
      <c r="P7" s="88"/>
      <c r="Q7" s="88"/>
      <c r="R7" s="87" t="str">
        <f t="shared" si="3"/>
        <v/>
      </c>
      <c r="S7" s="90" t="str">
        <f t="shared" si="4"/>
        <v/>
      </c>
      <c r="T7" s="91" t="str">
        <f t="shared" si="5"/>
        <v/>
      </c>
      <c r="U7" s="85">
        <f t="shared" si="6"/>
        <v>0</v>
      </c>
    </row>
    <row r="8">
      <c r="A8" s="85">
        <v>6.0</v>
      </c>
      <c r="B8" s="35"/>
      <c r="C8" s="35"/>
      <c r="D8" s="86"/>
      <c r="E8" s="35"/>
      <c r="F8" s="86"/>
      <c r="G8" s="35"/>
      <c r="H8" s="85"/>
      <c r="I8" s="89"/>
      <c r="J8" s="87" t="str">
        <f t="shared" si="1"/>
        <v/>
      </c>
      <c r="K8" s="35"/>
      <c r="L8" s="88"/>
      <c r="M8" s="88"/>
      <c r="N8" s="87" t="str">
        <f t="shared" si="2"/>
        <v/>
      </c>
      <c r="O8" s="35"/>
      <c r="P8" s="88"/>
      <c r="Q8" s="88"/>
      <c r="R8" s="87" t="str">
        <f t="shared" si="3"/>
        <v/>
      </c>
      <c r="S8" s="90" t="str">
        <f t="shared" si="4"/>
        <v/>
      </c>
      <c r="T8" s="91" t="str">
        <f t="shared" si="5"/>
        <v/>
      </c>
      <c r="U8" s="85">
        <f t="shared" si="6"/>
        <v>0</v>
      </c>
    </row>
    <row r="9">
      <c r="A9" s="85">
        <v>7.0</v>
      </c>
      <c r="B9" s="35"/>
      <c r="C9" s="35"/>
      <c r="D9" s="86"/>
      <c r="E9" s="35"/>
      <c r="F9" s="86"/>
      <c r="G9" s="35"/>
      <c r="H9" s="85"/>
      <c r="I9" s="85"/>
      <c r="J9" s="87" t="str">
        <f t="shared" si="1"/>
        <v/>
      </c>
      <c r="K9" s="35"/>
      <c r="L9" s="88"/>
      <c r="M9" s="88"/>
      <c r="N9" s="87" t="str">
        <f t="shared" si="2"/>
        <v/>
      </c>
      <c r="O9" s="35"/>
      <c r="P9" s="88"/>
      <c r="Q9" s="88"/>
      <c r="R9" s="87" t="str">
        <f t="shared" si="3"/>
        <v/>
      </c>
      <c r="S9" s="90" t="str">
        <f t="shared" si="4"/>
        <v/>
      </c>
      <c r="T9" s="91" t="str">
        <f t="shared" si="5"/>
        <v/>
      </c>
      <c r="U9" s="85">
        <f t="shared" si="6"/>
        <v>0</v>
      </c>
    </row>
    <row r="10">
      <c r="A10" s="85">
        <v>8.0</v>
      </c>
      <c r="B10" s="35"/>
      <c r="C10" s="35"/>
      <c r="D10" s="86"/>
      <c r="E10" s="35"/>
      <c r="F10" s="86"/>
      <c r="G10" s="35"/>
      <c r="H10" s="85"/>
      <c r="I10" s="85"/>
      <c r="J10" s="87" t="str">
        <f t="shared" si="1"/>
        <v/>
      </c>
      <c r="K10" s="35"/>
      <c r="L10" s="88"/>
      <c r="M10" s="88"/>
      <c r="N10" s="87" t="str">
        <f t="shared" si="2"/>
        <v/>
      </c>
      <c r="O10" s="35"/>
      <c r="P10" s="88"/>
      <c r="Q10" s="88"/>
      <c r="R10" s="87" t="str">
        <f t="shared" si="3"/>
        <v/>
      </c>
      <c r="S10" s="90" t="str">
        <f t="shared" si="4"/>
        <v/>
      </c>
      <c r="T10" s="91" t="str">
        <f t="shared" si="5"/>
        <v/>
      </c>
      <c r="U10" s="85">
        <f t="shared" si="6"/>
        <v>0</v>
      </c>
    </row>
    <row r="11">
      <c r="A11" s="85">
        <v>9.0</v>
      </c>
      <c r="B11" s="35"/>
      <c r="C11" s="35"/>
      <c r="D11" s="86"/>
      <c r="E11" s="35"/>
      <c r="F11" s="86"/>
      <c r="G11" s="35"/>
      <c r="H11" s="85"/>
      <c r="I11" s="85"/>
      <c r="J11" s="87" t="str">
        <f t="shared" si="1"/>
        <v/>
      </c>
      <c r="K11" s="35"/>
      <c r="L11" s="88"/>
      <c r="M11" s="88"/>
      <c r="N11" s="87" t="str">
        <f t="shared" si="2"/>
        <v/>
      </c>
      <c r="O11" s="35"/>
      <c r="P11" s="88"/>
      <c r="Q11" s="88"/>
      <c r="R11" s="87" t="str">
        <f t="shared" si="3"/>
        <v/>
      </c>
      <c r="S11" s="90" t="str">
        <f t="shared" si="4"/>
        <v/>
      </c>
      <c r="T11" s="91" t="str">
        <f t="shared" si="5"/>
        <v/>
      </c>
      <c r="U11" s="85">
        <f t="shared" si="6"/>
        <v>0</v>
      </c>
    </row>
    <row r="12">
      <c r="A12" s="85">
        <v>10.0</v>
      </c>
      <c r="B12" s="35"/>
      <c r="C12" s="35"/>
      <c r="D12" s="86"/>
      <c r="E12" s="35"/>
      <c r="F12" s="86"/>
      <c r="G12" s="35"/>
      <c r="H12" s="85"/>
      <c r="I12" s="85"/>
      <c r="J12" s="87" t="str">
        <f t="shared" si="1"/>
        <v/>
      </c>
      <c r="K12" s="35"/>
      <c r="L12" s="88"/>
      <c r="M12" s="85"/>
      <c r="N12" s="87" t="str">
        <f t="shared" si="2"/>
        <v/>
      </c>
      <c r="O12" s="35"/>
      <c r="P12" s="88"/>
      <c r="Q12" s="85"/>
      <c r="R12" s="87" t="str">
        <f t="shared" si="3"/>
        <v/>
      </c>
      <c r="S12" s="90" t="str">
        <f t="shared" si="4"/>
        <v/>
      </c>
      <c r="T12" s="91" t="str">
        <f t="shared" si="5"/>
        <v/>
      </c>
      <c r="U12" s="85">
        <f t="shared" si="6"/>
        <v>0</v>
      </c>
    </row>
    <row r="13">
      <c r="A13" s="85">
        <v>11.0</v>
      </c>
      <c r="B13" s="35"/>
      <c r="C13" s="35"/>
      <c r="D13" s="86"/>
      <c r="E13" s="35"/>
      <c r="F13" s="86"/>
      <c r="G13" s="35"/>
      <c r="H13" s="85"/>
      <c r="I13" s="85"/>
      <c r="J13" s="87" t="str">
        <f t="shared" si="1"/>
        <v/>
      </c>
      <c r="K13" s="35"/>
      <c r="L13" s="88"/>
      <c r="M13" s="88"/>
      <c r="N13" s="87" t="str">
        <f t="shared" si="2"/>
        <v/>
      </c>
      <c r="O13" s="35"/>
      <c r="P13" s="88"/>
      <c r="Q13" s="88"/>
      <c r="R13" s="87" t="str">
        <f t="shared" si="3"/>
        <v/>
      </c>
      <c r="S13" s="90" t="str">
        <f t="shared" si="4"/>
        <v/>
      </c>
      <c r="T13" s="91" t="str">
        <f t="shared" si="5"/>
        <v/>
      </c>
      <c r="U13" s="85">
        <f t="shared" si="6"/>
        <v>0</v>
      </c>
    </row>
    <row r="14">
      <c r="A14" s="85">
        <v>12.0</v>
      </c>
      <c r="B14" s="35"/>
      <c r="C14" s="35"/>
      <c r="D14" s="86"/>
      <c r="E14" s="35"/>
      <c r="F14" s="86"/>
      <c r="G14" s="35"/>
      <c r="H14" s="85"/>
      <c r="I14" s="85"/>
      <c r="J14" s="87" t="str">
        <f t="shared" si="1"/>
        <v/>
      </c>
      <c r="K14" s="35"/>
      <c r="L14" s="88"/>
      <c r="M14" s="88"/>
      <c r="N14" s="87" t="str">
        <f t="shared" si="2"/>
        <v/>
      </c>
      <c r="O14" s="35"/>
      <c r="P14" s="88"/>
      <c r="Q14" s="88"/>
      <c r="R14" s="87" t="str">
        <f t="shared" si="3"/>
        <v/>
      </c>
      <c r="S14" s="90" t="str">
        <f t="shared" si="4"/>
        <v/>
      </c>
      <c r="T14" s="91" t="str">
        <f t="shared" si="5"/>
        <v/>
      </c>
      <c r="U14" s="85">
        <f t="shared" si="6"/>
        <v>0</v>
      </c>
    </row>
    <row r="15">
      <c r="A15" s="85">
        <v>13.0</v>
      </c>
      <c r="B15" s="35"/>
      <c r="C15" s="35"/>
      <c r="D15" s="86"/>
      <c r="E15" s="35"/>
      <c r="F15" s="86"/>
      <c r="G15" s="35"/>
      <c r="H15" s="85"/>
      <c r="I15" s="85"/>
      <c r="J15" s="87" t="str">
        <f t="shared" si="1"/>
        <v/>
      </c>
      <c r="K15" s="35"/>
      <c r="L15" s="88"/>
      <c r="M15" s="88"/>
      <c r="N15" s="87" t="str">
        <f t="shared" si="2"/>
        <v/>
      </c>
      <c r="O15" s="35"/>
      <c r="P15" s="88"/>
      <c r="Q15" s="88"/>
      <c r="R15" s="87" t="str">
        <f t="shared" si="3"/>
        <v/>
      </c>
      <c r="S15" s="90" t="str">
        <f t="shared" si="4"/>
        <v/>
      </c>
      <c r="T15" s="91" t="str">
        <f t="shared" si="5"/>
        <v/>
      </c>
      <c r="U15" s="85">
        <f t="shared" si="6"/>
        <v>0</v>
      </c>
    </row>
    <row r="16">
      <c r="A16" s="85">
        <v>14.0</v>
      </c>
      <c r="B16" s="35"/>
      <c r="C16" s="35"/>
      <c r="D16" s="86"/>
      <c r="E16" s="35"/>
      <c r="F16" s="86"/>
      <c r="G16" s="35"/>
      <c r="H16" s="85"/>
      <c r="I16" s="85"/>
      <c r="J16" s="87" t="str">
        <f t="shared" si="1"/>
        <v/>
      </c>
      <c r="K16" s="35"/>
      <c r="L16" s="88"/>
      <c r="M16" s="88"/>
      <c r="N16" s="87" t="str">
        <f t="shared" si="2"/>
        <v/>
      </c>
      <c r="O16" s="35"/>
      <c r="P16" s="88"/>
      <c r="Q16" s="88"/>
      <c r="R16" s="87" t="str">
        <f t="shared" si="3"/>
        <v/>
      </c>
      <c r="S16" s="90" t="str">
        <f t="shared" si="4"/>
        <v/>
      </c>
      <c r="T16" s="91" t="str">
        <f t="shared" si="5"/>
        <v/>
      </c>
      <c r="U16" s="85">
        <f t="shared" si="6"/>
        <v>0</v>
      </c>
    </row>
    <row r="17">
      <c r="A17" s="85">
        <v>15.0</v>
      </c>
      <c r="B17" s="35"/>
      <c r="C17" s="35"/>
      <c r="D17" s="86"/>
      <c r="E17" s="35"/>
      <c r="F17" s="86"/>
      <c r="G17" s="35"/>
      <c r="H17" s="85"/>
      <c r="I17" s="85"/>
      <c r="J17" s="87" t="str">
        <f t="shared" si="1"/>
        <v/>
      </c>
      <c r="K17" s="35"/>
      <c r="L17" s="88"/>
      <c r="M17" s="88"/>
      <c r="N17" s="87" t="str">
        <f t="shared" si="2"/>
        <v/>
      </c>
      <c r="O17" s="35"/>
      <c r="P17" s="88"/>
      <c r="Q17" s="88"/>
      <c r="R17" s="87" t="str">
        <f t="shared" si="3"/>
        <v/>
      </c>
      <c r="S17" s="90" t="str">
        <f t="shared" si="4"/>
        <v/>
      </c>
      <c r="T17" s="91" t="str">
        <f t="shared" si="5"/>
        <v/>
      </c>
      <c r="U17" s="85">
        <f t="shared" si="6"/>
        <v>0</v>
      </c>
    </row>
    <row r="18">
      <c r="A18" s="85">
        <v>16.0</v>
      </c>
      <c r="B18" s="35"/>
      <c r="C18" s="35"/>
      <c r="D18" s="86"/>
      <c r="E18" s="35"/>
      <c r="F18" s="86"/>
      <c r="G18" s="35"/>
      <c r="H18" s="85"/>
      <c r="I18" s="85"/>
      <c r="J18" s="87" t="str">
        <f t="shared" si="1"/>
        <v/>
      </c>
      <c r="K18" s="35"/>
      <c r="L18" s="88"/>
      <c r="M18" s="88"/>
      <c r="N18" s="87" t="str">
        <f t="shared" si="2"/>
        <v/>
      </c>
      <c r="O18" s="35"/>
      <c r="P18" s="88"/>
      <c r="Q18" s="88"/>
      <c r="R18" s="87" t="str">
        <f t="shared" si="3"/>
        <v/>
      </c>
      <c r="S18" s="90" t="str">
        <f t="shared" si="4"/>
        <v/>
      </c>
      <c r="T18" s="91" t="str">
        <f t="shared" si="5"/>
        <v/>
      </c>
      <c r="U18" s="85">
        <f t="shared" si="6"/>
        <v>0</v>
      </c>
    </row>
    <row r="19">
      <c r="A19" s="85">
        <v>17.0</v>
      </c>
      <c r="B19" s="35"/>
      <c r="C19" s="35"/>
      <c r="D19" s="86"/>
      <c r="E19" s="35"/>
      <c r="F19" s="86"/>
      <c r="G19" s="35"/>
      <c r="H19" s="85"/>
      <c r="I19" s="85"/>
      <c r="J19" s="87" t="str">
        <f t="shared" si="1"/>
        <v/>
      </c>
      <c r="K19" s="35"/>
      <c r="L19" s="88"/>
      <c r="M19" s="85"/>
      <c r="N19" s="87" t="str">
        <f t="shared" si="2"/>
        <v/>
      </c>
      <c r="O19" s="35"/>
      <c r="P19" s="88"/>
      <c r="Q19" s="85"/>
      <c r="R19" s="87" t="str">
        <f t="shared" si="3"/>
        <v/>
      </c>
      <c r="S19" s="90" t="str">
        <f t="shared" si="4"/>
        <v/>
      </c>
      <c r="T19" s="91" t="str">
        <f t="shared" si="5"/>
        <v/>
      </c>
      <c r="U19" s="85">
        <f t="shared" si="6"/>
        <v>0</v>
      </c>
    </row>
    <row r="20">
      <c r="A20" s="85">
        <v>18.0</v>
      </c>
      <c r="B20" s="35"/>
      <c r="C20" s="35"/>
      <c r="D20" s="86"/>
      <c r="E20" s="35"/>
      <c r="F20" s="86"/>
      <c r="G20" s="35"/>
      <c r="H20" s="85"/>
      <c r="I20" s="85"/>
      <c r="J20" s="87" t="str">
        <f t="shared" si="1"/>
        <v/>
      </c>
      <c r="K20" s="35"/>
      <c r="L20" s="88"/>
      <c r="M20" s="89"/>
      <c r="N20" s="87" t="str">
        <f t="shared" si="2"/>
        <v/>
      </c>
      <c r="O20" s="35"/>
      <c r="P20" s="88"/>
      <c r="Q20" s="88"/>
      <c r="R20" s="87" t="str">
        <f t="shared" si="3"/>
        <v/>
      </c>
      <c r="S20" s="90" t="str">
        <f t="shared" si="4"/>
        <v/>
      </c>
      <c r="T20" s="91" t="str">
        <f t="shared" si="5"/>
        <v/>
      </c>
      <c r="U20" s="85">
        <f t="shared" si="6"/>
        <v>0</v>
      </c>
    </row>
    <row r="21">
      <c r="A21" s="85">
        <v>19.0</v>
      </c>
      <c r="B21" s="35"/>
      <c r="C21" s="35"/>
      <c r="D21" s="86"/>
      <c r="E21" s="35"/>
      <c r="F21" s="86"/>
      <c r="G21" s="35"/>
      <c r="H21" s="85"/>
      <c r="I21" s="85"/>
      <c r="J21" s="87" t="str">
        <f t="shared" si="1"/>
        <v/>
      </c>
      <c r="K21" s="35"/>
      <c r="L21" s="88"/>
      <c r="M21" s="85"/>
      <c r="N21" s="87" t="str">
        <f t="shared" si="2"/>
        <v/>
      </c>
      <c r="O21" s="35"/>
      <c r="P21" s="88"/>
      <c r="Q21" s="85"/>
      <c r="R21" s="87" t="str">
        <f t="shared" si="3"/>
        <v/>
      </c>
      <c r="S21" s="90" t="str">
        <f t="shared" si="4"/>
        <v/>
      </c>
      <c r="T21" s="91" t="str">
        <f t="shared" si="5"/>
        <v/>
      </c>
      <c r="U21" s="85">
        <f t="shared" si="6"/>
        <v>0</v>
      </c>
    </row>
    <row r="22">
      <c r="A22" s="85">
        <v>20.0</v>
      </c>
      <c r="B22" s="35"/>
      <c r="C22" s="35"/>
      <c r="D22" s="86"/>
      <c r="E22" s="35"/>
      <c r="F22" s="86"/>
      <c r="G22" s="35"/>
      <c r="H22" s="85"/>
      <c r="I22" s="85"/>
      <c r="J22" s="87" t="str">
        <f t="shared" si="1"/>
        <v/>
      </c>
      <c r="K22" s="35"/>
      <c r="L22" s="88"/>
      <c r="M22" s="88"/>
      <c r="N22" s="87" t="str">
        <f t="shared" si="2"/>
        <v/>
      </c>
      <c r="O22" s="35"/>
      <c r="P22" s="88"/>
      <c r="Q22" s="88"/>
      <c r="R22" s="87" t="str">
        <f t="shared" si="3"/>
        <v/>
      </c>
      <c r="S22" s="90" t="str">
        <f t="shared" si="4"/>
        <v/>
      </c>
      <c r="T22" s="91" t="str">
        <f t="shared" si="5"/>
        <v/>
      </c>
      <c r="U22" s="85">
        <f t="shared" si="6"/>
        <v>0</v>
      </c>
    </row>
    <row r="23">
      <c r="A23" s="85">
        <v>21.0</v>
      </c>
      <c r="B23" s="35"/>
      <c r="C23" s="35"/>
      <c r="D23" s="86"/>
      <c r="E23" s="35"/>
      <c r="F23" s="86"/>
      <c r="G23" s="35"/>
      <c r="H23" s="85"/>
      <c r="I23" s="85"/>
      <c r="J23" s="87" t="str">
        <f t="shared" si="1"/>
        <v/>
      </c>
      <c r="K23" s="35"/>
      <c r="L23" s="88"/>
      <c r="M23" s="88"/>
      <c r="N23" s="87" t="str">
        <f t="shared" si="2"/>
        <v/>
      </c>
      <c r="O23" s="35"/>
      <c r="P23" s="88"/>
      <c r="Q23" s="88"/>
      <c r="R23" s="87" t="str">
        <f t="shared" si="3"/>
        <v/>
      </c>
      <c r="S23" s="90" t="str">
        <f t="shared" si="4"/>
        <v/>
      </c>
      <c r="T23" s="91" t="str">
        <f t="shared" si="5"/>
        <v/>
      </c>
      <c r="U23" s="85">
        <f t="shared" si="6"/>
        <v>0</v>
      </c>
    </row>
    <row r="24">
      <c r="A24" s="85">
        <v>22.0</v>
      </c>
      <c r="B24" s="35"/>
      <c r="C24" s="35"/>
      <c r="D24" s="86"/>
      <c r="E24" s="35"/>
      <c r="F24" s="86"/>
      <c r="G24" s="35"/>
      <c r="H24" s="85"/>
      <c r="I24" s="85"/>
      <c r="J24" s="87" t="str">
        <f t="shared" si="1"/>
        <v/>
      </c>
      <c r="K24" s="35"/>
      <c r="L24" s="88"/>
      <c r="M24" s="88"/>
      <c r="N24" s="87" t="str">
        <f t="shared" si="2"/>
        <v/>
      </c>
      <c r="O24" s="35"/>
      <c r="P24" s="88"/>
      <c r="Q24" s="88"/>
      <c r="R24" s="87" t="str">
        <f t="shared" si="3"/>
        <v/>
      </c>
      <c r="S24" s="90" t="str">
        <f t="shared" si="4"/>
        <v/>
      </c>
      <c r="T24" s="91" t="str">
        <f t="shared" si="5"/>
        <v/>
      </c>
      <c r="U24" s="85">
        <f t="shared" si="6"/>
        <v>0</v>
      </c>
    </row>
    <row r="25">
      <c r="A25" s="85">
        <v>23.0</v>
      </c>
      <c r="B25" s="35"/>
      <c r="C25" s="35"/>
      <c r="D25" s="86"/>
      <c r="E25" s="35"/>
      <c r="F25" s="86"/>
      <c r="G25" s="35"/>
      <c r="H25" s="85"/>
      <c r="I25" s="85"/>
      <c r="J25" s="87" t="str">
        <f t="shared" si="1"/>
        <v/>
      </c>
      <c r="K25" s="35"/>
      <c r="L25" s="88"/>
      <c r="M25" s="88"/>
      <c r="N25" s="87" t="str">
        <f t="shared" si="2"/>
        <v/>
      </c>
      <c r="O25" s="35"/>
      <c r="P25" s="88"/>
      <c r="Q25" s="88"/>
      <c r="R25" s="87" t="str">
        <f t="shared" si="3"/>
        <v/>
      </c>
      <c r="S25" s="90" t="str">
        <f t="shared" si="4"/>
        <v/>
      </c>
      <c r="T25" s="91" t="str">
        <f t="shared" si="5"/>
        <v/>
      </c>
      <c r="U25" s="85">
        <f t="shared" si="6"/>
        <v>0</v>
      </c>
    </row>
    <row r="26">
      <c r="A26" s="85">
        <v>24.0</v>
      </c>
      <c r="B26" s="35"/>
      <c r="C26" s="35"/>
      <c r="D26" s="86"/>
      <c r="E26" s="35"/>
      <c r="F26" s="86"/>
      <c r="G26" s="35"/>
      <c r="H26" s="93"/>
      <c r="I26" s="93"/>
      <c r="J26" s="87" t="str">
        <f t="shared" si="1"/>
        <v/>
      </c>
      <c r="K26" s="93"/>
      <c r="L26" s="93"/>
      <c r="M26" s="93"/>
      <c r="N26" s="87" t="str">
        <f t="shared" si="2"/>
        <v/>
      </c>
      <c r="O26" s="93"/>
      <c r="P26" s="93"/>
      <c r="Q26" s="93"/>
      <c r="R26" s="87" t="str">
        <f t="shared" si="3"/>
        <v/>
      </c>
      <c r="S26" s="90" t="str">
        <f t="shared" si="4"/>
        <v/>
      </c>
      <c r="T26" s="91" t="str">
        <f t="shared" si="5"/>
        <v/>
      </c>
      <c r="U26" s="85">
        <f t="shared" si="6"/>
        <v>0</v>
      </c>
    </row>
    <row r="27">
      <c r="A27" s="85">
        <v>25.0</v>
      </c>
      <c r="B27" s="35"/>
      <c r="C27" s="35"/>
      <c r="D27" s="86"/>
      <c r="E27" s="35"/>
      <c r="F27" s="86"/>
      <c r="G27" s="35"/>
      <c r="H27" s="93"/>
      <c r="I27" s="93"/>
      <c r="J27" s="87" t="str">
        <f t="shared" si="1"/>
        <v/>
      </c>
      <c r="K27" s="93"/>
      <c r="L27" s="93"/>
      <c r="M27" s="93"/>
      <c r="N27" s="87" t="str">
        <f t="shared" si="2"/>
        <v/>
      </c>
      <c r="O27" s="93"/>
      <c r="P27" s="93"/>
      <c r="Q27" s="93"/>
      <c r="R27" s="87" t="str">
        <f t="shared" si="3"/>
        <v/>
      </c>
      <c r="S27" s="90" t="str">
        <f t="shared" si="4"/>
        <v/>
      </c>
      <c r="T27" s="91" t="str">
        <f t="shared" si="5"/>
        <v/>
      </c>
      <c r="U27" s="85">
        <f t="shared" si="6"/>
        <v>0</v>
      </c>
    </row>
    <row r="28">
      <c r="A28" s="85">
        <v>26.0</v>
      </c>
      <c r="B28" s="35"/>
      <c r="C28" s="35"/>
      <c r="D28" s="86"/>
      <c r="E28" s="35"/>
      <c r="F28" s="86"/>
      <c r="G28" s="35"/>
      <c r="H28" s="93"/>
      <c r="I28" s="93"/>
      <c r="J28" s="87" t="str">
        <f t="shared" si="1"/>
        <v/>
      </c>
      <c r="K28" s="93"/>
      <c r="L28" s="93"/>
      <c r="M28" s="93"/>
      <c r="N28" s="87" t="str">
        <f t="shared" si="2"/>
        <v/>
      </c>
      <c r="O28" s="93"/>
      <c r="P28" s="93"/>
      <c r="Q28" s="93"/>
      <c r="R28" s="87" t="str">
        <f t="shared" si="3"/>
        <v/>
      </c>
      <c r="S28" s="90" t="str">
        <f t="shared" si="4"/>
        <v/>
      </c>
      <c r="T28" s="91" t="str">
        <f t="shared" si="5"/>
        <v/>
      </c>
      <c r="U28" s="85">
        <f t="shared" si="6"/>
        <v>0</v>
      </c>
    </row>
    <row r="29">
      <c r="A29" s="85">
        <v>27.0</v>
      </c>
      <c r="B29" s="35"/>
      <c r="C29" s="35"/>
      <c r="D29" s="86"/>
      <c r="E29" s="35"/>
      <c r="F29" s="86"/>
      <c r="G29" s="35"/>
      <c r="H29" s="93"/>
      <c r="I29" s="93"/>
      <c r="J29" s="87" t="str">
        <f t="shared" si="1"/>
        <v/>
      </c>
      <c r="K29" s="93"/>
      <c r="L29" s="93"/>
      <c r="M29" s="93"/>
      <c r="N29" s="87" t="str">
        <f t="shared" si="2"/>
        <v/>
      </c>
      <c r="O29" s="93"/>
      <c r="P29" s="93"/>
      <c r="Q29" s="93"/>
      <c r="R29" s="87" t="str">
        <f t="shared" si="3"/>
        <v/>
      </c>
      <c r="S29" s="90" t="str">
        <f t="shared" si="4"/>
        <v/>
      </c>
      <c r="T29" s="91" t="str">
        <f t="shared" si="5"/>
        <v/>
      </c>
      <c r="U29" s="85">
        <f t="shared" si="6"/>
        <v>0</v>
      </c>
    </row>
    <row r="30">
      <c r="A30" s="85">
        <v>28.0</v>
      </c>
      <c r="B30" s="35"/>
      <c r="C30" s="35"/>
      <c r="D30" s="86"/>
      <c r="E30" s="35"/>
      <c r="F30" s="86"/>
      <c r="G30" s="35"/>
      <c r="H30" s="93"/>
      <c r="I30" s="93"/>
      <c r="J30" s="87" t="str">
        <f t="shared" si="1"/>
        <v/>
      </c>
      <c r="K30" s="93"/>
      <c r="L30" s="93"/>
      <c r="M30" s="93"/>
      <c r="N30" s="87" t="str">
        <f t="shared" si="2"/>
        <v/>
      </c>
      <c r="O30" s="93"/>
      <c r="P30" s="93"/>
      <c r="Q30" s="93"/>
      <c r="R30" s="87" t="str">
        <f t="shared" si="3"/>
        <v/>
      </c>
      <c r="S30" s="90" t="str">
        <f t="shared" si="4"/>
        <v/>
      </c>
      <c r="T30" s="91" t="str">
        <f t="shared" si="5"/>
        <v/>
      </c>
      <c r="U30" s="85">
        <f t="shared" si="6"/>
        <v>0</v>
      </c>
    </row>
    <row r="31">
      <c r="A31" s="85">
        <v>29.0</v>
      </c>
      <c r="B31" s="35"/>
      <c r="C31" s="35"/>
      <c r="D31" s="86"/>
      <c r="E31" s="35"/>
      <c r="F31" s="86"/>
      <c r="G31" s="35"/>
      <c r="H31" s="93"/>
      <c r="I31" s="93"/>
      <c r="J31" s="87" t="str">
        <f t="shared" si="1"/>
        <v/>
      </c>
      <c r="K31" s="93"/>
      <c r="L31" s="93"/>
      <c r="M31" s="93"/>
      <c r="N31" s="87" t="str">
        <f t="shared" si="2"/>
        <v/>
      </c>
      <c r="O31" s="93"/>
      <c r="P31" s="93"/>
      <c r="Q31" s="93"/>
      <c r="R31" s="87" t="str">
        <f t="shared" si="3"/>
        <v/>
      </c>
      <c r="S31" s="90" t="str">
        <f t="shared" si="4"/>
        <v/>
      </c>
      <c r="T31" s="91" t="str">
        <f t="shared" si="5"/>
        <v/>
      </c>
      <c r="U31" s="85">
        <f t="shared" si="6"/>
        <v>0</v>
      </c>
    </row>
    <row r="32">
      <c r="A32" s="85">
        <v>30.0</v>
      </c>
      <c r="B32" s="35"/>
      <c r="C32" s="35"/>
      <c r="D32" s="86"/>
      <c r="E32" s="35"/>
      <c r="F32" s="86"/>
      <c r="G32" s="35"/>
      <c r="H32" s="93"/>
      <c r="I32" s="93"/>
      <c r="J32" s="87" t="str">
        <f t="shared" si="1"/>
        <v/>
      </c>
      <c r="K32" s="93"/>
      <c r="L32" s="93"/>
      <c r="M32" s="93"/>
      <c r="N32" s="87" t="str">
        <f t="shared" si="2"/>
        <v/>
      </c>
      <c r="O32" s="93"/>
      <c r="P32" s="93"/>
      <c r="Q32" s="93"/>
      <c r="R32" s="87" t="str">
        <f t="shared" si="3"/>
        <v/>
      </c>
      <c r="S32" s="90" t="str">
        <f t="shared" si="4"/>
        <v/>
      </c>
      <c r="T32" s="91" t="str">
        <f t="shared" si="5"/>
        <v/>
      </c>
      <c r="U32" s="85">
        <f t="shared" si="6"/>
        <v>0</v>
      </c>
    </row>
    <row r="33">
      <c r="A33" s="85">
        <v>31.0</v>
      </c>
      <c r="B33" s="35"/>
      <c r="C33" s="35"/>
      <c r="D33" s="86"/>
      <c r="E33" s="35"/>
      <c r="F33" s="86"/>
      <c r="G33" s="35"/>
      <c r="H33" s="93"/>
      <c r="I33" s="93"/>
      <c r="J33" s="87" t="str">
        <f t="shared" si="1"/>
        <v/>
      </c>
      <c r="K33" s="93"/>
      <c r="L33" s="93"/>
      <c r="M33" s="93"/>
      <c r="N33" s="87" t="str">
        <f t="shared" si="2"/>
        <v/>
      </c>
      <c r="O33" s="93"/>
      <c r="P33" s="93"/>
      <c r="Q33" s="93"/>
      <c r="R33" s="87" t="str">
        <f t="shared" si="3"/>
        <v/>
      </c>
      <c r="S33" s="90" t="str">
        <f t="shared" si="4"/>
        <v/>
      </c>
      <c r="T33" s="91" t="str">
        <f t="shared" si="5"/>
        <v/>
      </c>
      <c r="U33" s="85">
        <f t="shared" si="6"/>
        <v>0</v>
      </c>
    </row>
    <row r="34">
      <c r="A34" s="85">
        <v>32.0</v>
      </c>
      <c r="B34" s="35"/>
      <c r="C34" s="35"/>
      <c r="D34" s="86"/>
      <c r="E34" s="35"/>
      <c r="F34" s="86"/>
      <c r="G34" s="35"/>
      <c r="H34" s="93"/>
      <c r="I34" s="93"/>
      <c r="J34" s="87" t="str">
        <f t="shared" si="1"/>
        <v/>
      </c>
      <c r="K34" s="93"/>
      <c r="L34" s="93"/>
      <c r="M34" s="93"/>
      <c r="N34" s="87" t="str">
        <f t="shared" si="2"/>
        <v/>
      </c>
      <c r="O34" s="93"/>
      <c r="P34" s="93"/>
      <c r="Q34" s="93"/>
      <c r="R34" s="87" t="str">
        <f t="shared" si="3"/>
        <v/>
      </c>
      <c r="S34" s="90" t="str">
        <f t="shared" si="4"/>
        <v/>
      </c>
      <c r="T34" s="91" t="str">
        <f t="shared" si="5"/>
        <v/>
      </c>
      <c r="U34" s="85">
        <f t="shared" si="6"/>
        <v>0</v>
      </c>
    </row>
    <row r="35">
      <c r="A35" s="85">
        <v>33.0</v>
      </c>
      <c r="B35" s="35"/>
      <c r="C35" s="65"/>
      <c r="D35" s="76"/>
      <c r="E35" s="93"/>
      <c r="F35" s="76"/>
      <c r="G35" s="93"/>
      <c r="H35" s="93"/>
      <c r="I35" s="93"/>
      <c r="J35" s="87" t="str">
        <f t="shared" si="1"/>
        <v/>
      </c>
      <c r="K35" s="93"/>
      <c r="L35" s="93"/>
      <c r="M35" s="93"/>
      <c r="N35" s="87" t="str">
        <f t="shared" si="2"/>
        <v/>
      </c>
      <c r="O35" s="93"/>
      <c r="P35" s="93"/>
      <c r="Q35" s="93"/>
      <c r="R35" s="87" t="str">
        <f t="shared" si="3"/>
        <v/>
      </c>
      <c r="S35" s="90" t="str">
        <f t="shared" si="4"/>
        <v/>
      </c>
      <c r="T35" s="91" t="str">
        <f t="shared" si="5"/>
        <v/>
      </c>
      <c r="U35" s="85">
        <f t="shared" si="6"/>
        <v>0</v>
      </c>
    </row>
    <row r="36">
      <c r="A36" s="85">
        <v>34.0</v>
      </c>
      <c r="B36" s="35"/>
      <c r="C36" s="65"/>
      <c r="D36" s="76"/>
      <c r="E36" s="93"/>
      <c r="F36" s="76"/>
      <c r="G36" s="93"/>
      <c r="H36" s="93"/>
      <c r="I36" s="93"/>
      <c r="J36" s="87" t="str">
        <f t="shared" si="1"/>
        <v/>
      </c>
      <c r="K36" s="93"/>
      <c r="L36" s="93"/>
      <c r="M36" s="93"/>
      <c r="N36" s="87" t="str">
        <f t="shared" si="2"/>
        <v/>
      </c>
      <c r="O36" s="93"/>
      <c r="P36" s="93"/>
      <c r="Q36" s="93"/>
      <c r="R36" s="87" t="str">
        <f t="shared" si="3"/>
        <v/>
      </c>
      <c r="S36" s="90" t="str">
        <f t="shared" si="4"/>
        <v/>
      </c>
      <c r="T36" s="91" t="str">
        <f t="shared" si="5"/>
        <v/>
      </c>
      <c r="U36" s="85">
        <f t="shared" si="6"/>
        <v>0</v>
      </c>
    </row>
    <row r="37">
      <c r="A37" s="85">
        <v>35.0</v>
      </c>
      <c r="B37" s="35"/>
      <c r="C37" s="65"/>
      <c r="D37" s="76"/>
      <c r="E37" s="93"/>
      <c r="F37" s="76"/>
      <c r="G37" s="93"/>
      <c r="H37" s="93"/>
      <c r="I37" s="93"/>
      <c r="J37" s="87" t="str">
        <f t="shared" si="1"/>
        <v/>
      </c>
      <c r="K37" s="93"/>
      <c r="L37" s="93"/>
      <c r="M37" s="93"/>
      <c r="N37" s="87" t="str">
        <f t="shared" si="2"/>
        <v/>
      </c>
      <c r="O37" s="93"/>
      <c r="P37" s="93"/>
      <c r="Q37" s="93"/>
      <c r="R37" s="87" t="str">
        <f t="shared" si="3"/>
        <v/>
      </c>
      <c r="S37" s="90" t="str">
        <f t="shared" si="4"/>
        <v/>
      </c>
      <c r="T37" s="91" t="str">
        <f t="shared" si="5"/>
        <v/>
      </c>
      <c r="U37" s="85">
        <f t="shared" si="6"/>
        <v>0</v>
      </c>
    </row>
    <row r="38">
      <c r="A38" s="85">
        <v>36.0</v>
      </c>
      <c r="B38" s="35"/>
      <c r="C38" s="65"/>
      <c r="D38" s="76"/>
      <c r="E38" s="93"/>
      <c r="F38" s="76"/>
      <c r="G38" s="93"/>
      <c r="H38" s="93"/>
      <c r="I38" s="93"/>
      <c r="J38" s="87" t="str">
        <f t="shared" si="1"/>
        <v/>
      </c>
      <c r="K38" s="93"/>
      <c r="L38" s="93"/>
      <c r="M38" s="93"/>
      <c r="N38" s="87" t="str">
        <f t="shared" si="2"/>
        <v/>
      </c>
      <c r="O38" s="93"/>
      <c r="P38" s="93"/>
      <c r="Q38" s="93"/>
      <c r="R38" s="87" t="str">
        <f t="shared" si="3"/>
        <v/>
      </c>
      <c r="S38" s="90" t="str">
        <f t="shared" si="4"/>
        <v/>
      </c>
      <c r="T38" s="91" t="str">
        <f t="shared" si="5"/>
        <v/>
      </c>
      <c r="U38" s="85">
        <f t="shared" si="6"/>
        <v>0</v>
      </c>
    </row>
    <row r="39">
      <c r="A39" s="85">
        <v>37.0</v>
      </c>
      <c r="B39" s="35"/>
      <c r="C39" s="65"/>
      <c r="D39" s="76"/>
      <c r="E39" s="93"/>
      <c r="F39" s="76"/>
      <c r="G39" s="93"/>
      <c r="H39" s="93"/>
      <c r="I39" s="93"/>
      <c r="J39" s="87" t="str">
        <f t="shared" si="1"/>
        <v/>
      </c>
      <c r="K39" s="93"/>
      <c r="L39" s="93"/>
      <c r="M39" s="93"/>
      <c r="N39" s="87" t="str">
        <f t="shared" si="2"/>
        <v/>
      </c>
      <c r="O39" s="93"/>
      <c r="P39" s="93"/>
      <c r="Q39" s="93"/>
      <c r="R39" s="87" t="str">
        <f t="shared" si="3"/>
        <v/>
      </c>
      <c r="S39" s="90" t="str">
        <f t="shared" si="4"/>
        <v/>
      </c>
      <c r="T39" s="91" t="str">
        <f t="shared" si="5"/>
        <v/>
      </c>
      <c r="U39" s="85">
        <f t="shared" si="6"/>
        <v>0</v>
      </c>
    </row>
    <row r="40">
      <c r="A40" s="85">
        <v>38.0</v>
      </c>
      <c r="B40" s="35"/>
      <c r="C40" s="65"/>
      <c r="D40" s="76"/>
      <c r="E40" s="93"/>
      <c r="F40" s="76"/>
      <c r="G40" s="93"/>
      <c r="H40" s="93"/>
      <c r="I40" s="93"/>
      <c r="J40" s="87" t="str">
        <f t="shared" si="1"/>
        <v/>
      </c>
      <c r="K40" s="93"/>
      <c r="L40" s="93"/>
      <c r="M40" s="93"/>
      <c r="N40" s="87" t="str">
        <f t="shared" si="2"/>
        <v/>
      </c>
      <c r="O40" s="93"/>
      <c r="P40" s="93"/>
      <c r="Q40" s="93"/>
      <c r="R40" s="87" t="str">
        <f t="shared" si="3"/>
        <v/>
      </c>
      <c r="S40" s="90" t="str">
        <f t="shared" si="4"/>
        <v/>
      </c>
      <c r="T40" s="91" t="str">
        <f t="shared" si="5"/>
        <v/>
      </c>
      <c r="U40" s="85">
        <f t="shared" si="6"/>
        <v>0</v>
      </c>
    </row>
    <row r="41">
      <c r="A41" s="85">
        <v>39.0</v>
      </c>
      <c r="B41" s="35"/>
      <c r="C41" s="65"/>
      <c r="D41" s="76"/>
      <c r="E41" s="93"/>
      <c r="F41" s="76"/>
      <c r="G41" s="93"/>
      <c r="H41" s="93"/>
      <c r="I41" s="93"/>
      <c r="J41" s="87" t="str">
        <f t="shared" si="1"/>
        <v/>
      </c>
      <c r="K41" s="93"/>
      <c r="L41" s="93"/>
      <c r="M41" s="93"/>
      <c r="N41" s="87" t="str">
        <f t="shared" si="2"/>
        <v/>
      </c>
      <c r="O41" s="93"/>
      <c r="P41" s="93"/>
      <c r="Q41" s="93"/>
      <c r="R41" s="87" t="str">
        <f t="shared" si="3"/>
        <v/>
      </c>
      <c r="S41" s="90" t="str">
        <f t="shared" si="4"/>
        <v/>
      </c>
      <c r="T41" s="91" t="str">
        <f t="shared" si="5"/>
        <v/>
      </c>
      <c r="U41" s="85">
        <f t="shared" si="6"/>
        <v>0</v>
      </c>
    </row>
    <row r="42">
      <c r="A42" s="85">
        <v>40.0</v>
      </c>
      <c r="B42" s="35"/>
      <c r="C42" s="65"/>
      <c r="D42" s="76"/>
      <c r="E42" s="93"/>
      <c r="F42" s="76"/>
      <c r="G42" s="93"/>
      <c r="H42" s="93"/>
      <c r="I42" s="93"/>
      <c r="J42" s="87" t="str">
        <f t="shared" si="1"/>
        <v/>
      </c>
      <c r="K42" s="93"/>
      <c r="L42" s="93"/>
      <c r="M42" s="93"/>
      <c r="N42" s="87" t="str">
        <f t="shared" si="2"/>
        <v/>
      </c>
      <c r="O42" s="93"/>
      <c r="P42" s="93"/>
      <c r="Q42" s="93"/>
      <c r="R42" s="87" t="str">
        <f t="shared" si="3"/>
        <v/>
      </c>
      <c r="S42" s="90" t="str">
        <f t="shared" si="4"/>
        <v/>
      </c>
      <c r="T42" s="91" t="str">
        <f t="shared" si="5"/>
        <v/>
      </c>
      <c r="U42" s="85">
        <f t="shared" si="6"/>
        <v>0</v>
      </c>
    </row>
    <row r="43">
      <c r="A43" s="85">
        <v>41.0</v>
      </c>
      <c r="B43" s="35"/>
      <c r="C43" s="65"/>
      <c r="D43" s="76"/>
      <c r="E43" s="93"/>
      <c r="F43" s="76"/>
      <c r="G43" s="93"/>
      <c r="H43" s="93"/>
      <c r="I43" s="93"/>
      <c r="J43" s="87" t="str">
        <f t="shared" si="1"/>
        <v/>
      </c>
      <c r="K43" s="93"/>
      <c r="L43" s="93"/>
      <c r="M43" s="93"/>
      <c r="N43" s="87" t="str">
        <f t="shared" si="2"/>
        <v/>
      </c>
      <c r="O43" s="93"/>
      <c r="P43" s="93"/>
      <c r="Q43" s="93"/>
      <c r="R43" s="87" t="str">
        <f t="shared" si="3"/>
        <v/>
      </c>
      <c r="S43" s="90" t="str">
        <f t="shared" si="4"/>
        <v/>
      </c>
      <c r="T43" s="91" t="str">
        <f t="shared" si="5"/>
        <v/>
      </c>
      <c r="U43" s="85">
        <f t="shared" si="6"/>
        <v>0</v>
      </c>
    </row>
    <row r="44">
      <c r="A44" s="85">
        <v>42.0</v>
      </c>
      <c r="B44" s="35"/>
      <c r="C44" s="65"/>
      <c r="D44" s="76"/>
      <c r="E44" s="93"/>
      <c r="F44" s="76"/>
      <c r="G44" s="93"/>
      <c r="H44" s="93"/>
      <c r="I44" s="93"/>
      <c r="J44" s="87" t="str">
        <f t="shared" si="1"/>
        <v/>
      </c>
      <c r="K44" s="93"/>
      <c r="L44" s="93"/>
      <c r="M44" s="93"/>
      <c r="N44" s="87" t="str">
        <f t="shared" si="2"/>
        <v/>
      </c>
      <c r="O44" s="93"/>
      <c r="P44" s="93"/>
      <c r="Q44" s="93"/>
      <c r="R44" s="87" t="str">
        <f t="shared" si="3"/>
        <v/>
      </c>
      <c r="S44" s="90" t="str">
        <f t="shared" si="4"/>
        <v/>
      </c>
      <c r="T44" s="91" t="str">
        <f t="shared" si="5"/>
        <v/>
      </c>
      <c r="U44" s="85">
        <f t="shared" si="6"/>
        <v>0</v>
      </c>
    </row>
    <row r="45">
      <c r="A45" s="85">
        <v>43.0</v>
      </c>
      <c r="B45" s="35"/>
      <c r="C45" s="65"/>
      <c r="D45" s="76"/>
      <c r="E45" s="93"/>
      <c r="F45" s="76"/>
      <c r="G45" s="93"/>
      <c r="H45" s="93"/>
      <c r="I45" s="93"/>
      <c r="J45" s="87" t="str">
        <f t="shared" si="1"/>
        <v/>
      </c>
      <c r="K45" s="93"/>
      <c r="L45" s="93"/>
      <c r="M45" s="93"/>
      <c r="N45" s="87" t="str">
        <f t="shared" si="2"/>
        <v/>
      </c>
      <c r="O45" s="93"/>
      <c r="P45" s="93"/>
      <c r="Q45" s="93"/>
      <c r="R45" s="87" t="str">
        <f t="shared" si="3"/>
        <v/>
      </c>
      <c r="S45" s="90" t="str">
        <f t="shared" si="4"/>
        <v/>
      </c>
      <c r="T45" s="91" t="str">
        <f t="shared" si="5"/>
        <v/>
      </c>
      <c r="U45" s="85">
        <f t="shared" si="6"/>
        <v>0</v>
      </c>
    </row>
    <row r="46">
      <c r="A46" s="85">
        <v>44.0</v>
      </c>
      <c r="B46" s="35"/>
      <c r="C46" s="65"/>
      <c r="D46" s="76"/>
      <c r="E46" s="93"/>
      <c r="F46" s="76"/>
      <c r="G46" s="93"/>
      <c r="H46" s="93"/>
      <c r="I46" s="93"/>
      <c r="J46" s="87" t="str">
        <f t="shared" si="1"/>
        <v/>
      </c>
      <c r="K46" s="93"/>
      <c r="L46" s="93"/>
      <c r="M46" s="93"/>
      <c r="N46" s="87" t="str">
        <f t="shared" si="2"/>
        <v/>
      </c>
      <c r="O46" s="93"/>
      <c r="P46" s="93"/>
      <c r="Q46" s="93"/>
      <c r="R46" s="87" t="str">
        <f t="shared" si="3"/>
        <v/>
      </c>
      <c r="S46" s="90" t="str">
        <f t="shared" si="4"/>
        <v/>
      </c>
      <c r="T46" s="91" t="str">
        <f t="shared" si="5"/>
        <v/>
      </c>
      <c r="U46" s="85">
        <f t="shared" si="6"/>
        <v>0</v>
      </c>
    </row>
    <row r="47">
      <c r="A47" s="85">
        <v>45.0</v>
      </c>
      <c r="B47" s="35"/>
      <c r="C47" s="65"/>
      <c r="D47" s="76"/>
      <c r="E47" s="93"/>
      <c r="F47" s="76"/>
      <c r="G47" s="93"/>
      <c r="H47" s="93"/>
      <c r="I47" s="93"/>
      <c r="J47" s="87" t="str">
        <f t="shared" si="1"/>
        <v/>
      </c>
      <c r="K47" s="93"/>
      <c r="L47" s="93"/>
      <c r="M47" s="93"/>
      <c r="N47" s="87" t="str">
        <f t="shared" si="2"/>
        <v/>
      </c>
      <c r="O47" s="93"/>
      <c r="P47" s="93"/>
      <c r="Q47" s="93"/>
      <c r="R47" s="87" t="str">
        <f t="shared" si="3"/>
        <v/>
      </c>
      <c r="S47" s="90" t="str">
        <f t="shared" si="4"/>
        <v/>
      </c>
      <c r="T47" s="91" t="str">
        <f t="shared" si="5"/>
        <v/>
      </c>
      <c r="U47" s="85">
        <f t="shared" si="6"/>
        <v>0</v>
      </c>
    </row>
    <row r="48">
      <c r="A48" s="85">
        <v>46.0</v>
      </c>
      <c r="B48" s="35"/>
      <c r="C48" s="65"/>
      <c r="D48" s="76"/>
      <c r="E48" s="93"/>
      <c r="F48" s="76"/>
      <c r="G48" s="93"/>
      <c r="H48" s="93"/>
      <c r="I48" s="93"/>
      <c r="J48" s="87" t="str">
        <f t="shared" si="1"/>
        <v/>
      </c>
      <c r="K48" s="93"/>
      <c r="L48" s="93"/>
      <c r="M48" s="93"/>
      <c r="N48" s="87" t="str">
        <f t="shared" si="2"/>
        <v/>
      </c>
      <c r="O48" s="93"/>
      <c r="P48" s="93"/>
      <c r="Q48" s="93"/>
      <c r="R48" s="87" t="str">
        <f t="shared" si="3"/>
        <v/>
      </c>
      <c r="S48" s="90" t="str">
        <f t="shared" si="4"/>
        <v/>
      </c>
      <c r="T48" s="91" t="str">
        <f t="shared" si="5"/>
        <v/>
      </c>
      <c r="U48" s="85">
        <f t="shared" si="6"/>
        <v>0</v>
      </c>
    </row>
    <row r="49">
      <c r="A49" s="85">
        <v>47.0</v>
      </c>
      <c r="B49" s="35"/>
      <c r="C49" s="65"/>
      <c r="D49" s="76"/>
      <c r="E49" s="93"/>
      <c r="F49" s="76"/>
      <c r="G49" s="93"/>
      <c r="H49" s="93"/>
      <c r="I49" s="93"/>
      <c r="J49" s="87" t="str">
        <f t="shared" si="1"/>
        <v/>
      </c>
      <c r="K49" s="93"/>
      <c r="L49" s="93"/>
      <c r="M49" s="93"/>
      <c r="N49" s="87" t="str">
        <f t="shared" si="2"/>
        <v/>
      </c>
      <c r="O49" s="93"/>
      <c r="P49" s="93"/>
      <c r="Q49" s="93"/>
      <c r="R49" s="87" t="str">
        <f t="shared" si="3"/>
        <v/>
      </c>
      <c r="S49" s="90" t="str">
        <f t="shared" si="4"/>
        <v/>
      </c>
      <c r="T49" s="91" t="str">
        <f t="shared" si="5"/>
        <v/>
      </c>
      <c r="U49" s="85">
        <f t="shared" si="6"/>
        <v>0</v>
      </c>
    </row>
    <row r="50">
      <c r="A50" s="85">
        <v>48.0</v>
      </c>
      <c r="B50" s="35"/>
      <c r="C50" s="65"/>
      <c r="D50" s="76"/>
      <c r="E50" s="93"/>
      <c r="F50" s="76"/>
      <c r="G50" s="93"/>
      <c r="H50" s="93"/>
      <c r="I50" s="93"/>
      <c r="J50" s="87" t="str">
        <f t="shared" si="1"/>
        <v/>
      </c>
      <c r="K50" s="93"/>
      <c r="L50" s="93"/>
      <c r="M50" s="93"/>
      <c r="N50" s="87" t="str">
        <f t="shared" si="2"/>
        <v/>
      </c>
      <c r="O50" s="93"/>
      <c r="P50" s="93"/>
      <c r="Q50" s="93"/>
      <c r="R50" s="87" t="str">
        <f t="shared" si="3"/>
        <v/>
      </c>
      <c r="S50" s="90" t="str">
        <f t="shared" si="4"/>
        <v/>
      </c>
      <c r="T50" s="91" t="str">
        <f t="shared" si="5"/>
        <v/>
      </c>
      <c r="U50" s="85">
        <f t="shared" si="6"/>
        <v>0</v>
      </c>
    </row>
    <row r="51">
      <c r="A51" s="85">
        <v>49.0</v>
      </c>
      <c r="B51" s="35"/>
      <c r="C51" s="65"/>
      <c r="D51" s="76"/>
      <c r="E51" s="93"/>
      <c r="F51" s="76"/>
      <c r="G51" s="93"/>
      <c r="H51" s="93"/>
      <c r="I51" s="93"/>
      <c r="J51" s="87" t="str">
        <f t="shared" si="1"/>
        <v/>
      </c>
      <c r="K51" s="93"/>
      <c r="L51" s="93"/>
      <c r="M51" s="93"/>
      <c r="N51" s="87" t="str">
        <f t="shared" si="2"/>
        <v/>
      </c>
      <c r="O51" s="93"/>
      <c r="P51" s="93"/>
      <c r="Q51" s="93"/>
      <c r="R51" s="87" t="str">
        <f t="shared" si="3"/>
        <v/>
      </c>
      <c r="S51" s="90" t="str">
        <f t="shared" si="4"/>
        <v/>
      </c>
      <c r="T51" s="91" t="str">
        <f t="shared" si="5"/>
        <v/>
      </c>
      <c r="U51" s="85">
        <f t="shared" si="6"/>
        <v>0</v>
      </c>
    </row>
    <row r="52">
      <c r="A52" s="85">
        <v>50.0</v>
      </c>
      <c r="B52" s="35"/>
      <c r="C52" s="65"/>
      <c r="D52" s="76"/>
      <c r="E52" s="93"/>
      <c r="F52" s="76"/>
      <c r="G52" s="93"/>
      <c r="H52" s="93"/>
      <c r="I52" s="93"/>
      <c r="J52" s="87" t="str">
        <f t="shared" si="1"/>
        <v/>
      </c>
      <c r="K52" s="93"/>
      <c r="L52" s="93"/>
      <c r="M52" s="93"/>
      <c r="N52" s="87" t="str">
        <f t="shared" si="2"/>
        <v/>
      </c>
      <c r="O52" s="93"/>
      <c r="P52" s="93"/>
      <c r="Q52" s="93"/>
      <c r="R52" s="87" t="str">
        <f t="shared" si="3"/>
        <v/>
      </c>
      <c r="S52" s="90" t="str">
        <f t="shared" si="4"/>
        <v/>
      </c>
      <c r="T52" s="91" t="str">
        <f t="shared" si="5"/>
        <v/>
      </c>
      <c r="U52" s="85">
        <f t="shared" si="6"/>
        <v>0</v>
      </c>
    </row>
    <row r="53">
      <c r="A53" s="85">
        <v>51.0</v>
      </c>
      <c r="B53" s="35"/>
      <c r="C53" s="65"/>
      <c r="D53" s="76"/>
      <c r="E53" s="93"/>
      <c r="F53" s="76"/>
      <c r="G53" s="93"/>
      <c r="H53" s="93"/>
      <c r="I53" s="93"/>
      <c r="J53" s="87" t="str">
        <f t="shared" si="1"/>
        <v/>
      </c>
      <c r="K53" s="93"/>
      <c r="L53" s="93"/>
      <c r="M53" s="93"/>
      <c r="N53" s="87" t="str">
        <f t="shared" si="2"/>
        <v/>
      </c>
      <c r="O53" s="93"/>
      <c r="P53" s="93"/>
      <c r="Q53" s="93"/>
      <c r="R53" s="87" t="str">
        <f t="shared" si="3"/>
        <v/>
      </c>
      <c r="S53" s="90" t="str">
        <f t="shared" si="4"/>
        <v/>
      </c>
      <c r="T53" s="91" t="str">
        <f t="shared" si="5"/>
        <v/>
      </c>
      <c r="U53" s="85">
        <f t="shared" si="6"/>
        <v>0</v>
      </c>
    </row>
    <row r="54">
      <c r="A54" s="85">
        <v>52.0</v>
      </c>
      <c r="B54" s="35"/>
      <c r="C54" s="65"/>
      <c r="D54" s="76"/>
      <c r="E54" s="93"/>
      <c r="F54" s="76"/>
      <c r="G54" s="93"/>
      <c r="H54" s="93"/>
      <c r="I54" s="93"/>
      <c r="J54" s="87" t="str">
        <f t="shared" si="1"/>
        <v/>
      </c>
      <c r="K54" s="93"/>
      <c r="L54" s="93"/>
      <c r="M54" s="93"/>
      <c r="N54" s="87" t="str">
        <f t="shared" si="2"/>
        <v/>
      </c>
      <c r="O54" s="93"/>
      <c r="P54" s="93"/>
      <c r="Q54" s="93"/>
      <c r="R54" s="87" t="str">
        <f t="shared" si="3"/>
        <v/>
      </c>
      <c r="S54" s="90" t="str">
        <f t="shared" si="4"/>
        <v/>
      </c>
      <c r="T54" s="91" t="str">
        <f t="shared" si="5"/>
        <v/>
      </c>
      <c r="U54" s="85">
        <f t="shared" si="6"/>
        <v>0</v>
      </c>
    </row>
    <row r="55">
      <c r="A55" s="85">
        <v>53.0</v>
      </c>
      <c r="B55" s="35"/>
      <c r="C55" s="65"/>
      <c r="D55" s="76"/>
      <c r="E55" s="93"/>
      <c r="F55" s="76"/>
      <c r="G55" s="93"/>
      <c r="H55" s="93"/>
      <c r="I55" s="93"/>
      <c r="J55" s="87" t="str">
        <f t="shared" si="1"/>
        <v/>
      </c>
      <c r="K55" s="93"/>
      <c r="L55" s="93"/>
      <c r="M55" s="93"/>
      <c r="N55" s="87" t="str">
        <f t="shared" si="2"/>
        <v/>
      </c>
      <c r="O55" s="93"/>
      <c r="P55" s="93"/>
      <c r="Q55" s="93"/>
      <c r="R55" s="87" t="str">
        <f t="shared" si="3"/>
        <v/>
      </c>
      <c r="S55" s="90" t="str">
        <f t="shared" si="4"/>
        <v/>
      </c>
      <c r="T55" s="91" t="str">
        <f t="shared" si="5"/>
        <v/>
      </c>
      <c r="U55" s="85">
        <f t="shared" si="6"/>
        <v>0</v>
      </c>
    </row>
    <row r="56">
      <c r="A56" s="85">
        <v>54.0</v>
      </c>
      <c r="B56" s="35"/>
      <c r="C56" s="65"/>
      <c r="D56" s="76"/>
      <c r="E56" s="93"/>
      <c r="F56" s="76"/>
      <c r="G56" s="93"/>
      <c r="H56" s="93"/>
      <c r="I56" s="93"/>
      <c r="J56" s="87" t="str">
        <f t="shared" si="1"/>
        <v/>
      </c>
      <c r="K56" s="93"/>
      <c r="L56" s="93"/>
      <c r="M56" s="93"/>
      <c r="N56" s="87" t="str">
        <f t="shared" si="2"/>
        <v/>
      </c>
      <c r="O56" s="93"/>
      <c r="P56" s="93"/>
      <c r="Q56" s="93"/>
      <c r="R56" s="87" t="str">
        <f t="shared" si="3"/>
        <v/>
      </c>
      <c r="S56" s="90" t="str">
        <f t="shared" si="4"/>
        <v/>
      </c>
      <c r="T56" s="91" t="str">
        <f t="shared" si="5"/>
        <v/>
      </c>
      <c r="U56" s="85">
        <f t="shared" si="6"/>
        <v>0</v>
      </c>
    </row>
    <row r="57">
      <c r="A57" s="85">
        <v>55.0</v>
      </c>
      <c r="B57" s="35"/>
      <c r="C57" s="65"/>
      <c r="D57" s="76"/>
      <c r="E57" s="93"/>
      <c r="F57" s="76"/>
      <c r="G57" s="93"/>
      <c r="H57" s="93"/>
      <c r="I57" s="93"/>
      <c r="J57" s="87" t="str">
        <f t="shared" si="1"/>
        <v/>
      </c>
      <c r="K57" s="93"/>
      <c r="L57" s="93"/>
      <c r="M57" s="93"/>
      <c r="N57" s="87" t="str">
        <f t="shared" si="2"/>
        <v/>
      </c>
      <c r="O57" s="93"/>
      <c r="P57" s="93"/>
      <c r="Q57" s="93"/>
      <c r="R57" s="87" t="str">
        <f t="shared" si="3"/>
        <v/>
      </c>
      <c r="S57" s="90" t="str">
        <f t="shared" si="4"/>
        <v/>
      </c>
      <c r="T57" s="91" t="str">
        <f t="shared" si="5"/>
        <v/>
      </c>
      <c r="U57" s="85">
        <f t="shared" si="6"/>
        <v>0</v>
      </c>
    </row>
    <row r="58">
      <c r="A58" s="85">
        <v>56.0</v>
      </c>
      <c r="B58" s="35"/>
      <c r="C58" s="65"/>
      <c r="D58" s="76"/>
      <c r="E58" s="93"/>
      <c r="F58" s="76"/>
      <c r="G58" s="93"/>
      <c r="H58" s="93"/>
      <c r="I58" s="93"/>
      <c r="J58" s="87" t="str">
        <f t="shared" si="1"/>
        <v/>
      </c>
      <c r="K58" s="93"/>
      <c r="L58" s="93"/>
      <c r="M58" s="93"/>
      <c r="N58" s="87" t="str">
        <f t="shared" si="2"/>
        <v/>
      </c>
      <c r="O58" s="93"/>
      <c r="P58" s="93"/>
      <c r="Q58" s="93"/>
      <c r="R58" s="87" t="str">
        <f t="shared" si="3"/>
        <v/>
      </c>
      <c r="S58" s="90" t="str">
        <f t="shared" si="4"/>
        <v/>
      </c>
      <c r="T58" s="91" t="str">
        <f t="shared" si="5"/>
        <v/>
      </c>
      <c r="U58" s="85">
        <f t="shared" si="6"/>
        <v>0</v>
      </c>
    </row>
    <row r="59">
      <c r="A59" s="85">
        <v>57.0</v>
      </c>
      <c r="B59" s="35"/>
      <c r="C59" s="65"/>
      <c r="D59" s="76"/>
      <c r="E59" s="93"/>
      <c r="F59" s="76"/>
      <c r="G59" s="93"/>
      <c r="H59" s="93"/>
      <c r="I59" s="93"/>
      <c r="J59" s="87" t="str">
        <f t="shared" si="1"/>
        <v/>
      </c>
      <c r="K59" s="93"/>
      <c r="L59" s="93"/>
      <c r="M59" s="93"/>
      <c r="N59" s="87" t="str">
        <f t="shared" si="2"/>
        <v/>
      </c>
      <c r="O59" s="93"/>
      <c r="P59" s="93"/>
      <c r="Q59" s="93"/>
      <c r="R59" s="87" t="str">
        <f t="shared" si="3"/>
        <v/>
      </c>
      <c r="S59" s="90" t="str">
        <f t="shared" si="4"/>
        <v/>
      </c>
      <c r="T59" s="91" t="str">
        <f t="shared" si="5"/>
        <v/>
      </c>
      <c r="U59" s="85">
        <f t="shared" si="6"/>
        <v>0</v>
      </c>
    </row>
    <row r="60">
      <c r="A60" s="85">
        <v>58.0</v>
      </c>
      <c r="B60" s="35"/>
      <c r="C60" s="65"/>
      <c r="D60" s="76"/>
      <c r="E60" s="93"/>
      <c r="F60" s="76"/>
      <c r="G60" s="93"/>
      <c r="H60" s="93"/>
      <c r="I60" s="93"/>
      <c r="J60" s="87" t="str">
        <f t="shared" si="1"/>
        <v/>
      </c>
      <c r="K60" s="93"/>
      <c r="L60" s="93"/>
      <c r="M60" s="93"/>
      <c r="N60" s="87" t="str">
        <f t="shared" si="2"/>
        <v/>
      </c>
      <c r="O60" s="93"/>
      <c r="P60" s="93"/>
      <c r="Q60" s="93"/>
      <c r="R60" s="87" t="str">
        <f t="shared" si="3"/>
        <v/>
      </c>
      <c r="S60" s="90" t="str">
        <f t="shared" si="4"/>
        <v/>
      </c>
      <c r="T60" s="91" t="str">
        <f t="shared" si="5"/>
        <v/>
      </c>
      <c r="U60" s="85">
        <f t="shared" si="6"/>
        <v>0</v>
      </c>
    </row>
    <row r="61">
      <c r="A61" s="85">
        <v>59.0</v>
      </c>
      <c r="B61" s="35"/>
      <c r="C61" s="65"/>
      <c r="D61" s="76"/>
      <c r="E61" s="93"/>
      <c r="F61" s="76"/>
      <c r="G61" s="93"/>
      <c r="H61" s="93"/>
      <c r="I61" s="93"/>
      <c r="J61" s="87" t="str">
        <f t="shared" si="1"/>
        <v/>
      </c>
      <c r="K61" s="93"/>
      <c r="L61" s="93"/>
      <c r="M61" s="93"/>
      <c r="N61" s="87" t="str">
        <f t="shared" si="2"/>
        <v/>
      </c>
      <c r="O61" s="93"/>
      <c r="P61" s="93"/>
      <c r="Q61" s="93"/>
      <c r="R61" s="87" t="str">
        <f t="shared" si="3"/>
        <v/>
      </c>
      <c r="S61" s="90" t="str">
        <f t="shared" si="4"/>
        <v/>
      </c>
      <c r="T61" s="91" t="str">
        <f t="shared" si="5"/>
        <v/>
      </c>
      <c r="U61" s="85">
        <f t="shared" si="6"/>
        <v>0</v>
      </c>
    </row>
    <row r="62">
      <c r="A62" s="85">
        <v>60.0</v>
      </c>
      <c r="B62" s="35"/>
      <c r="C62" s="65"/>
      <c r="D62" s="76"/>
      <c r="E62" s="93"/>
      <c r="F62" s="76"/>
      <c r="G62" s="93"/>
      <c r="H62" s="93"/>
      <c r="I62" s="93"/>
      <c r="J62" s="87" t="str">
        <f t="shared" si="1"/>
        <v/>
      </c>
      <c r="K62" s="93"/>
      <c r="L62" s="93"/>
      <c r="M62" s="93"/>
      <c r="N62" s="87" t="str">
        <f t="shared" si="2"/>
        <v/>
      </c>
      <c r="O62" s="93"/>
      <c r="P62" s="93"/>
      <c r="Q62" s="93"/>
      <c r="R62" s="87" t="str">
        <f t="shared" si="3"/>
        <v/>
      </c>
      <c r="S62" s="90" t="str">
        <f t="shared" si="4"/>
        <v/>
      </c>
      <c r="T62" s="91" t="str">
        <f t="shared" si="5"/>
        <v/>
      </c>
      <c r="U62" s="85">
        <f t="shared" si="6"/>
        <v>0</v>
      </c>
    </row>
    <row r="63">
      <c r="A63" s="85">
        <v>61.0</v>
      </c>
      <c r="B63" s="35"/>
      <c r="C63" s="65"/>
      <c r="D63" s="76"/>
      <c r="E63" s="93"/>
      <c r="F63" s="76"/>
      <c r="G63" s="93"/>
      <c r="H63" s="93"/>
      <c r="I63" s="93"/>
      <c r="J63" s="87" t="str">
        <f t="shared" si="1"/>
        <v/>
      </c>
      <c r="K63" s="93"/>
      <c r="L63" s="93"/>
      <c r="M63" s="93"/>
      <c r="N63" s="87" t="str">
        <f t="shared" si="2"/>
        <v/>
      </c>
      <c r="O63" s="93"/>
      <c r="P63" s="93"/>
      <c r="Q63" s="93"/>
      <c r="R63" s="87" t="str">
        <f t="shared" si="3"/>
        <v/>
      </c>
      <c r="S63" s="90" t="str">
        <f t="shared" si="4"/>
        <v/>
      </c>
      <c r="T63" s="91" t="str">
        <f t="shared" si="5"/>
        <v/>
      </c>
      <c r="U63" s="85">
        <f t="shared" si="6"/>
        <v>0</v>
      </c>
    </row>
    <row r="64">
      <c r="A64" s="85">
        <v>62.0</v>
      </c>
      <c r="B64" s="35"/>
      <c r="C64" s="65"/>
      <c r="D64" s="76"/>
      <c r="E64" s="93"/>
      <c r="F64" s="76"/>
      <c r="G64" s="93"/>
      <c r="H64" s="93"/>
      <c r="I64" s="93"/>
      <c r="J64" s="87" t="str">
        <f t="shared" si="1"/>
        <v/>
      </c>
      <c r="K64" s="93"/>
      <c r="L64" s="93"/>
      <c r="M64" s="93"/>
      <c r="N64" s="87" t="str">
        <f t="shared" si="2"/>
        <v/>
      </c>
      <c r="O64" s="93"/>
      <c r="P64" s="93"/>
      <c r="Q64" s="93"/>
      <c r="R64" s="87" t="str">
        <f t="shared" si="3"/>
        <v/>
      </c>
      <c r="S64" s="90" t="str">
        <f t="shared" si="4"/>
        <v/>
      </c>
      <c r="T64" s="91" t="str">
        <f t="shared" si="5"/>
        <v/>
      </c>
      <c r="U64" s="85">
        <f t="shared" si="6"/>
        <v>0</v>
      </c>
    </row>
    <row r="65">
      <c r="A65" s="85">
        <v>63.0</v>
      </c>
      <c r="B65" s="35"/>
      <c r="C65" s="65"/>
      <c r="D65" s="76"/>
      <c r="E65" s="93"/>
      <c r="F65" s="76"/>
      <c r="G65" s="93"/>
      <c r="H65" s="93"/>
      <c r="I65" s="93"/>
      <c r="J65" s="87" t="str">
        <f t="shared" si="1"/>
        <v/>
      </c>
      <c r="K65" s="93"/>
      <c r="L65" s="93"/>
      <c r="M65" s="93"/>
      <c r="N65" s="87" t="str">
        <f t="shared" si="2"/>
        <v/>
      </c>
      <c r="O65" s="93"/>
      <c r="P65" s="93"/>
      <c r="Q65" s="93"/>
      <c r="R65" s="87" t="str">
        <f t="shared" si="3"/>
        <v/>
      </c>
      <c r="S65" s="90" t="str">
        <f t="shared" si="4"/>
        <v/>
      </c>
      <c r="T65" s="91" t="str">
        <f t="shared" si="5"/>
        <v/>
      </c>
      <c r="U65" s="85">
        <f t="shared" si="6"/>
        <v>0</v>
      </c>
    </row>
    <row r="66">
      <c r="A66" s="85">
        <v>64.0</v>
      </c>
      <c r="B66" s="35"/>
      <c r="C66" s="65"/>
      <c r="D66" s="76"/>
      <c r="E66" s="93"/>
      <c r="F66" s="76"/>
      <c r="G66" s="93"/>
      <c r="H66" s="93"/>
      <c r="I66" s="93"/>
      <c r="J66" s="87" t="str">
        <f t="shared" si="1"/>
        <v/>
      </c>
      <c r="K66" s="93"/>
      <c r="L66" s="93"/>
      <c r="M66" s="93"/>
      <c r="N66" s="87" t="str">
        <f t="shared" si="2"/>
        <v/>
      </c>
      <c r="O66" s="93"/>
      <c r="P66" s="93"/>
      <c r="Q66" s="93"/>
      <c r="R66" s="87" t="str">
        <f t="shared" si="3"/>
        <v/>
      </c>
      <c r="S66" s="90" t="str">
        <f t="shared" si="4"/>
        <v/>
      </c>
      <c r="T66" s="91" t="str">
        <f t="shared" si="5"/>
        <v/>
      </c>
      <c r="U66" s="85">
        <f t="shared" si="6"/>
        <v>0</v>
      </c>
    </row>
    <row r="67">
      <c r="A67" s="85">
        <v>65.0</v>
      </c>
      <c r="B67" s="35"/>
      <c r="C67" s="65"/>
      <c r="D67" s="76"/>
      <c r="E67" s="93"/>
      <c r="F67" s="76"/>
      <c r="G67" s="93"/>
      <c r="H67" s="93"/>
      <c r="I67" s="93"/>
      <c r="J67" s="87" t="str">
        <f t="shared" si="1"/>
        <v/>
      </c>
      <c r="K67" s="93"/>
      <c r="L67" s="93"/>
      <c r="M67" s="93"/>
      <c r="N67" s="87" t="str">
        <f t="shared" si="2"/>
        <v/>
      </c>
      <c r="O67" s="93"/>
      <c r="P67" s="93"/>
      <c r="Q67" s="93"/>
      <c r="R67" s="87" t="str">
        <f t="shared" si="3"/>
        <v/>
      </c>
      <c r="S67" s="90" t="str">
        <f t="shared" si="4"/>
        <v/>
      </c>
      <c r="T67" s="91" t="str">
        <f t="shared" si="5"/>
        <v/>
      </c>
      <c r="U67" s="85">
        <f t="shared" si="6"/>
        <v>0</v>
      </c>
    </row>
    <row r="68">
      <c r="A68" s="85">
        <v>66.0</v>
      </c>
      <c r="B68" s="35"/>
      <c r="C68" s="65"/>
      <c r="D68" s="76"/>
      <c r="E68" s="93"/>
      <c r="F68" s="76"/>
      <c r="G68" s="93"/>
      <c r="H68" s="93"/>
      <c r="I68" s="93"/>
      <c r="J68" s="87" t="str">
        <f t="shared" si="1"/>
        <v/>
      </c>
      <c r="K68" s="93"/>
      <c r="L68" s="93"/>
      <c r="M68" s="93"/>
      <c r="N68" s="87" t="str">
        <f t="shared" si="2"/>
        <v/>
      </c>
      <c r="O68" s="93"/>
      <c r="P68" s="93"/>
      <c r="Q68" s="93"/>
      <c r="R68" s="87" t="str">
        <f t="shared" si="3"/>
        <v/>
      </c>
      <c r="S68" s="90" t="str">
        <f t="shared" si="4"/>
        <v/>
      </c>
      <c r="T68" s="91" t="str">
        <f t="shared" si="5"/>
        <v/>
      </c>
      <c r="U68" s="85">
        <f t="shared" si="6"/>
        <v>0</v>
      </c>
    </row>
    <row r="69">
      <c r="A69" s="85">
        <v>67.0</v>
      </c>
      <c r="B69" s="35"/>
      <c r="C69" s="65"/>
      <c r="D69" s="76"/>
      <c r="E69" s="93"/>
      <c r="F69" s="76"/>
      <c r="G69" s="93"/>
      <c r="H69" s="93"/>
      <c r="I69" s="93"/>
      <c r="J69" s="87" t="str">
        <f t="shared" si="1"/>
        <v/>
      </c>
      <c r="K69" s="93"/>
      <c r="L69" s="93"/>
      <c r="M69" s="93"/>
      <c r="N69" s="87" t="str">
        <f t="shared" si="2"/>
        <v/>
      </c>
      <c r="O69" s="93"/>
      <c r="P69" s="93"/>
      <c r="Q69" s="93"/>
      <c r="R69" s="87" t="str">
        <f t="shared" si="3"/>
        <v/>
      </c>
      <c r="S69" s="90" t="str">
        <f t="shared" si="4"/>
        <v/>
      </c>
      <c r="T69" s="91" t="str">
        <f t="shared" si="5"/>
        <v/>
      </c>
      <c r="U69" s="85">
        <f t="shared" si="6"/>
        <v>0</v>
      </c>
    </row>
    <row r="70">
      <c r="A70" s="85">
        <v>68.0</v>
      </c>
      <c r="B70" s="35"/>
      <c r="C70" s="65"/>
      <c r="D70" s="76"/>
      <c r="E70" s="93"/>
      <c r="F70" s="76"/>
      <c r="G70" s="93"/>
      <c r="H70" s="93"/>
      <c r="I70" s="93"/>
      <c r="J70" s="87" t="str">
        <f t="shared" si="1"/>
        <v/>
      </c>
      <c r="K70" s="93"/>
      <c r="L70" s="93"/>
      <c r="M70" s="93"/>
      <c r="N70" s="87" t="str">
        <f t="shared" si="2"/>
        <v/>
      </c>
      <c r="O70" s="93"/>
      <c r="P70" s="93"/>
      <c r="Q70" s="93"/>
      <c r="R70" s="87" t="str">
        <f t="shared" si="3"/>
        <v/>
      </c>
      <c r="S70" s="90" t="str">
        <f t="shared" si="4"/>
        <v/>
      </c>
      <c r="T70" s="91" t="str">
        <f t="shared" si="5"/>
        <v/>
      </c>
      <c r="U70" s="85">
        <f t="shared" si="6"/>
        <v>0</v>
      </c>
    </row>
    <row r="71">
      <c r="A71" s="85">
        <v>69.0</v>
      </c>
      <c r="B71" s="35"/>
      <c r="C71" s="65"/>
      <c r="D71" s="76"/>
      <c r="E71" s="93"/>
      <c r="F71" s="76"/>
      <c r="G71" s="93"/>
      <c r="H71" s="93"/>
      <c r="I71" s="93"/>
      <c r="J71" s="87" t="str">
        <f t="shared" si="1"/>
        <v/>
      </c>
      <c r="K71" s="93"/>
      <c r="L71" s="93"/>
      <c r="M71" s="93"/>
      <c r="N71" s="87" t="str">
        <f t="shared" si="2"/>
        <v/>
      </c>
      <c r="O71" s="93"/>
      <c r="P71" s="93"/>
      <c r="Q71" s="93"/>
      <c r="R71" s="87" t="str">
        <f t="shared" si="3"/>
        <v/>
      </c>
      <c r="S71" s="90" t="str">
        <f t="shared" si="4"/>
        <v/>
      </c>
      <c r="T71" s="91" t="str">
        <f t="shared" si="5"/>
        <v/>
      </c>
      <c r="U71" s="85">
        <f t="shared" si="6"/>
        <v>0</v>
      </c>
    </row>
    <row r="72">
      <c r="A72" s="85">
        <v>70.0</v>
      </c>
      <c r="B72" s="35"/>
      <c r="C72" s="65"/>
      <c r="D72" s="76"/>
      <c r="E72" s="93"/>
      <c r="F72" s="76"/>
      <c r="G72" s="93"/>
      <c r="H72" s="93"/>
      <c r="I72" s="93"/>
      <c r="J72" s="87" t="str">
        <f t="shared" si="1"/>
        <v/>
      </c>
      <c r="K72" s="93"/>
      <c r="L72" s="93"/>
      <c r="M72" s="93"/>
      <c r="N72" s="87" t="str">
        <f t="shared" si="2"/>
        <v/>
      </c>
      <c r="O72" s="93"/>
      <c r="P72" s="93"/>
      <c r="Q72" s="93"/>
      <c r="R72" s="87" t="str">
        <f t="shared" si="3"/>
        <v/>
      </c>
      <c r="S72" s="90" t="str">
        <f t="shared" si="4"/>
        <v/>
      </c>
      <c r="T72" s="91" t="str">
        <f t="shared" si="5"/>
        <v/>
      </c>
      <c r="U72" s="85">
        <f t="shared" si="6"/>
        <v>0</v>
      </c>
    </row>
    <row r="73">
      <c r="A73" s="85">
        <v>71.0</v>
      </c>
      <c r="B73" s="35"/>
      <c r="C73" s="65"/>
      <c r="D73" s="76"/>
      <c r="E73" s="93"/>
      <c r="F73" s="76"/>
      <c r="G73" s="93"/>
      <c r="H73" s="93"/>
      <c r="I73" s="93"/>
      <c r="J73" s="87" t="str">
        <f t="shared" si="1"/>
        <v/>
      </c>
      <c r="K73" s="93"/>
      <c r="L73" s="93"/>
      <c r="M73" s="93"/>
      <c r="N73" s="87" t="str">
        <f t="shared" si="2"/>
        <v/>
      </c>
      <c r="O73" s="93"/>
      <c r="P73" s="93"/>
      <c r="Q73" s="93"/>
      <c r="R73" s="87" t="str">
        <f t="shared" si="3"/>
        <v/>
      </c>
      <c r="S73" s="90" t="str">
        <f t="shared" si="4"/>
        <v/>
      </c>
      <c r="T73" s="91" t="str">
        <f t="shared" si="5"/>
        <v/>
      </c>
      <c r="U73" s="85">
        <f t="shared" si="6"/>
        <v>0</v>
      </c>
    </row>
    <row r="74">
      <c r="A74" s="85">
        <v>72.0</v>
      </c>
      <c r="B74" s="35"/>
      <c r="C74" s="65"/>
      <c r="D74" s="76"/>
      <c r="E74" s="93"/>
      <c r="F74" s="76"/>
      <c r="G74" s="93"/>
      <c r="H74" s="93"/>
      <c r="I74" s="93"/>
      <c r="J74" s="87" t="str">
        <f t="shared" si="1"/>
        <v/>
      </c>
      <c r="K74" s="93"/>
      <c r="L74" s="93"/>
      <c r="M74" s="93"/>
      <c r="N74" s="87" t="str">
        <f t="shared" si="2"/>
        <v/>
      </c>
      <c r="O74" s="93"/>
      <c r="P74" s="93"/>
      <c r="Q74" s="93"/>
      <c r="R74" s="87" t="str">
        <f t="shared" si="3"/>
        <v/>
      </c>
      <c r="S74" s="90" t="str">
        <f t="shared" si="4"/>
        <v/>
      </c>
      <c r="T74" s="91" t="str">
        <f t="shared" si="5"/>
        <v/>
      </c>
      <c r="U74" s="85">
        <f t="shared" si="6"/>
        <v>0</v>
      </c>
    </row>
    <row r="75">
      <c r="A75" s="85">
        <v>73.0</v>
      </c>
      <c r="B75" s="35"/>
      <c r="C75" s="65"/>
      <c r="D75" s="76"/>
      <c r="E75" s="93"/>
      <c r="F75" s="76"/>
      <c r="G75" s="93"/>
      <c r="H75" s="93"/>
      <c r="I75" s="93"/>
      <c r="J75" s="87" t="str">
        <f t="shared" si="1"/>
        <v/>
      </c>
      <c r="K75" s="93"/>
      <c r="L75" s="93"/>
      <c r="M75" s="93"/>
      <c r="N75" s="87" t="str">
        <f t="shared" si="2"/>
        <v/>
      </c>
      <c r="O75" s="93"/>
      <c r="P75" s="93"/>
      <c r="Q75" s="93"/>
      <c r="R75" s="87" t="str">
        <f t="shared" si="3"/>
        <v/>
      </c>
      <c r="S75" s="90" t="str">
        <f t="shared" si="4"/>
        <v/>
      </c>
      <c r="T75" s="91" t="str">
        <f t="shared" si="5"/>
        <v/>
      </c>
      <c r="U75" s="85">
        <f t="shared" si="6"/>
        <v>0</v>
      </c>
    </row>
    <row r="76">
      <c r="A76" s="85">
        <v>74.0</v>
      </c>
      <c r="B76" s="35"/>
      <c r="C76" s="65"/>
      <c r="D76" s="76"/>
      <c r="E76" s="93"/>
      <c r="F76" s="76"/>
      <c r="G76" s="93"/>
      <c r="H76" s="93"/>
      <c r="I76" s="93"/>
      <c r="J76" s="87" t="str">
        <f t="shared" si="1"/>
        <v/>
      </c>
      <c r="K76" s="93"/>
      <c r="L76" s="93"/>
      <c r="M76" s="93"/>
      <c r="N76" s="87" t="str">
        <f t="shared" si="2"/>
        <v/>
      </c>
      <c r="O76" s="93"/>
      <c r="P76" s="93"/>
      <c r="Q76" s="93"/>
      <c r="R76" s="87" t="str">
        <f t="shared" si="3"/>
        <v/>
      </c>
      <c r="S76" s="90" t="str">
        <f t="shared" si="4"/>
        <v/>
      </c>
      <c r="T76" s="91" t="str">
        <f t="shared" si="5"/>
        <v/>
      </c>
      <c r="U76" s="85">
        <f t="shared" si="6"/>
        <v>0</v>
      </c>
    </row>
    <row r="77">
      <c r="A77" s="85">
        <v>75.0</v>
      </c>
      <c r="B77" s="35"/>
      <c r="C77" s="65"/>
      <c r="D77" s="76"/>
      <c r="E77" s="93"/>
      <c r="F77" s="76"/>
      <c r="G77" s="93"/>
      <c r="H77" s="93"/>
      <c r="I77" s="93"/>
      <c r="J77" s="87" t="str">
        <f t="shared" si="1"/>
        <v/>
      </c>
      <c r="K77" s="93"/>
      <c r="L77" s="93"/>
      <c r="M77" s="93"/>
      <c r="N77" s="87" t="str">
        <f t="shared" si="2"/>
        <v/>
      </c>
      <c r="O77" s="93"/>
      <c r="P77" s="93"/>
      <c r="Q77" s="93"/>
      <c r="R77" s="87" t="str">
        <f t="shared" si="3"/>
        <v/>
      </c>
      <c r="S77" s="90" t="str">
        <f t="shared" si="4"/>
        <v/>
      </c>
      <c r="T77" s="91" t="str">
        <f t="shared" si="5"/>
        <v/>
      </c>
      <c r="U77" s="85">
        <f t="shared" si="6"/>
        <v>0</v>
      </c>
    </row>
  </sheetData>
  <autoFilter ref="$B$2:$T$77"/>
  <customSheetViews>
    <customSheetView guid="{B0C17AAF-6872-48F8-A58E-565BF6C8DB27}" filter="1" showAutoFilter="1">
      <autoFilter ref="$C$2:$T$52"/>
    </customSheetView>
  </customSheetViews>
  <mergeCells count="3">
    <mergeCell ref="K1:N1"/>
    <mergeCell ref="O1:R1"/>
    <mergeCell ref="G1:J1"/>
  </mergeCells>
  <conditionalFormatting sqref="G3:I77 K3:M77 O3:Q77">
    <cfRule type="endsWith" dxfId="2" priority="1" operator="endsWith" text="g">
      <formula>RIGHT((G3),LEN("g"))=("g")</formula>
    </cfRule>
  </conditionalFormatting>
  <conditionalFormatting sqref="G3:I77 K3:M77 O3:Q77">
    <cfRule type="endsWith" dxfId="1" priority="2" operator="endsWith" text="x">
      <formula>RIGHT((G3),LEN("x"))=("x")</formula>
    </cfRule>
  </conditionalFormatting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5.14"/>
    <col customWidth="1" min="2" max="2" width="11.86"/>
    <col customWidth="1" min="3" max="3" width="18.29"/>
    <col customWidth="1" min="4" max="4" width="14.43"/>
    <col customWidth="1" min="5" max="5" width="20.43"/>
    <col customWidth="1" min="6" max="6" width="11.29"/>
    <col customWidth="1" min="7" max="7" width="22.71"/>
    <col customWidth="1" min="8" max="8" width="10.29"/>
    <col customWidth="1" min="9" max="9" width="10.86"/>
    <col customWidth="1" min="10" max="10" width="9.14"/>
    <col hidden="1" min="11" max="18" width="14.43"/>
    <col customWidth="1" min="19" max="19" width="10.43"/>
    <col customWidth="1" min="20" max="20" width="9.43"/>
    <col customWidth="1" min="21" max="21" width="10.29"/>
    <col customWidth="1" min="22" max="22" width="12.29"/>
    <col customWidth="1" min="23" max="23" width="10.14"/>
    <col customWidth="1" min="24" max="24" width="9.43"/>
    <col customWidth="1" min="25" max="25" width="11.29"/>
    <col customWidth="1" min="26" max="27" width="8.43"/>
    <col customWidth="1" min="29" max="29" width="9.14"/>
    <col customWidth="1" min="30" max="30" width="9.0"/>
  </cols>
  <sheetData>
    <row r="1">
      <c r="A1" s="3"/>
      <c r="B1" s="5" t="s">
        <v>14</v>
      </c>
      <c r="C1" s="7"/>
      <c r="D1" s="8"/>
      <c r="H1" s="9"/>
      <c r="K1" s="10"/>
      <c r="L1" s="12" t="s">
        <v>17</v>
      </c>
      <c r="R1" s="13"/>
      <c r="S1" s="15" t="s">
        <v>18</v>
      </c>
      <c r="U1" s="17" t="s">
        <v>21</v>
      </c>
      <c r="V1" s="15" t="s">
        <v>18</v>
      </c>
      <c r="X1" s="17" t="s">
        <v>21</v>
      </c>
      <c r="Y1" s="15" t="s">
        <v>18</v>
      </c>
      <c r="AA1" s="17" t="s">
        <v>21</v>
      </c>
      <c r="AB1" s="15" t="s">
        <v>18</v>
      </c>
      <c r="AD1" s="17" t="s">
        <v>21</v>
      </c>
      <c r="AE1" s="13"/>
      <c r="AF1" s="20" t="s">
        <v>24</v>
      </c>
    </row>
    <row r="2">
      <c r="A2" s="22"/>
      <c r="B2" s="24" t="s">
        <v>30</v>
      </c>
      <c r="C2" s="25" t="s">
        <v>19</v>
      </c>
      <c r="D2" s="26" t="s">
        <v>20</v>
      </c>
      <c r="E2" s="27" t="s">
        <v>22</v>
      </c>
      <c r="F2" s="26" t="s">
        <v>23</v>
      </c>
      <c r="G2" s="28" t="s">
        <v>25</v>
      </c>
      <c r="H2" s="29" t="s">
        <v>26</v>
      </c>
      <c r="I2" s="29" t="s">
        <v>27</v>
      </c>
      <c r="J2" s="30" t="s">
        <v>28</v>
      </c>
      <c r="K2" s="13"/>
      <c r="L2" s="13" t="s">
        <v>29</v>
      </c>
      <c r="M2" s="13"/>
      <c r="N2" s="13" t="s">
        <v>31</v>
      </c>
      <c r="O2" s="13"/>
      <c r="P2" s="10" t="s">
        <v>31</v>
      </c>
      <c r="Q2" s="13" t="s">
        <v>33</v>
      </c>
      <c r="R2" s="13"/>
      <c r="S2" s="31" t="s">
        <v>29</v>
      </c>
      <c r="T2" s="32">
        <f>IFERROR(__xludf.DUMMYFUNCTION("countif(filter(Entry!$B$3:$B$602,Entry!$B$3:$B$602=S2),S2)"),0.0)</f>
        <v>0</v>
      </c>
      <c r="U2" s="32"/>
      <c r="V2" s="31" t="s">
        <v>31</v>
      </c>
      <c r="W2" s="32">
        <f>IFERROR(__xludf.DUMMYFUNCTION("countif(filter(Entry!$B$3:$B$602,Entry!$B$3:$B$602=V2),V2)"),0.0)</f>
        <v>0</v>
      </c>
      <c r="X2" s="32"/>
      <c r="Y2" s="31" t="s">
        <v>42</v>
      </c>
      <c r="Z2" s="32">
        <f>IFERROR(__xludf.DUMMYFUNCTION("countif(filter(Entry!$B$3:$B$602,Entry!$B$3:$B$602=Y2),Y2)"),0.0)</f>
        <v>0</v>
      </c>
      <c r="AA2" s="38"/>
      <c r="AB2" s="31" t="s">
        <v>33</v>
      </c>
      <c r="AC2" s="32">
        <f>IFERROR(__xludf.DUMMYFUNCTION("countif(filter(Entry!$B$3:$B$602,Entry!$B$3:$B$602=AB2),AB2)"),0.0)</f>
        <v>0</v>
      </c>
      <c r="AD2" s="32"/>
      <c r="AE2" s="39"/>
      <c r="AF2" s="13" t="s">
        <v>43</v>
      </c>
      <c r="AG2" s="40">
        <f>countif($B$3:$B$602,1)</f>
        <v>0</v>
      </c>
    </row>
    <row r="3">
      <c r="A3" s="41">
        <v>1.0</v>
      </c>
      <c r="B3" s="41" t="str">
        <f t="shared" ref="B3:B602" si="1">VLOOKUP(C3,$S$23:$T$74,2,0)</f>
        <v>#N/A</v>
      </c>
      <c r="C3" s="42"/>
      <c r="D3" s="42"/>
      <c r="E3" s="43"/>
      <c r="F3" s="44"/>
      <c r="G3" s="45"/>
      <c r="H3" s="42"/>
      <c r="I3" s="42"/>
      <c r="J3" s="42"/>
      <c r="K3" s="13"/>
      <c r="L3" s="13" t="s">
        <v>38</v>
      </c>
      <c r="M3" s="13"/>
      <c r="N3" s="13" t="s">
        <v>39</v>
      </c>
      <c r="O3" s="13"/>
      <c r="P3" s="10" t="s">
        <v>39</v>
      </c>
      <c r="Q3" s="13" t="s">
        <v>41</v>
      </c>
      <c r="R3" s="13"/>
      <c r="S3" s="46" t="s">
        <v>38</v>
      </c>
      <c r="T3" s="47">
        <f>IFERROR(__xludf.DUMMYFUNCTION("countif(filter(Entry!$B$3:$B$602,Entry!$B$3:$B$602=S3),S3)"),0.0)</f>
        <v>0</v>
      </c>
      <c r="U3" s="47"/>
      <c r="V3" s="46" t="s">
        <v>39</v>
      </c>
      <c r="W3" s="47">
        <f>IFERROR(__xludf.DUMMYFUNCTION("countif(filter(Entry!$B$3:$B$602,Entry!$B$3:$B$602=V3),V3)"),0.0)</f>
        <v>0</v>
      </c>
      <c r="X3" s="47"/>
      <c r="Y3" s="46" t="s">
        <v>52</v>
      </c>
      <c r="Z3" s="47">
        <f>IFERROR(__xludf.DUMMYFUNCTION("countif(filter(Entry!$B$3:$B$602,Entry!$B$3:$B$602=Y3),Y3)"),1.0)</f>
        <v>1</v>
      </c>
      <c r="AA3" s="48"/>
      <c r="AB3" s="46" t="s">
        <v>41</v>
      </c>
      <c r="AC3" s="47">
        <f>IFERROR(__xludf.DUMMYFUNCTION("countif(filter(Entry!$B$3:$B$602,Entry!$B$3:$B$602=AB3),AB3)"),0.0)</f>
        <v>0</v>
      </c>
      <c r="AD3" s="47"/>
      <c r="AE3" s="39"/>
      <c r="AF3" s="13" t="s">
        <v>53</v>
      </c>
      <c r="AG3" s="40">
        <f>countif($B$3:$B$602,2)</f>
        <v>0</v>
      </c>
    </row>
    <row r="4">
      <c r="A4" s="41">
        <v>2.0</v>
      </c>
      <c r="B4" s="41" t="str">
        <f t="shared" si="1"/>
        <v>#N/A</v>
      </c>
      <c r="C4" s="42"/>
      <c r="D4" s="49"/>
      <c r="E4" s="43"/>
      <c r="F4" s="44"/>
      <c r="G4" s="45"/>
      <c r="H4" s="49"/>
      <c r="I4" s="49"/>
      <c r="J4" s="49"/>
      <c r="K4" s="13"/>
      <c r="L4" s="13" t="s">
        <v>44</v>
      </c>
      <c r="M4" s="13"/>
      <c r="N4" s="13" t="s">
        <v>45</v>
      </c>
      <c r="O4" s="13"/>
      <c r="P4" s="10" t="s">
        <v>45</v>
      </c>
      <c r="Q4" s="13" t="s">
        <v>47</v>
      </c>
      <c r="R4" s="13"/>
      <c r="S4" s="31" t="s">
        <v>44</v>
      </c>
      <c r="T4" s="32">
        <f>IFERROR(__xludf.DUMMYFUNCTION("countif(filter(Entry!$B$3:$B$602,Entry!$B$3:$B$602=S4),S4)"),0.0)</f>
        <v>0</v>
      </c>
      <c r="U4" s="32"/>
      <c r="V4" s="31" t="s">
        <v>45</v>
      </c>
      <c r="W4" s="32">
        <f>IFERROR(__xludf.DUMMYFUNCTION("countif(filter(Entry!$B$3:$B$602,Entry!$B$3:$B$602=V4),V4)"),0.0)</f>
        <v>0</v>
      </c>
      <c r="X4" s="32"/>
      <c r="Y4" s="31" t="s">
        <v>32</v>
      </c>
      <c r="Z4" s="32">
        <f>IFERROR(__xludf.DUMMYFUNCTION("countif(filter(Entry!$B$3:$B$602,Entry!$B$3:$B$602=Y4),Y4)"),0.0)</f>
        <v>0</v>
      </c>
      <c r="AA4" s="38"/>
      <c r="AB4" s="31" t="s">
        <v>47</v>
      </c>
      <c r="AC4" s="32">
        <f>IFERROR(__xludf.DUMMYFUNCTION("countif(filter(Entry!$B$3:$B$602,Entry!$B$3:$B$602=AB4),AB4)"),0.0)</f>
        <v>0</v>
      </c>
      <c r="AD4" s="32"/>
      <c r="AE4" s="39"/>
      <c r="AF4" s="13" t="s">
        <v>58</v>
      </c>
      <c r="AG4" s="40">
        <f>countif($B$3:$B$602,3)</f>
        <v>0</v>
      </c>
    </row>
    <row r="5">
      <c r="A5" s="41">
        <v>3.0</v>
      </c>
      <c r="B5" s="41" t="str">
        <f t="shared" si="1"/>
        <v>#N/A</v>
      </c>
      <c r="C5" s="42"/>
      <c r="D5" s="49"/>
      <c r="E5" s="45"/>
      <c r="F5" s="45"/>
      <c r="G5" s="45"/>
      <c r="H5" s="49"/>
      <c r="I5" s="49"/>
      <c r="J5" s="49"/>
      <c r="K5" s="13"/>
      <c r="L5" s="13" t="s">
        <v>48</v>
      </c>
      <c r="M5" s="13"/>
      <c r="N5" s="13" t="s">
        <v>49</v>
      </c>
      <c r="O5" s="13"/>
      <c r="P5" s="10" t="s">
        <v>49</v>
      </c>
      <c r="Q5" s="13" t="s">
        <v>51</v>
      </c>
      <c r="R5" s="13"/>
      <c r="S5" s="46" t="s">
        <v>48</v>
      </c>
      <c r="T5" s="47">
        <f>IFERROR(__xludf.DUMMYFUNCTION("countif(filter(Entry!$B$3:$B$602,Entry!$B$3:$B$602=S5),S5)"),0.0)</f>
        <v>0</v>
      </c>
      <c r="U5" s="47"/>
      <c r="V5" s="46" t="s">
        <v>49</v>
      </c>
      <c r="W5" s="47">
        <f>IFERROR(__xludf.DUMMYFUNCTION("countif(filter(Entry!$B$3:$B$602,Entry!$B$3:$B$602=V5),V5)"),0.0)</f>
        <v>0</v>
      </c>
      <c r="X5" s="47"/>
      <c r="Y5" s="46" t="s">
        <v>40</v>
      </c>
      <c r="Z5" s="47">
        <f>IFERROR(__xludf.DUMMYFUNCTION("countif(filter(Entry!$B$3:$B$602,Entry!$B$3:$B$602=Y5),Y5)"),0.0)</f>
        <v>0</v>
      </c>
      <c r="AA5" s="48"/>
      <c r="AB5" s="46" t="s">
        <v>51</v>
      </c>
      <c r="AC5" s="47">
        <f>IFERROR(__xludf.DUMMYFUNCTION("countif(filter(Entry!$B$3:$B$602,Entry!$B$3:$B$602=AB5),AB5)"),0.0)</f>
        <v>0</v>
      </c>
      <c r="AD5" s="47"/>
      <c r="AE5" s="39"/>
      <c r="AF5" s="13" t="s">
        <v>59</v>
      </c>
      <c r="AG5" s="40">
        <f>countif($B$3:$B$602,4)</f>
        <v>0</v>
      </c>
    </row>
    <row r="6">
      <c r="A6" s="41">
        <v>4.0</v>
      </c>
      <c r="B6" s="41" t="str">
        <f t="shared" si="1"/>
        <v>#N/A</v>
      </c>
      <c r="C6" s="42"/>
      <c r="D6" s="49"/>
      <c r="E6" s="45"/>
      <c r="F6" s="44"/>
      <c r="G6" s="45"/>
      <c r="H6" s="49"/>
      <c r="I6" s="49"/>
      <c r="J6" s="49"/>
      <c r="K6" s="13"/>
      <c r="L6" s="13" t="s">
        <v>54</v>
      </c>
      <c r="M6" s="13"/>
      <c r="N6" s="13" t="s">
        <v>55</v>
      </c>
      <c r="O6" s="13"/>
      <c r="P6" s="10" t="s">
        <v>55</v>
      </c>
      <c r="Q6" s="13" t="s">
        <v>57</v>
      </c>
      <c r="R6" s="13"/>
      <c r="S6" s="31" t="s">
        <v>54</v>
      </c>
      <c r="T6" s="32">
        <f>IFERROR(__xludf.DUMMYFUNCTION("countif(filter(Entry!$B$3:$B$602,Entry!$B$3:$B$602=S6),S6)"),0.0)</f>
        <v>0</v>
      </c>
      <c r="U6" s="32"/>
      <c r="V6" s="31" t="s">
        <v>55</v>
      </c>
      <c r="W6" s="32">
        <f>IFERROR(__xludf.DUMMYFUNCTION("countif(filter(Entry!$B$3:$B$602,Entry!$B$3:$B$602=V6),V6)"),0.0)</f>
        <v>0</v>
      </c>
      <c r="X6" s="32"/>
      <c r="Y6" s="31" t="s">
        <v>46</v>
      </c>
      <c r="Z6" s="32">
        <f>IFERROR(__xludf.DUMMYFUNCTION("countif(filter(Entry!$B$3:$B$602,Entry!$B$3:$B$602=Y6),Y6)"),0.0)</f>
        <v>0</v>
      </c>
      <c r="AA6" s="38"/>
      <c r="AB6" s="31" t="s">
        <v>57</v>
      </c>
      <c r="AC6" s="32">
        <f>IFERROR(__xludf.DUMMYFUNCTION("countif(filter(Entry!$B$3:$B$602,Entry!$B$3:$B$602=AB6),AB6)"),0.0)</f>
        <v>0</v>
      </c>
      <c r="AD6" s="32"/>
      <c r="AE6" s="39"/>
      <c r="AF6" s="13" t="s">
        <v>64</v>
      </c>
      <c r="AG6" s="40">
        <f>countif($B$3:$B$602,5)</f>
        <v>0</v>
      </c>
    </row>
    <row r="7">
      <c r="A7" s="41">
        <v>5.0</v>
      </c>
      <c r="B7" s="41" t="str">
        <f t="shared" si="1"/>
        <v>#N/A</v>
      </c>
      <c r="C7" s="49"/>
      <c r="D7" s="49"/>
      <c r="E7" s="45"/>
      <c r="F7" s="44"/>
      <c r="G7" s="45"/>
      <c r="H7" s="49"/>
      <c r="I7" s="49"/>
      <c r="J7" s="49"/>
      <c r="K7" s="13"/>
      <c r="L7" s="13" t="s">
        <v>60</v>
      </c>
      <c r="M7" s="13"/>
      <c r="N7" s="13" t="s">
        <v>61</v>
      </c>
      <c r="O7" s="13"/>
      <c r="P7" s="10" t="s">
        <v>61</v>
      </c>
      <c r="Q7" s="13" t="s">
        <v>63</v>
      </c>
      <c r="R7" s="13"/>
      <c r="S7" s="46" t="s">
        <v>60</v>
      </c>
      <c r="T7" s="47">
        <f>IFERROR(__xludf.DUMMYFUNCTION("countif(filter(Entry!$B$3:$B$602,Entry!$B$3:$B$602=S7),S7)"),0.0)</f>
        <v>0</v>
      </c>
      <c r="U7" s="47"/>
      <c r="V7" s="46" t="s">
        <v>61</v>
      </c>
      <c r="W7" s="47">
        <f>IFERROR(__xludf.DUMMYFUNCTION("countif(filter(Entry!$B$3:$B$602,Entry!$B$3:$B$602=V7),V7)"),0.0)</f>
        <v>0</v>
      </c>
      <c r="X7" s="47"/>
      <c r="Y7" s="46" t="s">
        <v>50</v>
      </c>
      <c r="Z7" s="47">
        <f>IFERROR(__xludf.DUMMYFUNCTION("countif(filter(Entry!$B$3:$B$602,Entry!$B$3:$B$602=Y7),Y7)"),0.0)</f>
        <v>0</v>
      </c>
      <c r="AA7" s="48"/>
      <c r="AB7" s="46" t="s">
        <v>63</v>
      </c>
      <c r="AC7" s="47">
        <f>IFERROR(__xludf.DUMMYFUNCTION("countif(filter(Entry!$B$3:$B$602,Entry!$B$3:$B$602=AB7),AB7)"),0.0)</f>
        <v>0</v>
      </c>
      <c r="AD7" s="47"/>
      <c r="AE7" s="39"/>
      <c r="AF7" s="13" t="s">
        <v>69</v>
      </c>
      <c r="AG7" s="40">
        <f>countif($B$3:$B$602,6)</f>
        <v>0</v>
      </c>
    </row>
    <row r="8">
      <c r="A8" s="41">
        <v>6.0</v>
      </c>
      <c r="B8" s="41" t="str">
        <f t="shared" si="1"/>
        <v>#N/A</v>
      </c>
      <c r="C8" s="49"/>
      <c r="D8" s="49"/>
      <c r="E8" s="45"/>
      <c r="F8" s="44"/>
      <c r="G8" s="45"/>
      <c r="H8" s="49"/>
      <c r="I8" s="49"/>
      <c r="J8" s="49"/>
      <c r="K8" s="13"/>
      <c r="L8" s="13" t="s">
        <v>65</v>
      </c>
      <c r="M8" s="13"/>
      <c r="N8" s="13" t="s">
        <v>66</v>
      </c>
      <c r="O8" s="13"/>
      <c r="P8" s="10" t="s">
        <v>66</v>
      </c>
      <c r="Q8" s="13" t="s">
        <v>68</v>
      </c>
      <c r="R8" s="13"/>
      <c r="S8" s="31" t="s">
        <v>65</v>
      </c>
      <c r="T8" s="32">
        <f>IFERROR(__xludf.DUMMYFUNCTION("countif(filter(Entry!$B$3:$B$602,Entry!$B$3:$B$602=S8),S8)"),0.0)</f>
        <v>0</v>
      </c>
      <c r="U8" s="32"/>
      <c r="V8" s="31" t="s">
        <v>66</v>
      </c>
      <c r="W8" s="32">
        <f>IFERROR(__xludf.DUMMYFUNCTION("countif(filter(Entry!$B$3:$B$602,Entry!$B$3:$B$602=V8),V8)"),0.0)</f>
        <v>0</v>
      </c>
      <c r="X8" s="32"/>
      <c r="Y8" s="31" t="s">
        <v>56</v>
      </c>
      <c r="Z8" s="32">
        <f>IFERROR(__xludf.DUMMYFUNCTION("countif(filter(Entry!$B$3:$B$602,Entry!$B$3:$B$602=Y8),Y8)"),0.0)</f>
        <v>0</v>
      </c>
      <c r="AA8" s="38"/>
      <c r="AB8" s="31" t="s">
        <v>68</v>
      </c>
      <c r="AC8" s="32">
        <f>IFERROR(__xludf.DUMMYFUNCTION("countif(filter(Entry!$B$3:$B$602,Entry!$B$3:$B$602=AB8),AB8)"),0.0)</f>
        <v>0</v>
      </c>
      <c r="AD8" s="32"/>
      <c r="AE8" s="39"/>
      <c r="AF8" s="13" t="s">
        <v>70</v>
      </c>
      <c r="AG8" s="40">
        <f>countif($B$3:$B$602,7)</f>
        <v>0</v>
      </c>
    </row>
    <row r="9">
      <c r="A9" s="41">
        <v>7.0</v>
      </c>
      <c r="B9" s="41" t="str">
        <f t="shared" si="1"/>
        <v>#N/A</v>
      </c>
      <c r="C9" s="49"/>
      <c r="D9" s="49"/>
      <c r="E9" s="45"/>
      <c r="F9" s="44"/>
      <c r="G9" s="45"/>
      <c r="H9" s="49"/>
      <c r="I9" s="49"/>
      <c r="J9" s="49"/>
      <c r="K9" s="13"/>
      <c r="L9" s="13" t="s">
        <v>71</v>
      </c>
      <c r="M9" s="13"/>
      <c r="N9" s="13" t="s">
        <v>72</v>
      </c>
      <c r="O9" s="13"/>
      <c r="P9" s="10" t="s">
        <v>72</v>
      </c>
      <c r="Q9" s="13" t="s">
        <v>74</v>
      </c>
      <c r="R9" s="13"/>
      <c r="S9" s="46" t="s">
        <v>71</v>
      </c>
      <c r="T9" s="47">
        <f>IFERROR(__xludf.DUMMYFUNCTION("countif(filter(Entry!$B$3:$B$602,Entry!$B$3:$B$602=S9),S9)"),0.0)</f>
        <v>0</v>
      </c>
      <c r="U9" s="47"/>
      <c r="V9" s="46" t="s">
        <v>72</v>
      </c>
      <c r="W9" s="47">
        <f>IFERROR(__xludf.DUMMYFUNCTION("countif(filter(Entry!$B$3:$B$602,Entry!$B$3:$B$602=V9),V9)"),0.0)</f>
        <v>0</v>
      </c>
      <c r="X9" s="47"/>
      <c r="Y9" s="46" t="s">
        <v>62</v>
      </c>
      <c r="Z9" s="47">
        <f>IFERROR(__xludf.DUMMYFUNCTION("countif(filter(Entry!$B$3:$B$602,Entry!$B$3:$B$602=Y9),Y9)"),0.0)</f>
        <v>0</v>
      </c>
      <c r="AA9" s="48"/>
      <c r="AB9" s="46" t="s">
        <v>74</v>
      </c>
      <c r="AC9" s="47">
        <f>IFERROR(__xludf.DUMMYFUNCTION("countif(filter(Entry!$B$3:$B$602,Entry!$B$3:$B$602=AB9),AB9)"),0.0)</f>
        <v>0</v>
      </c>
      <c r="AD9" s="47"/>
      <c r="AE9" s="39"/>
      <c r="AF9" s="13" t="s">
        <v>75</v>
      </c>
      <c r="AG9" s="40">
        <f>countif($B$3:$B$602,8)</f>
        <v>0</v>
      </c>
    </row>
    <row r="10">
      <c r="A10" s="41">
        <v>8.0</v>
      </c>
      <c r="B10" s="41" t="str">
        <f t="shared" si="1"/>
        <v>#N/A</v>
      </c>
      <c r="C10" s="49"/>
      <c r="D10" s="49"/>
      <c r="E10" s="45"/>
      <c r="F10" s="44"/>
      <c r="G10" s="45"/>
      <c r="H10" s="49"/>
      <c r="I10" s="49"/>
      <c r="J10" s="49"/>
      <c r="K10" s="13"/>
      <c r="L10" s="13" t="s">
        <v>76</v>
      </c>
      <c r="M10" s="13"/>
      <c r="N10" s="13" t="s">
        <v>77</v>
      </c>
      <c r="O10" s="13"/>
      <c r="P10" s="10" t="s">
        <v>77</v>
      </c>
      <c r="Q10" s="13" t="s">
        <v>78</v>
      </c>
      <c r="R10" s="13"/>
      <c r="S10" s="31" t="s">
        <v>76</v>
      </c>
      <c r="T10" s="32">
        <f>IFERROR(__xludf.DUMMYFUNCTION("countif(filter(Entry!$B$3:$B$602,Entry!$B$3:$B$602=S10),S10)"),0.0)</f>
        <v>0</v>
      </c>
      <c r="U10" s="32"/>
      <c r="V10" s="31" t="s">
        <v>77</v>
      </c>
      <c r="W10" s="32">
        <f>IFERROR(__xludf.DUMMYFUNCTION("countif(filter(Entry!$B$3:$B$602,Entry!$B$3:$B$602=V10),V10)"),0.0)</f>
        <v>0</v>
      </c>
      <c r="X10" s="32"/>
      <c r="Y10" s="31" t="s">
        <v>67</v>
      </c>
      <c r="Z10" s="32">
        <f>IFERROR(__xludf.DUMMYFUNCTION("countif(filter(Entry!$B$3:$B$602,Entry!$B$3:$B$602=Y10),Y10)"),0.0)</f>
        <v>0</v>
      </c>
      <c r="AA10" s="38"/>
      <c r="AB10" s="31" t="s">
        <v>78</v>
      </c>
      <c r="AC10" s="32">
        <f>IFERROR(__xludf.DUMMYFUNCTION("countif(filter(Entry!$B$3:$B$602,Entry!$B$3:$B$602=AB10),AB10)"),0.0)</f>
        <v>0</v>
      </c>
      <c r="AD10" s="32"/>
      <c r="AE10" s="39"/>
      <c r="AF10" s="13" t="s">
        <v>80</v>
      </c>
      <c r="AG10" s="40">
        <f>countif($B$3:$B$602,9)</f>
        <v>0</v>
      </c>
    </row>
    <row r="11">
      <c r="A11" s="41">
        <v>9.0</v>
      </c>
      <c r="B11" s="41" t="str">
        <f t="shared" si="1"/>
        <v>#N/A</v>
      </c>
      <c r="C11" s="49"/>
      <c r="D11" s="49"/>
      <c r="E11" s="45"/>
      <c r="F11" s="44"/>
      <c r="G11" s="45"/>
      <c r="H11" s="49"/>
      <c r="I11" s="49"/>
      <c r="J11" s="49"/>
      <c r="K11" s="13"/>
      <c r="L11" s="13" t="s">
        <v>81</v>
      </c>
      <c r="M11" s="13"/>
      <c r="N11" s="13" t="s">
        <v>82</v>
      </c>
      <c r="O11" s="13"/>
      <c r="P11" s="10" t="s">
        <v>82</v>
      </c>
      <c r="Q11" s="13" t="s">
        <v>84</v>
      </c>
      <c r="R11" s="13"/>
      <c r="S11" s="46" t="s">
        <v>81</v>
      </c>
      <c r="T11" s="47">
        <f>IFERROR(__xludf.DUMMYFUNCTION("countif(filter(Entry!$B$3:$B$602,Entry!$B$3:$B$602=S11),S11)"),0.0)</f>
        <v>0</v>
      </c>
      <c r="U11" s="47"/>
      <c r="V11" s="46" t="s">
        <v>82</v>
      </c>
      <c r="W11" s="47">
        <f>IFERROR(__xludf.DUMMYFUNCTION("countif(filter(Entry!$B$3:$B$602,Entry!$B$3:$B$602=V11),V11)"),0.0)</f>
        <v>0</v>
      </c>
      <c r="X11" s="47"/>
      <c r="Y11" s="46" t="s">
        <v>85</v>
      </c>
      <c r="Z11" s="47">
        <f>IFERROR(__xludf.DUMMYFUNCTION("countif(filter(Entry!$B$3:$B$602,Entry!$B$3:$B$602=Y11),Y11)"),0.0)</f>
        <v>0</v>
      </c>
      <c r="AA11" s="48"/>
      <c r="AB11" s="46" t="s">
        <v>84</v>
      </c>
      <c r="AC11" s="47">
        <f>IFERROR(__xludf.DUMMYFUNCTION("countif(filter(Entry!$B$3:$B$602,Entry!$B$3:$B$602=AB11),AB11)"),0.0)</f>
        <v>0</v>
      </c>
      <c r="AD11" s="47"/>
      <c r="AE11" s="39"/>
      <c r="AF11" s="13" t="s">
        <v>86</v>
      </c>
      <c r="AG11" s="40">
        <f>countif($B$3:$B$602,10)</f>
        <v>0</v>
      </c>
    </row>
    <row r="12">
      <c r="A12" s="41">
        <v>10.0</v>
      </c>
      <c r="B12" s="41" t="str">
        <f t="shared" si="1"/>
        <v>#N/A</v>
      </c>
      <c r="C12" s="49"/>
      <c r="D12" s="49"/>
      <c r="E12" s="45"/>
      <c r="F12" s="44"/>
      <c r="G12" s="45"/>
      <c r="H12" s="49"/>
      <c r="I12" s="49"/>
      <c r="J12" s="49"/>
      <c r="K12" s="13"/>
      <c r="L12" s="13" t="s">
        <v>87</v>
      </c>
      <c r="M12" s="13"/>
      <c r="N12" s="13" t="s">
        <v>88</v>
      </c>
      <c r="O12" s="13"/>
      <c r="P12" s="10" t="s">
        <v>88</v>
      </c>
      <c r="Q12" s="13" t="s">
        <v>90</v>
      </c>
      <c r="R12" s="13"/>
      <c r="S12" s="31" t="s">
        <v>87</v>
      </c>
      <c r="T12" s="32">
        <f>IFERROR(__xludf.DUMMYFUNCTION("countif(filter(Entry!$B$3:$B$602,Entry!$B$3:$B$602=S12),S12)"),0.0)</f>
        <v>0</v>
      </c>
      <c r="U12" s="32"/>
      <c r="V12" s="31" t="s">
        <v>88</v>
      </c>
      <c r="W12" s="32">
        <f>IFERROR(__xludf.DUMMYFUNCTION("countif(filter(Entry!$B$3:$B$602,Entry!$B$3:$B$602=V12),V12)"),0.0)</f>
        <v>0</v>
      </c>
      <c r="X12" s="32"/>
      <c r="Y12" s="31" t="s">
        <v>83</v>
      </c>
      <c r="Z12" s="32">
        <f>IFERROR(__xludf.DUMMYFUNCTION("countif(filter(Entry!$B$3:$B$602,Entry!$B$3:$B$602=Y12),Y12)"),0.0)</f>
        <v>0</v>
      </c>
      <c r="AA12" s="38"/>
      <c r="AB12" s="31" t="s">
        <v>90</v>
      </c>
      <c r="AC12" s="32">
        <f>IFERROR(__xludf.DUMMYFUNCTION("countif(filter(Entry!$B$3:$B$602,Entry!$B$3:$B$602=AB12),AB12)"),0.0)</f>
        <v>0</v>
      </c>
      <c r="AD12" s="32"/>
      <c r="AE12" s="39"/>
      <c r="AF12" s="13" t="s">
        <v>93</v>
      </c>
      <c r="AG12" s="40">
        <f>countif($B$3:$B$602,11)</f>
        <v>0</v>
      </c>
    </row>
    <row r="13">
      <c r="A13" s="41">
        <v>11.0</v>
      </c>
      <c r="B13" s="41" t="str">
        <f t="shared" si="1"/>
        <v>#N/A</v>
      </c>
      <c r="C13" s="49"/>
      <c r="D13" s="49"/>
      <c r="E13" s="45"/>
      <c r="F13" s="44"/>
      <c r="G13" s="45"/>
      <c r="H13" s="49"/>
      <c r="I13" s="49"/>
      <c r="J13" s="49"/>
      <c r="K13" s="13"/>
      <c r="L13" s="13" t="s">
        <v>91</v>
      </c>
      <c r="M13" s="13"/>
      <c r="N13" s="13" t="s">
        <v>92</v>
      </c>
      <c r="O13" s="13"/>
      <c r="P13" s="10" t="s">
        <v>92</v>
      </c>
      <c r="Q13" s="13" t="s">
        <v>95</v>
      </c>
      <c r="R13" s="13"/>
      <c r="S13" s="46" t="s">
        <v>91</v>
      </c>
      <c r="T13" s="47">
        <f>IFERROR(__xludf.DUMMYFUNCTION("countif(filter(Entry!$B$3:$B$602,Entry!$B$3:$B$602=S13),S13)"),0.0)</f>
        <v>0</v>
      </c>
      <c r="U13" s="47"/>
      <c r="V13" s="46" t="s">
        <v>92</v>
      </c>
      <c r="W13" s="47">
        <f>IFERROR(__xludf.DUMMYFUNCTION("countif(filter(Entry!$B$3:$B$602,Entry!$B$3:$B$602=V13),V13)"),0.0)</f>
        <v>0</v>
      </c>
      <c r="X13" s="47"/>
      <c r="Y13" s="46" t="s">
        <v>89</v>
      </c>
      <c r="Z13" s="47">
        <f>IFERROR(__xludf.DUMMYFUNCTION("countif(filter(Entry!$B$3:$B$602,Entry!$B$3:$B$602=Y13),Y13)"),0.0)</f>
        <v>0</v>
      </c>
      <c r="AA13" s="48"/>
      <c r="AB13" s="46" t="s">
        <v>95</v>
      </c>
      <c r="AC13" s="47">
        <f>IFERROR(__xludf.DUMMYFUNCTION("countif(filter(Entry!$B$3:$B$602,Entry!$B$3:$B$602=AB13),AB13)"),0.0)</f>
        <v>0</v>
      </c>
      <c r="AD13" s="47"/>
      <c r="AE13" s="39"/>
      <c r="AF13" s="13" t="s">
        <v>100</v>
      </c>
      <c r="AG13" s="40">
        <f>countif($B$3:$B$602,12)</f>
        <v>0</v>
      </c>
    </row>
    <row r="14">
      <c r="A14" s="41">
        <v>12.0</v>
      </c>
      <c r="B14" s="41" t="str">
        <f t="shared" si="1"/>
        <v>#N/A</v>
      </c>
      <c r="C14" s="49"/>
      <c r="D14" s="49"/>
      <c r="E14" s="45"/>
      <c r="F14" s="44"/>
      <c r="G14" s="45"/>
      <c r="H14" s="49"/>
      <c r="I14" s="49"/>
      <c r="J14" s="49"/>
      <c r="K14" s="13"/>
      <c r="L14" s="13" t="s">
        <v>96</v>
      </c>
      <c r="M14" s="13"/>
      <c r="N14" s="13" t="s">
        <v>97</v>
      </c>
      <c r="O14" s="13"/>
      <c r="P14" s="10" t="s">
        <v>97</v>
      </c>
      <c r="Q14" s="13" t="s">
        <v>99</v>
      </c>
      <c r="R14" s="13"/>
      <c r="S14" s="31" t="s">
        <v>96</v>
      </c>
      <c r="T14" s="32">
        <f>IFERROR(__xludf.DUMMYFUNCTION("countif(filter(Entry!$B$3:$B$602,Entry!$B$3:$B$602=S14),S14)"),0.0)</f>
        <v>0</v>
      </c>
      <c r="U14" s="32"/>
      <c r="V14" s="31" t="s">
        <v>97</v>
      </c>
      <c r="W14" s="32">
        <f>IFERROR(__xludf.DUMMYFUNCTION("countif(filter(Entry!$B$3:$B$602,Entry!$B$3:$B$602=V14),V14)"),0.0)</f>
        <v>0</v>
      </c>
      <c r="X14" s="32"/>
      <c r="Y14" s="31" t="s">
        <v>98</v>
      </c>
      <c r="Z14" s="32">
        <f>IFERROR(__xludf.DUMMYFUNCTION("countif(filter(Entry!$B$3:$B$602,Entry!$B$3:$B$602=Y14),Y14)"),0.0)</f>
        <v>0</v>
      </c>
      <c r="AA14" s="38"/>
      <c r="AB14" s="31" t="s">
        <v>99</v>
      </c>
      <c r="AC14" s="32">
        <f>IFERROR(__xludf.DUMMYFUNCTION("countif(filter(Entry!$B$3:$B$602,Entry!$B$3:$B$602=AB14),AB14)"),0.0)</f>
        <v>0</v>
      </c>
      <c r="AD14" s="32"/>
      <c r="AE14" s="39"/>
      <c r="AF14" s="13" t="s">
        <v>101</v>
      </c>
      <c r="AG14" s="40">
        <f>countif($B$3:$B$602,13)</f>
        <v>0</v>
      </c>
    </row>
    <row r="15">
      <c r="A15" s="41">
        <v>13.0</v>
      </c>
      <c r="B15" s="41" t="str">
        <f t="shared" si="1"/>
        <v>#N/A</v>
      </c>
      <c r="C15" s="49"/>
      <c r="D15" s="49"/>
      <c r="E15" s="45"/>
      <c r="F15" s="44"/>
      <c r="G15" s="45"/>
      <c r="H15" s="49"/>
      <c r="I15" s="49"/>
      <c r="J15" s="49"/>
      <c r="K15" s="13"/>
      <c r="L15" s="50" t="s">
        <v>17</v>
      </c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 t="s">
        <v>103</v>
      </c>
      <c r="AG15" s="40">
        <f>countif($B$3:$B$602,14)</f>
        <v>0</v>
      </c>
    </row>
    <row r="16">
      <c r="A16" s="41">
        <v>14.0</v>
      </c>
      <c r="B16" s="41" t="str">
        <f t="shared" si="1"/>
        <v>#N/A</v>
      </c>
      <c r="C16" s="49"/>
      <c r="D16" s="49"/>
      <c r="E16" s="45"/>
      <c r="F16" s="44"/>
      <c r="G16" s="45"/>
      <c r="H16" s="49"/>
      <c r="I16" s="49"/>
      <c r="J16" s="49"/>
      <c r="K16" s="10"/>
      <c r="L16" s="13" t="s">
        <v>102</v>
      </c>
      <c r="M16" s="13"/>
      <c r="N16" s="13"/>
      <c r="O16" s="13"/>
      <c r="P16" s="13"/>
      <c r="Q16" s="13"/>
      <c r="R16" s="13"/>
      <c r="S16" s="51" t="s">
        <v>104</v>
      </c>
      <c r="T16" s="51">
        <f>sum(T2:T14)</f>
        <v>0</v>
      </c>
      <c r="U16" s="52"/>
      <c r="V16" s="52"/>
      <c r="W16" s="51">
        <f>sum(W2:W14)</f>
        <v>0</v>
      </c>
      <c r="X16" s="52"/>
      <c r="Y16" s="52"/>
      <c r="Z16" s="51">
        <f>sum(Z2:Z14)</f>
        <v>1</v>
      </c>
      <c r="AA16" s="52"/>
      <c r="AB16" s="52"/>
      <c r="AC16" s="51">
        <f>sum(AC2:AC14)</f>
        <v>0</v>
      </c>
      <c r="AD16" s="52"/>
      <c r="AE16" s="13"/>
      <c r="AF16" s="13" t="s">
        <v>106</v>
      </c>
      <c r="AG16" s="40">
        <f>countif($B$3:$B$602,15)</f>
        <v>0</v>
      </c>
    </row>
    <row r="17">
      <c r="A17" s="41">
        <v>15.0</v>
      </c>
      <c r="B17" s="41" t="str">
        <f t="shared" si="1"/>
        <v>#N/A</v>
      </c>
      <c r="C17" s="49"/>
      <c r="D17" s="49"/>
      <c r="E17" s="45"/>
      <c r="F17" s="44"/>
      <c r="G17" s="45"/>
      <c r="H17" s="49"/>
      <c r="I17" s="49"/>
      <c r="J17" s="49"/>
      <c r="K17" s="10"/>
      <c r="L17" s="13" t="s">
        <v>105</v>
      </c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 t="s">
        <v>107</v>
      </c>
      <c r="AG17" s="40">
        <f>countif($B$3:$B$602,16)</f>
        <v>0</v>
      </c>
    </row>
    <row r="18">
      <c r="A18" s="41">
        <v>16.0</v>
      </c>
      <c r="B18" s="41" t="str">
        <f t="shared" si="1"/>
        <v>#N/A</v>
      </c>
      <c r="C18" s="49"/>
      <c r="D18" s="49"/>
      <c r="E18" s="45"/>
      <c r="F18" s="44"/>
      <c r="G18" s="45"/>
      <c r="H18" s="49"/>
      <c r="I18" s="49"/>
      <c r="J18" s="49"/>
      <c r="K18" s="10"/>
      <c r="L18" s="13" t="s">
        <v>35</v>
      </c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 t="s">
        <v>108</v>
      </c>
      <c r="AG18" s="40">
        <f>countif($B$3:$B$602,17)</f>
        <v>0</v>
      </c>
    </row>
    <row r="19">
      <c r="A19" s="41">
        <v>17.0</v>
      </c>
      <c r="B19" s="41" t="str">
        <f t="shared" si="1"/>
        <v>#N/A</v>
      </c>
      <c r="C19" s="49"/>
      <c r="D19" s="49"/>
      <c r="E19" s="45"/>
      <c r="F19" s="44"/>
      <c r="G19" s="45"/>
      <c r="H19" s="49"/>
      <c r="I19" s="49"/>
      <c r="J19" s="49"/>
      <c r="K19" s="10"/>
      <c r="L19" s="13" t="s">
        <v>109</v>
      </c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 t="s">
        <v>110</v>
      </c>
      <c r="AG19" s="40">
        <f>countif($B$3:$B$602,18)</f>
        <v>0</v>
      </c>
    </row>
    <row r="20">
      <c r="A20" s="41">
        <v>18.0</v>
      </c>
      <c r="B20" s="41" t="str">
        <f t="shared" si="1"/>
        <v>#N/A</v>
      </c>
      <c r="C20" s="49"/>
      <c r="D20" s="49"/>
      <c r="E20" s="45"/>
      <c r="F20" s="44"/>
      <c r="G20" s="45"/>
      <c r="H20" s="49"/>
      <c r="I20" s="49"/>
      <c r="J20" s="49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 t="s">
        <v>111</v>
      </c>
      <c r="AG20" s="40">
        <f>countif($B$3:$B$602,19)</f>
        <v>0</v>
      </c>
    </row>
    <row r="21">
      <c r="A21" s="41">
        <v>19.0</v>
      </c>
      <c r="B21" s="41" t="str">
        <f t="shared" si="1"/>
        <v>#N/A</v>
      </c>
      <c r="C21" s="49"/>
      <c r="D21" s="49"/>
      <c r="E21" s="45"/>
      <c r="F21" s="44"/>
      <c r="G21" s="45"/>
      <c r="H21" s="49"/>
      <c r="I21" s="49"/>
      <c r="J21" s="49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 t="s">
        <v>112</v>
      </c>
      <c r="AG21" s="40">
        <f>countif($B$3:$B$602,20)</f>
        <v>0</v>
      </c>
    </row>
    <row r="22">
      <c r="A22" s="41">
        <v>20.0</v>
      </c>
      <c r="B22" s="41" t="str">
        <f t="shared" si="1"/>
        <v>#N/A</v>
      </c>
      <c r="C22" s="49"/>
      <c r="D22" s="49"/>
      <c r="E22" s="45"/>
      <c r="F22" s="44"/>
      <c r="G22" s="45"/>
      <c r="H22" s="49"/>
      <c r="I22" s="49"/>
      <c r="J22" s="49"/>
      <c r="K22" s="13"/>
      <c r="L22" s="13"/>
      <c r="M22" s="13"/>
      <c r="N22" s="13"/>
      <c r="O22" s="13"/>
      <c r="P22" s="13"/>
      <c r="Q22" s="13"/>
      <c r="R22" s="13"/>
      <c r="S22" s="53" t="s">
        <v>113</v>
      </c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</row>
    <row r="23">
      <c r="A23" s="41">
        <v>21.0</v>
      </c>
      <c r="B23" s="41" t="str">
        <f t="shared" si="1"/>
        <v>#N/A</v>
      </c>
      <c r="C23" s="49"/>
      <c r="D23" s="49"/>
      <c r="E23" s="45"/>
      <c r="F23" s="44"/>
      <c r="G23" s="45"/>
      <c r="H23" s="49"/>
      <c r="I23" s="49"/>
      <c r="J23" s="49"/>
      <c r="K23" s="13"/>
      <c r="L23" s="13"/>
      <c r="M23" s="13"/>
      <c r="N23" s="13"/>
      <c r="O23" s="13"/>
      <c r="P23" s="13"/>
      <c r="Q23" s="13"/>
      <c r="R23" s="13"/>
      <c r="S23" s="13" t="s">
        <v>29</v>
      </c>
      <c r="T23" s="40" t="str">
        <f t="shared" ref="T23:T35" si="2">U2</f>
        <v/>
      </c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</row>
    <row r="24">
      <c r="A24" s="41">
        <v>22.0</v>
      </c>
      <c r="B24" s="41" t="str">
        <f t="shared" si="1"/>
        <v>#N/A</v>
      </c>
      <c r="C24" s="49"/>
      <c r="D24" s="49"/>
      <c r="E24" s="45"/>
      <c r="F24" s="44"/>
      <c r="G24" s="45"/>
      <c r="H24" s="49"/>
      <c r="I24" s="49"/>
      <c r="J24" s="49"/>
      <c r="K24" s="13"/>
      <c r="L24" s="13"/>
      <c r="M24" s="13"/>
      <c r="N24" s="13"/>
      <c r="O24" s="13"/>
      <c r="P24" s="13"/>
      <c r="Q24" s="13"/>
      <c r="R24" s="13"/>
      <c r="S24" s="13" t="s">
        <v>38</v>
      </c>
      <c r="T24" s="40" t="str">
        <f t="shared" si="2"/>
        <v/>
      </c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</row>
    <row r="25">
      <c r="A25" s="41">
        <v>23.0</v>
      </c>
      <c r="B25" s="41" t="str">
        <f t="shared" si="1"/>
        <v>#N/A</v>
      </c>
      <c r="C25" s="49"/>
      <c r="D25" s="49"/>
      <c r="E25" s="45"/>
      <c r="F25" s="44"/>
      <c r="G25" s="45"/>
      <c r="H25" s="49"/>
      <c r="I25" s="49"/>
      <c r="J25" s="49"/>
      <c r="K25" s="13"/>
      <c r="L25" s="13"/>
      <c r="M25" s="13"/>
      <c r="N25" s="13"/>
      <c r="O25" s="13"/>
      <c r="P25" s="13"/>
      <c r="Q25" s="13"/>
      <c r="R25" s="13"/>
      <c r="S25" s="13" t="s">
        <v>44</v>
      </c>
      <c r="T25" s="40" t="str">
        <f t="shared" si="2"/>
        <v/>
      </c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</row>
    <row r="26">
      <c r="A26" s="41">
        <v>24.0</v>
      </c>
      <c r="B26" s="41" t="str">
        <f t="shared" si="1"/>
        <v>#N/A</v>
      </c>
      <c r="C26" s="49"/>
      <c r="D26" s="49"/>
      <c r="E26" s="45"/>
      <c r="F26" s="45"/>
      <c r="G26" s="45"/>
      <c r="H26" s="49"/>
      <c r="I26" s="49"/>
      <c r="J26" s="49"/>
      <c r="K26" s="13"/>
      <c r="L26" s="13"/>
      <c r="M26" s="13"/>
      <c r="N26" s="13"/>
      <c r="O26" s="13"/>
      <c r="P26" s="13"/>
      <c r="Q26" s="13"/>
      <c r="R26" s="13"/>
      <c r="S26" s="13" t="s">
        <v>48</v>
      </c>
      <c r="T26" s="40" t="str">
        <f t="shared" si="2"/>
        <v/>
      </c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</row>
    <row r="27">
      <c r="A27" s="41">
        <v>25.0</v>
      </c>
      <c r="B27" s="41" t="str">
        <f t="shared" si="1"/>
        <v>#N/A</v>
      </c>
      <c r="C27" s="49"/>
      <c r="D27" s="49"/>
      <c r="E27" s="45"/>
      <c r="F27" s="44"/>
      <c r="G27" s="45"/>
      <c r="H27" s="49"/>
      <c r="I27" s="49"/>
      <c r="J27" s="49"/>
      <c r="K27" s="13"/>
      <c r="L27" s="13"/>
      <c r="M27" s="13"/>
      <c r="N27" s="13"/>
      <c r="O27" s="13"/>
      <c r="P27" s="13"/>
      <c r="Q27" s="13"/>
      <c r="R27" s="13"/>
      <c r="S27" s="13" t="s">
        <v>54</v>
      </c>
      <c r="T27" s="40" t="str">
        <f t="shared" si="2"/>
        <v/>
      </c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</row>
    <row r="28">
      <c r="A28" s="41">
        <v>26.0</v>
      </c>
      <c r="B28" s="41" t="str">
        <f t="shared" si="1"/>
        <v>#N/A</v>
      </c>
      <c r="C28" s="49"/>
      <c r="D28" s="49"/>
      <c r="E28" s="45"/>
      <c r="F28" s="44"/>
      <c r="G28" s="45"/>
      <c r="H28" s="49"/>
      <c r="I28" s="49"/>
      <c r="J28" s="49"/>
      <c r="K28" s="13"/>
      <c r="L28" s="13"/>
      <c r="M28" s="13"/>
      <c r="N28" s="13"/>
      <c r="O28" s="13"/>
      <c r="P28" s="13"/>
      <c r="Q28" s="13"/>
      <c r="R28" s="13"/>
      <c r="S28" s="13" t="s">
        <v>60</v>
      </c>
      <c r="T28" s="40" t="str">
        <f t="shared" si="2"/>
        <v/>
      </c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</row>
    <row r="29">
      <c r="A29" s="41">
        <v>27.0</v>
      </c>
      <c r="B29" s="41" t="str">
        <f t="shared" si="1"/>
        <v>#N/A</v>
      </c>
      <c r="C29" s="49"/>
      <c r="D29" s="49"/>
      <c r="E29" s="45"/>
      <c r="F29" s="44"/>
      <c r="G29" s="45"/>
      <c r="H29" s="49"/>
      <c r="I29" s="49"/>
      <c r="J29" s="49"/>
      <c r="K29" s="13"/>
      <c r="L29" s="13"/>
      <c r="M29" s="13"/>
      <c r="N29" s="13"/>
      <c r="O29" s="13"/>
      <c r="P29" s="13"/>
      <c r="Q29" s="13"/>
      <c r="R29" s="13"/>
      <c r="S29" s="13" t="s">
        <v>65</v>
      </c>
      <c r="T29" s="40" t="str">
        <f t="shared" si="2"/>
        <v/>
      </c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</row>
    <row r="30">
      <c r="A30" s="41">
        <v>28.0</v>
      </c>
      <c r="B30" s="41" t="str">
        <f t="shared" si="1"/>
        <v>#N/A</v>
      </c>
      <c r="C30" s="49"/>
      <c r="D30" s="49"/>
      <c r="E30" s="45"/>
      <c r="F30" s="44"/>
      <c r="G30" s="45"/>
      <c r="H30" s="49"/>
      <c r="I30" s="49"/>
      <c r="J30" s="49"/>
      <c r="K30" s="13"/>
      <c r="L30" s="13"/>
      <c r="M30" s="13"/>
      <c r="N30" s="13"/>
      <c r="O30" s="13"/>
      <c r="P30" s="13"/>
      <c r="Q30" s="13"/>
      <c r="R30" s="13"/>
      <c r="S30" s="13" t="s">
        <v>71</v>
      </c>
      <c r="T30" s="40" t="str">
        <f t="shared" si="2"/>
        <v/>
      </c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</row>
    <row r="31">
      <c r="A31" s="41">
        <v>29.0</v>
      </c>
      <c r="B31" s="41" t="str">
        <f t="shared" si="1"/>
        <v>#N/A</v>
      </c>
      <c r="C31" s="49"/>
      <c r="D31" s="49"/>
      <c r="E31" s="45"/>
      <c r="F31" s="44"/>
      <c r="G31" s="45"/>
      <c r="H31" s="49"/>
      <c r="I31" s="49"/>
      <c r="J31" s="49"/>
      <c r="K31" s="13"/>
      <c r="L31" s="13"/>
      <c r="M31" s="13"/>
      <c r="N31" s="13"/>
      <c r="O31" s="13"/>
      <c r="P31" s="13"/>
      <c r="Q31" s="13"/>
      <c r="R31" s="13"/>
      <c r="S31" s="13" t="s">
        <v>76</v>
      </c>
      <c r="T31" s="40" t="str">
        <f t="shared" si="2"/>
        <v/>
      </c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</row>
    <row r="32">
      <c r="A32" s="41">
        <v>30.0</v>
      </c>
      <c r="B32" s="41" t="str">
        <f t="shared" si="1"/>
        <v>#N/A</v>
      </c>
      <c r="C32" s="49"/>
      <c r="D32" s="49"/>
      <c r="E32" s="45"/>
      <c r="F32" s="45"/>
      <c r="G32" s="45"/>
      <c r="H32" s="49"/>
      <c r="I32" s="49"/>
      <c r="J32" s="49"/>
      <c r="K32" s="13"/>
      <c r="L32" s="13"/>
      <c r="M32" s="13"/>
      <c r="N32" s="13"/>
      <c r="O32" s="13"/>
      <c r="P32" s="13"/>
      <c r="Q32" s="13"/>
      <c r="R32" s="13"/>
      <c r="S32" s="13" t="s">
        <v>81</v>
      </c>
      <c r="T32" s="40" t="str">
        <f t="shared" si="2"/>
        <v/>
      </c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</row>
    <row r="33">
      <c r="A33" s="41">
        <v>31.0</v>
      </c>
      <c r="B33" s="41" t="str">
        <f t="shared" si="1"/>
        <v>#N/A</v>
      </c>
      <c r="C33" s="49"/>
      <c r="D33" s="49"/>
      <c r="E33" s="45"/>
      <c r="F33" s="44"/>
      <c r="G33" s="45"/>
      <c r="H33" s="49"/>
      <c r="I33" s="49"/>
      <c r="J33" s="49"/>
      <c r="K33" s="13"/>
      <c r="L33" s="13"/>
      <c r="M33" s="13"/>
      <c r="N33" s="13"/>
      <c r="O33" s="13"/>
      <c r="P33" s="13"/>
      <c r="Q33" s="13"/>
      <c r="R33" s="13"/>
      <c r="S33" s="13" t="s">
        <v>87</v>
      </c>
      <c r="T33" s="40" t="str">
        <f t="shared" si="2"/>
        <v/>
      </c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</row>
    <row r="34">
      <c r="A34" s="41">
        <v>32.0</v>
      </c>
      <c r="B34" s="41" t="str">
        <f t="shared" si="1"/>
        <v>#N/A</v>
      </c>
      <c r="C34" s="49"/>
      <c r="D34" s="49"/>
      <c r="E34" s="45"/>
      <c r="F34" s="44"/>
      <c r="G34" s="45"/>
      <c r="H34" s="49"/>
      <c r="I34" s="49"/>
      <c r="J34" s="49"/>
      <c r="K34" s="13"/>
      <c r="L34" s="13"/>
      <c r="M34" s="13"/>
      <c r="N34" s="13"/>
      <c r="O34" s="13"/>
      <c r="P34" s="13"/>
      <c r="Q34" s="13"/>
      <c r="R34" s="13"/>
      <c r="S34" s="13" t="s">
        <v>91</v>
      </c>
      <c r="T34" s="40" t="str">
        <f t="shared" si="2"/>
        <v/>
      </c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</row>
    <row r="35">
      <c r="A35" s="41">
        <v>33.0</v>
      </c>
      <c r="B35" s="41" t="str">
        <f t="shared" si="1"/>
        <v>#N/A</v>
      </c>
      <c r="C35" s="49"/>
      <c r="D35" s="49"/>
      <c r="E35" s="45"/>
      <c r="F35" s="44"/>
      <c r="G35" s="45"/>
      <c r="H35" s="49"/>
      <c r="I35" s="49"/>
      <c r="J35" s="49"/>
      <c r="K35" s="13"/>
      <c r="L35" s="13"/>
      <c r="M35" s="13"/>
      <c r="N35" s="13"/>
      <c r="O35" s="13"/>
      <c r="P35" s="13"/>
      <c r="Q35" s="13"/>
      <c r="R35" s="13"/>
      <c r="S35" s="13" t="s">
        <v>96</v>
      </c>
      <c r="T35" s="40" t="str">
        <f t="shared" si="2"/>
        <v/>
      </c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</row>
    <row r="36">
      <c r="A36" s="41">
        <v>34.0</v>
      </c>
      <c r="B36" s="41" t="str">
        <f t="shared" si="1"/>
        <v>#N/A</v>
      </c>
      <c r="C36" s="49"/>
      <c r="D36" s="49"/>
      <c r="E36" s="45"/>
      <c r="F36" s="44"/>
      <c r="G36" s="45"/>
      <c r="H36" s="49"/>
      <c r="I36" s="49"/>
      <c r="J36" s="49"/>
      <c r="K36" s="13"/>
      <c r="L36" s="13"/>
      <c r="M36" s="13"/>
      <c r="N36" s="13"/>
      <c r="O36" s="13"/>
      <c r="P36" s="13"/>
      <c r="Q36" s="13"/>
      <c r="R36" s="13"/>
      <c r="S36" s="13" t="s">
        <v>31</v>
      </c>
      <c r="T36" s="40" t="str">
        <f t="shared" ref="T36:T48" si="3">X2</f>
        <v/>
      </c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</row>
    <row r="37">
      <c r="A37" s="41">
        <v>35.0</v>
      </c>
      <c r="B37" s="41" t="str">
        <f t="shared" si="1"/>
        <v>#N/A</v>
      </c>
      <c r="C37" s="49"/>
      <c r="D37" s="49"/>
      <c r="E37" s="45"/>
      <c r="F37" s="44"/>
      <c r="G37" s="45"/>
      <c r="H37" s="49"/>
      <c r="I37" s="49"/>
      <c r="J37" s="49"/>
      <c r="K37" s="13"/>
      <c r="L37" s="13"/>
      <c r="M37" s="13"/>
      <c r="N37" s="13"/>
      <c r="O37" s="13"/>
      <c r="P37" s="13"/>
      <c r="Q37" s="13"/>
      <c r="R37" s="13"/>
      <c r="S37" s="13" t="s">
        <v>39</v>
      </c>
      <c r="T37" s="40" t="str">
        <f t="shared" si="3"/>
        <v/>
      </c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</row>
    <row r="38">
      <c r="A38" s="41">
        <v>36.0</v>
      </c>
      <c r="B38" s="41" t="str">
        <f t="shared" si="1"/>
        <v>#N/A</v>
      </c>
      <c r="C38" s="49"/>
      <c r="D38" s="49"/>
      <c r="E38" s="45"/>
      <c r="F38" s="44"/>
      <c r="G38" s="45"/>
      <c r="H38" s="49"/>
      <c r="I38" s="49"/>
      <c r="J38" s="49"/>
      <c r="K38" s="13"/>
      <c r="L38" s="13"/>
      <c r="M38" s="13"/>
      <c r="N38" s="13"/>
      <c r="O38" s="13"/>
      <c r="P38" s="13"/>
      <c r="Q38" s="13"/>
      <c r="R38" s="13"/>
      <c r="S38" s="13" t="s">
        <v>45</v>
      </c>
      <c r="T38" s="40" t="str">
        <f t="shared" si="3"/>
        <v/>
      </c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</row>
    <row r="39">
      <c r="A39" s="41">
        <v>37.0</v>
      </c>
      <c r="B39" s="41" t="str">
        <f t="shared" si="1"/>
        <v>#N/A</v>
      </c>
      <c r="C39" s="49"/>
      <c r="D39" s="49"/>
      <c r="E39" s="45"/>
      <c r="F39" s="44"/>
      <c r="G39" s="45"/>
      <c r="H39" s="49"/>
      <c r="I39" s="49"/>
      <c r="J39" s="49"/>
      <c r="K39" s="13"/>
      <c r="L39" s="13"/>
      <c r="M39" s="13"/>
      <c r="N39" s="13"/>
      <c r="O39" s="13"/>
      <c r="P39" s="13"/>
      <c r="Q39" s="13"/>
      <c r="R39" s="13"/>
      <c r="S39" s="13" t="s">
        <v>49</v>
      </c>
      <c r="T39" s="40" t="str">
        <f t="shared" si="3"/>
        <v/>
      </c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</row>
    <row r="40">
      <c r="A40" s="41">
        <v>38.0</v>
      </c>
      <c r="B40" s="41" t="str">
        <f t="shared" si="1"/>
        <v>#N/A</v>
      </c>
      <c r="C40" s="49"/>
      <c r="D40" s="49"/>
      <c r="E40" s="45"/>
      <c r="F40" s="44"/>
      <c r="G40" s="45"/>
      <c r="H40" s="49"/>
      <c r="I40" s="49"/>
      <c r="J40" s="49"/>
      <c r="K40" s="13"/>
      <c r="L40" s="13"/>
      <c r="M40" s="13"/>
      <c r="N40" s="13"/>
      <c r="O40" s="13"/>
      <c r="P40" s="13"/>
      <c r="Q40" s="13"/>
      <c r="R40" s="13"/>
      <c r="S40" s="13" t="s">
        <v>55</v>
      </c>
      <c r="T40" s="40" t="str">
        <f t="shared" si="3"/>
        <v/>
      </c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</row>
    <row r="41">
      <c r="A41" s="41">
        <v>39.0</v>
      </c>
      <c r="B41" s="41" t="str">
        <f t="shared" si="1"/>
        <v>#N/A</v>
      </c>
      <c r="C41" s="49"/>
      <c r="D41" s="49"/>
      <c r="E41" s="45"/>
      <c r="F41" s="44"/>
      <c r="G41" s="45"/>
      <c r="H41" s="49"/>
      <c r="I41" s="49"/>
      <c r="J41" s="49"/>
      <c r="K41" s="10"/>
      <c r="L41" s="13"/>
      <c r="M41" s="13"/>
      <c r="N41" s="13"/>
      <c r="O41" s="13"/>
      <c r="P41" s="13"/>
      <c r="Q41" s="13"/>
      <c r="R41" s="13"/>
      <c r="S41" s="13" t="s">
        <v>61</v>
      </c>
      <c r="T41" s="40" t="str">
        <f t="shared" si="3"/>
        <v/>
      </c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</row>
    <row r="42">
      <c r="A42" s="41">
        <v>40.0</v>
      </c>
      <c r="B42" s="41" t="str">
        <f t="shared" si="1"/>
        <v>#N/A</v>
      </c>
      <c r="C42" s="49"/>
      <c r="D42" s="49"/>
      <c r="E42" s="45"/>
      <c r="F42" s="44"/>
      <c r="G42" s="45"/>
      <c r="H42" s="49"/>
      <c r="I42" s="49"/>
      <c r="J42" s="49"/>
      <c r="K42" s="10"/>
      <c r="L42" s="13"/>
      <c r="M42" s="13"/>
      <c r="N42" s="13"/>
      <c r="O42" s="13"/>
      <c r="P42" s="13"/>
      <c r="Q42" s="13"/>
      <c r="R42" s="13"/>
      <c r="S42" s="13" t="s">
        <v>66</v>
      </c>
      <c r="T42" s="40" t="str">
        <f t="shared" si="3"/>
        <v/>
      </c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</row>
    <row r="43">
      <c r="A43" s="41">
        <v>41.0</v>
      </c>
      <c r="B43" s="41" t="str">
        <f t="shared" si="1"/>
        <v>#N/A</v>
      </c>
      <c r="C43" s="49"/>
      <c r="D43" s="49"/>
      <c r="E43" s="45"/>
      <c r="F43" s="44"/>
      <c r="G43" s="45"/>
      <c r="H43" s="49"/>
      <c r="I43" s="49"/>
      <c r="J43" s="49"/>
      <c r="K43" s="10"/>
      <c r="L43" s="13"/>
      <c r="M43" s="13"/>
      <c r="N43" s="13"/>
      <c r="O43" s="13"/>
      <c r="P43" s="13"/>
      <c r="Q43" s="13"/>
      <c r="R43" s="13"/>
      <c r="S43" s="13" t="s">
        <v>72</v>
      </c>
      <c r="T43" s="40" t="str">
        <f t="shared" si="3"/>
        <v/>
      </c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</row>
    <row r="44">
      <c r="A44" s="41">
        <v>42.0</v>
      </c>
      <c r="B44" s="41" t="str">
        <f t="shared" si="1"/>
        <v>#N/A</v>
      </c>
      <c r="C44" s="49"/>
      <c r="D44" s="49"/>
      <c r="E44" s="45"/>
      <c r="F44" s="44"/>
      <c r="G44" s="45"/>
      <c r="H44" s="49"/>
      <c r="I44" s="49"/>
      <c r="J44" s="49"/>
      <c r="K44" s="10"/>
      <c r="L44" s="13"/>
      <c r="M44" s="13"/>
      <c r="N44" s="13"/>
      <c r="O44" s="13"/>
      <c r="P44" s="13"/>
      <c r="Q44" s="13"/>
      <c r="R44" s="13"/>
      <c r="S44" s="13" t="s">
        <v>77</v>
      </c>
      <c r="T44" s="40" t="str">
        <f t="shared" si="3"/>
        <v/>
      </c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</row>
    <row r="45">
      <c r="A45" s="41">
        <v>43.0</v>
      </c>
      <c r="B45" s="41" t="str">
        <f t="shared" si="1"/>
        <v>#N/A</v>
      </c>
      <c r="C45" s="49"/>
      <c r="D45" s="49"/>
      <c r="E45" s="45"/>
      <c r="F45" s="44"/>
      <c r="G45" s="45"/>
      <c r="H45" s="49"/>
      <c r="I45" s="49"/>
      <c r="J45" s="49"/>
      <c r="K45" s="10"/>
      <c r="L45" s="13"/>
      <c r="M45" s="13"/>
      <c r="N45" s="13"/>
      <c r="O45" s="13"/>
      <c r="P45" s="13"/>
      <c r="Q45" s="13"/>
      <c r="R45" s="13"/>
      <c r="S45" s="13" t="s">
        <v>82</v>
      </c>
      <c r="T45" s="40" t="str">
        <f t="shared" si="3"/>
        <v/>
      </c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</row>
    <row r="46">
      <c r="A46" s="41">
        <v>44.0</v>
      </c>
      <c r="B46" s="41" t="str">
        <f t="shared" si="1"/>
        <v>#N/A</v>
      </c>
      <c r="C46" s="49"/>
      <c r="D46" s="49"/>
      <c r="E46" s="45"/>
      <c r="F46" s="44"/>
      <c r="G46" s="45"/>
      <c r="H46" s="49"/>
      <c r="I46" s="49"/>
      <c r="J46" s="49"/>
      <c r="K46" s="10"/>
      <c r="L46" s="13"/>
      <c r="M46" s="13"/>
      <c r="N46" s="13"/>
      <c r="O46" s="13"/>
      <c r="P46" s="13"/>
      <c r="Q46" s="13"/>
      <c r="R46" s="13"/>
      <c r="S46" s="13" t="s">
        <v>88</v>
      </c>
      <c r="T46" s="40" t="str">
        <f t="shared" si="3"/>
        <v/>
      </c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</row>
    <row r="47">
      <c r="A47" s="41">
        <v>45.0</v>
      </c>
      <c r="B47" s="41" t="str">
        <f t="shared" si="1"/>
        <v>#N/A</v>
      </c>
      <c r="C47" s="49"/>
      <c r="D47" s="49"/>
      <c r="E47" s="45"/>
      <c r="F47" s="44"/>
      <c r="G47" s="45"/>
      <c r="H47" s="49"/>
      <c r="I47" s="49"/>
      <c r="J47" s="49"/>
      <c r="K47" s="10"/>
      <c r="L47" s="13"/>
      <c r="M47" s="13"/>
      <c r="N47" s="13"/>
      <c r="O47" s="13"/>
      <c r="P47" s="13"/>
      <c r="Q47" s="13"/>
      <c r="R47" s="13"/>
      <c r="S47" s="13" t="s">
        <v>92</v>
      </c>
      <c r="T47" s="40" t="str">
        <f t="shared" si="3"/>
        <v/>
      </c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</row>
    <row r="48">
      <c r="A48" s="41">
        <v>46.0</v>
      </c>
      <c r="B48" s="41" t="str">
        <f t="shared" si="1"/>
        <v>#N/A</v>
      </c>
      <c r="C48" s="49"/>
      <c r="D48" s="49"/>
      <c r="E48" s="45"/>
      <c r="F48" s="44"/>
      <c r="G48" s="45"/>
      <c r="H48" s="49"/>
      <c r="I48" s="49"/>
      <c r="J48" s="49"/>
      <c r="K48" s="10"/>
      <c r="L48" s="13"/>
      <c r="M48" s="13"/>
      <c r="N48" s="13"/>
      <c r="O48" s="13"/>
      <c r="P48" s="13"/>
      <c r="Q48" s="13"/>
      <c r="R48" s="13"/>
      <c r="S48" s="13" t="s">
        <v>97</v>
      </c>
      <c r="T48" s="40" t="str">
        <f t="shared" si="3"/>
        <v/>
      </c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</row>
    <row r="49">
      <c r="A49" s="41">
        <v>47.0</v>
      </c>
      <c r="B49" s="41" t="str">
        <f t="shared" si="1"/>
        <v>#N/A</v>
      </c>
      <c r="C49" s="49"/>
      <c r="D49" s="49"/>
      <c r="E49" s="45"/>
      <c r="F49" s="44"/>
      <c r="G49" s="45"/>
      <c r="H49" s="49"/>
      <c r="I49" s="49"/>
      <c r="J49" s="49"/>
      <c r="K49" s="10"/>
      <c r="L49" s="13"/>
      <c r="M49" s="13"/>
      <c r="N49" s="13"/>
      <c r="O49" s="13"/>
      <c r="P49" s="13"/>
      <c r="Q49" s="13"/>
      <c r="R49" s="13"/>
      <c r="S49" s="13" t="s">
        <v>42</v>
      </c>
      <c r="T49" s="40" t="str">
        <f t="shared" ref="T49:T61" si="4">AA2</f>
        <v/>
      </c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</row>
    <row r="50">
      <c r="A50" s="41">
        <v>48.0</v>
      </c>
      <c r="B50" s="41" t="str">
        <f t="shared" si="1"/>
        <v>#N/A</v>
      </c>
      <c r="C50" s="49"/>
      <c r="D50" s="49"/>
      <c r="E50" s="45"/>
      <c r="F50" s="44"/>
      <c r="G50" s="45"/>
      <c r="H50" s="49"/>
      <c r="I50" s="49"/>
      <c r="J50" s="49"/>
      <c r="K50" s="10"/>
      <c r="L50" s="13"/>
      <c r="M50" s="13"/>
      <c r="N50" s="13"/>
      <c r="O50" s="13"/>
      <c r="P50" s="13"/>
      <c r="Q50" s="13"/>
      <c r="R50" s="13"/>
      <c r="S50" s="13" t="s">
        <v>52</v>
      </c>
      <c r="T50" s="40" t="str">
        <f t="shared" si="4"/>
        <v/>
      </c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</row>
    <row r="51">
      <c r="A51" s="41">
        <v>49.0</v>
      </c>
      <c r="B51" s="41" t="str">
        <f t="shared" si="1"/>
        <v>#N/A</v>
      </c>
      <c r="C51" s="49"/>
      <c r="D51" s="49"/>
      <c r="E51" s="45"/>
      <c r="F51" s="44"/>
      <c r="G51" s="45"/>
      <c r="H51" s="49"/>
      <c r="I51" s="49"/>
      <c r="J51" s="49"/>
      <c r="K51" s="10"/>
      <c r="L51" s="13"/>
      <c r="M51" s="13"/>
      <c r="N51" s="13"/>
      <c r="O51" s="13"/>
      <c r="P51" s="13"/>
      <c r="Q51" s="13"/>
      <c r="R51" s="13"/>
      <c r="S51" s="13" t="s">
        <v>32</v>
      </c>
      <c r="T51" s="40" t="str">
        <f t="shared" si="4"/>
        <v/>
      </c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</row>
    <row r="52">
      <c r="A52" s="41">
        <v>50.0</v>
      </c>
      <c r="B52" s="41" t="str">
        <f t="shared" si="1"/>
        <v>#N/A</v>
      </c>
      <c r="C52" s="49"/>
      <c r="D52" s="49"/>
      <c r="E52" s="45"/>
      <c r="F52" s="44"/>
      <c r="G52" s="45"/>
      <c r="H52" s="49"/>
      <c r="I52" s="49"/>
      <c r="J52" s="49"/>
      <c r="K52" s="10"/>
      <c r="L52" s="13"/>
      <c r="M52" s="13"/>
      <c r="N52" s="13"/>
      <c r="O52" s="13"/>
      <c r="P52" s="13"/>
      <c r="Q52" s="13"/>
      <c r="R52" s="13"/>
      <c r="S52" s="13" t="s">
        <v>40</v>
      </c>
      <c r="T52" s="40" t="str">
        <f t="shared" si="4"/>
        <v/>
      </c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</row>
    <row r="53">
      <c r="A53" s="41">
        <v>51.0</v>
      </c>
      <c r="B53" s="41" t="str">
        <f t="shared" si="1"/>
        <v>#N/A</v>
      </c>
      <c r="C53" s="49"/>
      <c r="D53" s="49"/>
      <c r="E53" s="45"/>
      <c r="F53" s="44"/>
      <c r="G53" s="45"/>
      <c r="H53" s="49"/>
      <c r="I53" s="49"/>
      <c r="J53" s="49"/>
      <c r="K53" s="10"/>
      <c r="L53" s="13"/>
      <c r="M53" s="13"/>
      <c r="N53" s="13"/>
      <c r="O53" s="13"/>
      <c r="P53" s="13"/>
      <c r="Q53" s="13"/>
      <c r="R53" s="13"/>
      <c r="S53" s="13" t="s">
        <v>46</v>
      </c>
      <c r="T53" s="40" t="str">
        <f t="shared" si="4"/>
        <v/>
      </c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</row>
    <row r="54">
      <c r="A54" s="41">
        <v>52.0</v>
      </c>
      <c r="B54" s="41" t="str">
        <f t="shared" si="1"/>
        <v>#N/A</v>
      </c>
      <c r="C54" s="49"/>
      <c r="D54" s="49"/>
      <c r="E54" s="45"/>
      <c r="F54" s="44"/>
      <c r="G54" s="45"/>
      <c r="H54" s="49"/>
      <c r="I54" s="49"/>
      <c r="J54" s="49"/>
      <c r="K54" s="13"/>
      <c r="L54" s="13"/>
      <c r="M54" s="13"/>
      <c r="N54" s="13"/>
      <c r="O54" s="13"/>
      <c r="P54" s="13"/>
      <c r="Q54" s="13"/>
      <c r="R54" s="13"/>
      <c r="S54" s="13" t="s">
        <v>50</v>
      </c>
      <c r="T54" s="40" t="str">
        <f t="shared" si="4"/>
        <v/>
      </c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</row>
    <row r="55">
      <c r="A55" s="41">
        <v>53.0</v>
      </c>
      <c r="B55" s="41" t="str">
        <f t="shared" si="1"/>
        <v>#N/A</v>
      </c>
      <c r="C55" s="49"/>
      <c r="D55" s="49"/>
      <c r="E55" s="45"/>
      <c r="F55" s="44"/>
      <c r="G55" s="45"/>
      <c r="H55" s="49"/>
      <c r="I55" s="49"/>
      <c r="J55" s="49"/>
      <c r="K55" s="13"/>
      <c r="L55" s="13"/>
      <c r="M55" s="13"/>
      <c r="N55" s="13"/>
      <c r="O55" s="13"/>
      <c r="P55" s="13"/>
      <c r="Q55" s="13"/>
      <c r="R55" s="13"/>
      <c r="S55" s="13" t="s">
        <v>56</v>
      </c>
      <c r="T55" s="40" t="str">
        <f t="shared" si="4"/>
        <v/>
      </c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</row>
    <row r="56">
      <c r="A56" s="41">
        <v>54.0</v>
      </c>
      <c r="B56" s="41" t="str">
        <f t="shared" si="1"/>
        <v>#N/A</v>
      </c>
      <c r="C56" s="49"/>
      <c r="D56" s="49"/>
      <c r="E56" s="45"/>
      <c r="F56" s="44"/>
      <c r="G56" s="45"/>
      <c r="H56" s="49"/>
      <c r="I56" s="49"/>
      <c r="J56" s="49"/>
      <c r="K56" s="13"/>
      <c r="L56" s="13"/>
      <c r="M56" s="13"/>
      <c r="N56" s="13"/>
      <c r="O56" s="13"/>
      <c r="P56" s="13"/>
      <c r="Q56" s="13"/>
      <c r="R56" s="13"/>
      <c r="S56" s="13" t="s">
        <v>62</v>
      </c>
      <c r="T56" s="40" t="str">
        <f t="shared" si="4"/>
        <v/>
      </c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</row>
    <row r="57">
      <c r="A57" s="41">
        <v>55.0</v>
      </c>
      <c r="B57" s="41" t="str">
        <f t="shared" si="1"/>
        <v>#N/A</v>
      </c>
      <c r="C57" s="49"/>
      <c r="D57" s="49"/>
      <c r="E57" s="45"/>
      <c r="F57" s="44"/>
      <c r="G57" s="45"/>
      <c r="H57" s="49"/>
      <c r="I57" s="49"/>
      <c r="J57" s="40"/>
      <c r="K57" s="13"/>
      <c r="L57" s="13"/>
      <c r="M57" s="13"/>
      <c r="N57" s="13"/>
      <c r="O57" s="13"/>
      <c r="P57" s="13"/>
      <c r="Q57" s="13"/>
      <c r="R57" s="13"/>
      <c r="S57" s="13" t="s">
        <v>67</v>
      </c>
      <c r="T57" s="40" t="str">
        <f t="shared" si="4"/>
        <v/>
      </c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</row>
    <row r="58">
      <c r="A58" s="41">
        <v>56.0</v>
      </c>
      <c r="B58" s="41" t="str">
        <f t="shared" si="1"/>
        <v>#N/A</v>
      </c>
      <c r="C58" s="49"/>
      <c r="D58" s="49"/>
      <c r="E58" s="45"/>
      <c r="F58" s="44"/>
      <c r="G58" s="45"/>
      <c r="H58" s="49"/>
      <c r="I58" s="49"/>
      <c r="J58" s="49"/>
      <c r="K58" s="13"/>
      <c r="L58" s="13"/>
      <c r="M58" s="13"/>
      <c r="N58" s="13"/>
      <c r="O58" s="13"/>
      <c r="P58" s="13"/>
      <c r="Q58" s="13"/>
      <c r="R58" s="13"/>
      <c r="S58" s="13" t="s">
        <v>85</v>
      </c>
      <c r="T58" s="40" t="str">
        <f t="shared" si="4"/>
        <v/>
      </c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</row>
    <row r="59">
      <c r="A59" s="41">
        <v>57.0</v>
      </c>
      <c r="B59" s="41" t="str">
        <f t="shared" si="1"/>
        <v>#N/A</v>
      </c>
      <c r="C59" s="49"/>
      <c r="D59" s="49"/>
      <c r="E59" s="45"/>
      <c r="F59" s="44"/>
      <c r="G59" s="45"/>
      <c r="H59" s="49"/>
      <c r="I59" s="49"/>
      <c r="J59" s="40"/>
      <c r="K59" s="13"/>
      <c r="L59" s="13"/>
      <c r="M59" s="13"/>
      <c r="N59" s="13"/>
      <c r="O59" s="13"/>
      <c r="P59" s="13"/>
      <c r="Q59" s="13"/>
      <c r="R59" s="13"/>
      <c r="S59" s="13" t="s">
        <v>83</v>
      </c>
      <c r="T59" s="40" t="str">
        <f t="shared" si="4"/>
        <v/>
      </c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</row>
    <row r="60">
      <c r="A60" s="41">
        <v>58.0</v>
      </c>
      <c r="B60" s="41" t="str">
        <f t="shared" si="1"/>
        <v>#N/A</v>
      </c>
      <c r="C60" s="49"/>
      <c r="D60" s="49"/>
      <c r="E60" s="45"/>
      <c r="F60" s="44"/>
      <c r="G60" s="45"/>
      <c r="H60" s="49"/>
      <c r="I60" s="49"/>
      <c r="J60" s="40"/>
      <c r="K60" s="13"/>
      <c r="L60" s="13"/>
      <c r="M60" s="13"/>
      <c r="N60" s="13"/>
      <c r="O60" s="13"/>
      <c r="P60" s="13"/>
      <c r="Q60" s="13"/>
      <c r="R60" s="13"/>
      <c r="S60" s="13" t="s">
        <v>89</v>
      </c>
      <c r="T60" s="40" t="str">
        <f t="shared" si="4"/>
        <v/>
      </c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</row>
    <row r="61">
      <c r="A61" s="41">
        <v>59.0</v>
      </c>
      <c r="B61" s="41" t="str">
        <f t="shared" si="1"/>
        <v>#N/A</v>
      </c>
      <c r="C61" s="49"/>
      <c r="D61" s="49"/>
      <c r="E61" s="45"/>
      <c r="F61" s="44"/>
      <c r="G61" s="45"/>
      <c r="H61" s="49"/>
      <c r="I61" s="49"/>
      <c r="J61" s="40"/>
      <c r="K61" s="13"/>
      <c r="L61" s="13"/>
      <c r="M61" s="13"/>
      <c r="N61" s="13"/>
      <c r="O61" s="13"/>
      <c r="P61" s="13"/>
      <c r="Q61" s="13"/>
      <c r="R61" s="13"/>
      <c r="S61" s="13" t="s">
        <v>98</v>
      </c>
      <c r="T61" s="40" t="str">
        <f t="shared" si="4"/>
        <v/>
      </c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</row>
    <row r="62">
      <c r="A62" s="41">
        <v>60.0</v>
      </c>
      <c r="B62" s="41" t="str">
        <f t="shared" si="1"/>
        <v>#N/A</v>
      </c>
      <c r="C62" s="49"/>
      <c r="D62" s="49"/>
      <c r="E62" s="45"/>
      <c r="F62" s="44"/>
      <c r="G62" s="45"/>
      <c r="H62" s="49"/>
      <c r="I62" s="49"/>
      <c r="J62" s="49"/>
      <c r="K62" s="13"/>
      <c r="L62" s="13"/>
      <c r="M62" s="13"/>
      <c r="N62" s="13"/>
      <c r="O62" s="13"/>
      <c r="P62" s="13"/>
      <c r="Q62" s="13"/>
      <c r="R62" s="13"/>
      <c r="S62" s="13" t="s">
        <v>33</v>
      </c>
      <c r="T62" s="40" t="str">
        <f t="shared" ref="T62:T74" si="5">AD2</f>
        <v/>
      </c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</row>
    <row r="63">
      <c r="A63" s="41">
        <v>61.0</v>
      </c>
      <c r="B63" s="41" t="str">
        <f t="shared" si="1"/>
        <v>#N/A</v>
      </c>
      <c r="C63" s="49"/>
      <c r="D63" s="49"/>
      <c r="E63" s="45"/>
      <c r="F63" s="44"/>
      <c r="G63" s="45"/>
      <c r="H63" s="49"/>
      <c r="I63" s="49"/>
      <c r="J63" s="40"/>
      <c r="K63" s="13"/>
      <c r="L63" s="13"/>
      <c r="M63" s="13"/>
      <c r="N63" s="13"/>
      <c r="O63" s="13"/>
      <c r="P63" s="13"/>
      <c r="Q63" s="13"/>
      <c r="R63" s="13"/>
      <c r="S63" s="13" t="s">
        <v>41</v>
      </c>
      <c r="T63" s="40" t="str">
        <f t="shared" si="5"/>
        <v/>
      </c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</row>
    <row r="64">
      <c r="A64" s="41">
        <v>62.0</v>
      </c>
      <c r="B64" s="41" t="str">
        <f t="shared" si="1"/>
        <v>#N/A</v>
      </c>
      <c r="C64" s="49"/>
      <c r="D64" s="49"/>
      <c r="E64" s="45"/>
      <c r="F64" s="44"/>
      <c r="G64" s="45"/>
      <c r="H64" s="49"/>
      <c r="I64" s="49"/>
      <c r="J64" s="40"/>
      <c r="K64" s="13"/>
      <c r="L64" s="13"/>
      <c r="M64" s="13"/>
      <c r="N64" s="13"/>
      <c r="O64" s="13"/>
      <c r="P64" s="13"/>
      <c r="Q64" s="13"/>
      <c r="R64" s="13"/>
      <c r="S64" s="13" t="s">
        <v>47</v>
      </c>
      <c r="T64" s="40" t="str">
        <f t="shared" si="5"/>
        <v/>
      </c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</row>
    <row r="65">
      <c r="A65" s="41">
        <v>63.0</v>
      </c>
      <c r="B65" s="41" t="str">
        <f t="shared" si="1"/>
        <v>#N/A</v>
      </c>
      <c r="C65" s="49"/>
      <c r="D65" s="49"/>
      <c r="E65" s="45"/>
      <c r="F65" s="44"/>
      <c r="G65" s="45"/>
      <c r="H65" s="49"/>
      <c r="I65" s="49"/>
      <c r="J65" s="49"/>
      <c r="K65" s="13"/>
      <c r="L65" s="13"/>
      <c r="M65" s="13"/>
      <c r="N65" s="13"/>
      <c r="O65" s="13"/>
      <c r="P65" s="13"/>
      <c r="Q65" s="13"/>
      <c r="R65" s="13"/>
      <c r="S65" s="13" t="s">
        <v>51</v>
      </c>
      <c r="T65" s="40" t="str">
        <f t="shared" si="5"/>
        <v/>
      </c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</row>
    <row r="66">
      <c r="A66" s="41">
        <v>64.0</v>
      </c>
      <c r="B66" s="41" t="str">
        <f t="shared" si="1"/>
        <v>#N/A</v>
      </c>
      <c r="C66" s="49"/>
      <c r="D66" s="49"/>
      <c r="E66" s="45"/>
      <c r="F66" s="44"/>
      <c r="G66" s="45"/>
      <c r="H66" s="49"/>
      <c r="I66" s="49"/>
      <c r="J66" s="49"/>
      <c r="K66" s="13"/>
      <c r="L66" s="13"/>
      <c r="M66" s="13"/>
      <c r="N66" s="13"/>
      <c r="O66" s="13"/>
      <c r="P66" s="13"/>
      <c r="Q66" s="13"/>
      <c r="R66" s="13"/>
      <c r="S66" s="13" t="s">
        <v>57</v>
      </c>
      <c r="T66" s="40" t="str">
        <f t="shared" si="5"/>
        <v/>
      </c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</row>
    <row r="67">
      <c r="A67" s="41">
        <v>65.0</v>
      </c>
      <c r="B67" s="41" t="str">
        <f t="shared" si="1"/>
        <v>#N/A</v>
      </c>
      <c r="C67" s="49"/>
      <c r="D67" s="49"/>
      <c r="E67" s="45"/>
      <c r="F67" s="44"/>
      <c r="G67" s="45"/>
      <c r="H67" s="49"/>
      <c r="I67" s="49"/>
      <c r="J67" s="40"/>
      <c r="K67" s="13"/>
      <c r="L67" s="13"/>
      <c r="M67" s="13"/>
      <c r="N67" s="13"/>
      <c r="O67" s="13"/>
      <c r="P67" s="13"/>
      <c r="Q67" s="13"/>
      <c r="R67" s="13"/>
      <c r="S67" s="13" t="s">
        <v>63</v>
      </c>
      <c r="T67" s="40" t="str">
        <f t="shared" si="5"/>
        <v/>
      </c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</row>
    <row r="68">
      <c r="A68" s="41">
        <v>66.0</v>
      </c>
      <c r="B68" s="41" t="str">
        <f t="shared" si="1"/>
        <v>#N/A</v>
      </c>
      <c r="C68" s="49"/>
      <c r="D68" s="49"/>
      <c r="E68" s="45"/>
      <c r="F68" s="44"/>
      <c r="G68" s="45"/>
      <c r="H68" s="49"/>
      <c r="I68" s="49"/>
      <c r="J68" s="40"/>
      <c r="K68" s="13"/>
      <c r="L68" s="13"/>
      <c r="M68" s="13"/>
      <c r="N68" s="13"/>
      <c r="O68" s="13"/>
      <c r="P68" s="13"/>
      <c r="Q68" s="13"/>
      <c r="R68" s="13"/>
      <c r="S68" s="13" t="s">
        <v>68</v>
      </c>
      <c r="T68" s="40" t="str">
        <f t="shared" si="5"/>
        <v/>
      </c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</row>
    <row r="69">
      <c r="A69" s="41">
        <v>67.0</v>
      </c>
      <c r="B69" s="41" t="str">
        <f t="shared" si="1"/>
        <v>#N/A</v>
      </c>
      <c r="C69" s="49"/>
      <c r="D69" s="49"/>
      <c r="E69" s="45"/>
      <c r="F69" s="44"/>
      <c r="G69" s="45"/>
      <c r="H69" s="49"/>
      <c r="I69" s="49"/>
      <c r="J69" s="40"/>
      <c r="K69" s="13"/>
      <c r="L69" s="13"/>
      <c r="M69" s="13"/>
      <c r="N69" s="13"/>
      <c r="O69" s="13"/>
      <c r="P69" s="13"/>
      <c r="Q69" s="13"/>
      <c r="R69" s="13"/>
      <c r="S69" s="13" t="s">
        <v>74</v>
      </c>
      <c r="T69" s="40" t="str">
        <f t="shared" si="5"/>
        <v/>
      </c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</row>
    <row r="70">
      <c r="A70" s="41">
        <v>68.0</v>
      </c>
      <c r="B70" s="41" t="str">
        <f t="shared" si="1"/>
        <v>#N/A</v>
      </c>
      <c r="C70" s="49"/>
      <c r="D70" s="49"/>
      <c r="E70" s="45"/>
      <c r="F70" s="44"/>
      <c r="G70" s="45"/>
      <c r="H70" s="49"/>
      <c r="I70" s="49"/>
      <c r="J70" s="40"/>
      <c r="K70" s="13"/>
      <c r="L70" s="13"/>
      <c r="M70" s="13"/>
      <c r="N70" s="13"/>
      <c r="O70" s="13"/>
      <c r="P70" s="13"/>
      <c r="Q70" s="13"/>
      <c r="R70" s="13"/>
      <c r="S70" s="13" t="s">
        <v>78</v>
      </c>
      <c r="T70" s="40" t="str">
        <f t="shared" si="5"/>
        <v/>
      </c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</row>
    <row r="71">
      <c r="A71" s="41">
        <v>69.0</v>
      </c>
      <c r="B71" s="41" t="str">
        <f t="shared" si="1"/>
        <v>#N/A</v>
      </c>
      <c r="C71" s="49"/>
      <c r="D71" s="49"/>
      <c r="E71" s="45"/>
      <c r="F71" s="44"/>
      <c r="G71" s="45"/>
      <c r="H71" s="49"/>
      <c r="I71" s="49"/>
      <c r="J71" s="40"/>
      <c r="K71" s="13"/>
      <c r="L71" s="13"/>
      <c r="M71" s="13"/>
      <c r="N71" s="13"/>
      <c r="O71" s="13"/>
      <c r="P71" s="13"/>
      <c r="Q71" s="13"/>
      <c r="R71" s="13"/>
      <c r="S71" s="13" t="s">
        <v>84</v>
      </c>
      <c r="T71" s="40" t="str">
        <f t="shared" si="5"/>
        <v/>
      </c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</row>
    <row r="72">
      <c r="A72" s="41">
        <v>70.0</v>
      </c>
      <c r="B72" s="41" t="str">
        <f t="shared" si="1"/>
        <v>#N/A</v>
      </c>
      <c r="C72" s="49"/>
      <c r="D72" s="49"/>
      <c r="E72" s="45"/>
      <c r="F72" s="44"/>
      <c r="G72" s="45"/>
      <c r="H72" s="49"/>
      <c r="I72" s="49"/>
      <c r="J72" s="40"/>
      <c r="K72" s="13"/>
      <c r="L72" s="13"/>
      <c r="M72" s="13"/>
      <c r="N72" s="13"/>
      <c r="O72" s="13"/>
      <c r="P72" s="13"/>
      <c r="Q72" s="13"/>
      <c r="R72" s="13"/>
      <c r="S72" s="13" t="s">
        <v>90</v>
      </c>
      <c r="T72" s="40" t="str">
        <f t="shared" si="5"/>
        <v/>
      </c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</row>
    <row r="73">
      <c r="A73" s="41">
        <v>71.0</v>
      </c>
      <c r="B73" s="41" t="str">
        <f t="shared" si="1"/>
        <v>#N/A</v>
      </c>
      <c r="C73" s="49"/>
      <c r="D73" s="49"/>
      <c r="E73" s="45"/>
      <c r="F73" s="44"/>
      <c r="G73" s="45"/>
      <c r="H73" s="49"/>
      <c r="I73" s="49"/>
      <c r="J73" s="40"/>
      <c r="K73" s="13"/>
      <c r="L73" s="13"/>
      <c r="M73" s="13"/>
      <c r="N73" s="13"/>
      <c r="O73" s="13"/>
      <c r="P73" s="13"/>
      <c r="Q73" s="13"/>
      <c r="R73" s="13"/>
      <c r="S73" s="13" t="s">
        <v>95</v>
      </c>
      <c r="T73" s="40" t="str">
        <f t="shared" si="5"/>
        <v/>
      </c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</row>
    <row r="74">
      <c r="A74" s="41">
        <v>72.0</v>
      </c>
      <c r="B74" s="41" t="str">
        <f t="shared" si="1"/>
        <v>#N/A</v>
      </c>
      <c r="C74" s="49"/>
      <c r="D74" s="49"/>
      <c r="E74" s="45"/>
      <c r="F74" s="44"/>
      <c r="G74" s="45"/>
      <c r="H74" s="49"/>
      <c r="I74" s="49"/>
      <c r="J74" s="40"/>
      <c r="K74" s="13"/>
      <c r="L74" s="13"/>
      <c r="M74" s="13"/>
      <c r="N74" s="13"/>
      <c r="O74" s="13"/>
      <c r="P74" s="13"/>
      <c r="Q74" s="13"/>
      <c r="R74" s="13"/>
      <c r="S74" s="13" t="s">
        <v>99</v>
      </c>
      <c r="T74" s="40" t="str">
        <f t="shared" si="5"/>
        <v/>
      </c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</row>
    <row r="75">
      <c r="A75" s="41">
        <v>73.0</v>
      </c>
      <c r="B75" s="41" t="str">
        <f t="shared" si="1"/>
        <v>#N/A</v>
      </c>
      <c r="C75" s="49"/>
      <c r="D75" s="49"/>
      <c r="E75" s="45"/>
      <c r="F75" s="44"/>
      <c r="G75" s="45"/>
      <c r="H75" s="49"/>
      <c r="I75" s="49"/>
      <c r="J75" s="40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</row>
    <row r="76">
      <c r="A76" s="41">
        <v>74.0</v>
      </c>
      <c r="B76" s="41" t="str">
        <f t="shared" si="1"/>
        <v>#N/A</v>
      </c>
      <c r="C76" s="49"/>
      <c r="D76" s="49"/>
      <c r="E76" s="45"/>
      <c r="F76" s="44"/>
      <c r="G76" s="45"/>
      <c r="H76" s="49"/>
      <c r="I76" s="49"/>
      <c r="J76" s="40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</row>
    <row r="77">
      <c r="A77" s="41">
        <v>75.0</v>
      </c>
      <c r="B77" s="41" t="str">
        <f t="shared" si="1"/>
        <v>#N/A</v>
      </c>
      <c r="C77" s="49"/>
      <c r="D77" s="49"/>
      <c r="E77" s="45"/>
      <c r="F77" s="44"/>
      <c r="G77" s="45"/>
      <c r="H77" s="49"/>
      <c r="I77" s="49"/>
      <c r="J77" s="40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</row>
    <row r="78">
      <c r="A78" s="41">
        <v>76.0</v>
      </c>
      <c r="B78" s="41" t="str">
        <f t="shared" si="1"/>
        <v>#N/A</v>
      </c>
      <c r="C78" s="49"/>
      <c r="D78" s="49"/>
      <c r="E78" s="45"/>
      <c r="F78" s="44"/>
      <c r="G78" s="45"/>
      <c r="H78" s="49"/>
      <c r="I78" s="49"/>
      <c r="J78" s="40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</row>
    <row r="79">
      <c r="A79" s="41">
        <v>77.0</v>
      </c>
      <c r="B79" s="41" t="str">
        <f t="shared" si="1"/>
        <v>#N/A</v>
      </c>
      <c r="C79" s="49"/>
      <c r="D79" s="49"/>
      <c r="E79" s="45"/>
      <c r="F79" s="44"/>
      <c r="G79" s="45"/>
      <c r="H79" s="49"/>
      <c r="I79" s="49"/>
      <c r="J79" s="49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</row>
    <row r="80">
      <c r="A80" s="41">
        <v>78.0</v>
      </c>
      <c r="B80" s="41" t="str">
        <f t="shared" si="1"/>
        <v>#N/A</v>
      </c>
      <c r="C80" s="49"/>
      <c r="D80" s="49"/>
      <c r="E80" s="45"/>
      <c r="F80" s="44"/>
      <c r="G80" s="45"/>
      <c r="H80" s="49"/>
      <c r="I80" s="49"/>
      <c r="J80" s="40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</row>
    <row r="81">
      <c r="A81" s="41">
        <v>79.0</v>
      </c>
      <c r="B81" s="41" t="str">
        <f t="shared" si="1"/>
        <v>#N/A</v>
      </c>
      <c r="C81" s="49"/>
      <c r="D81" s="49"/>
      <c r="E81" s="45"/>
      <c r="F81" s="44"/>
      <c r="G81" s="45"/>
      <c r="H81" s="49"/>
      <c r="I81" s="49"/>
      <c r="J81" s="40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</row>
    <row r="82">
      <c r="A82" s="41">
        <v>80.0</v>
      </c>
      <c r="B82" s="41" t="str">
        <f t="shared" si="1"/>
        <v>#N/A</v>
      </c>
      <c r="C82" s="49"/>
      <c r="D82" s="49"/>
      <c r="E82" s="45"/>
      <c r="F82" s="44"/>
      <c r="G82" s="45"/>
      <c r="H82" s="49"/>
      <c r="I82" s="49"/>
      <c r="J82" s="40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</row>
    <row r="83">
      <c r="A83" s="41">
        <v>81.0</v>
      </c>
      <c r="B83" s="41" t="str">
        <f t="shared" si="1"/>
        <v>#N/A</v>
      </c>
      <c r="C83" s="49"/>
      <c r="D83" s="49"/>
      <c r="E83" s="45"/>
      <c r="F83" s="44"/>
      <c r="G83" s="45"/>
      <c r="H83" s="49"/>
      <c r="I83" s="49"/>
      <c r="J83" s="40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</row>
    <row r="84">
      <c r="A84" s="41">
        <v>82.0</v>
      </c>
      <c r="B84" s="41" t="str">
        <f t="shared" si="1"/>
        <v>#N/A</v>
      </c>
      <c r="C84" s="49"/>
      <c r="D84" s="49"/>
      <c r="E84" s="45"/>
      <c r="F84" s="44"/>
      <c r="G84" s="45"/>
      <c r="H84" s="49"/>
      <c r="I84" s="49"/>
      <c r="J84" s="40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</row>
    <row r="85">
      <c r="A85" s="41">
        <v>83.0</v>
      </c>
      <c r="B85" s="41" t="str">
        <f t="shared" si="1"/>
        <v>#N/A</v>
      </c>
      <c r="C85" s="49"/>
      <c r="D85" s="49"/>
      <c r="E85" s="45"/>
      <c r="F85" s="44"/>
      <c r="G85" s="45"/>
      <c r="H85" s="49"/>
      <c r="I85" s="49"/>
      <c r="J85" s="49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</row>
    <row r="86">
      <c r="A86" s="41">
        <v>84.0</v>
      </c>
      <c r="B86" s="41" t="str">
        <f t="shared" si="1"/>
        <v>#N/A</v>
      </c>
      <c r="C86" s="49"/>
      <c r="D86" s="49"/>
      <c r="E86" s="45"/>
      <c r="F86" s="45"/>
      <c r="G86" s="45"/>
      <c r="H86" s="49"/>
      <c r="I86" s="49"/>
      <c r="J86" s="40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</row>
    <row r="87">
      <c r="A87" s="41">
        <v>85.0</v>
      </c>
      <c r="B87" s="41" t="str">
        <f t="shared" si="1"/>
        <v>#N/A</v>
      </c>
      <c r="C87" s="49"/>
      <c r="D87" s="49"/>
      <c r="E87" s="45"/>
      <c r="F87" s="44"/>
      <c r="G87" s="45"/>
      <c r="H87" s="49"/>
      <c r="I87" s="49"/>
      <c r="J87" s="40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</row>
    <row r="88">
      <c r="A88" s="41">
        <v>86.0</v>
      </c>
      <c r="B88" s="41" t="str">
        <f t="shared" si="1"/>
        <v>#N/A</v>
      </c>
      <c r="C88" s="49"/>
      <c r="D88" s="49"/>
      <c r="E88" s="45"/>
      <c r="F88" s="44"/>
      <c r="G88" s="45"/>
      <c r="H88" s="49"/>
      <c r="I88" s="49"/>
      <c r="J88" s="40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</row>
    <row r="89">
      <c r="A89" s="41">
        <v>87.0</v>
      </c>
      <c r="B89" s="41" t="str">
        <f t="shared" si="1"/>
        <v>#N/A</v>
      </c>
      <c r="C89" s="49"/>
      <c r="D89" s="49"/>
      <c r="E89" s="45"/>
      <c r="F89" s="44"/>
      <c r="G89" s="45"/>
      <c r="H89" s="49"/>
      <c r="I89" s="49"/>
      <c r="J89" s="40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</row>
    <row r="90">
      <c r="A90" s="41">
        <v>88.0</v>
      </c>
      <c r="B90" s="41" t="str">
        <f t="shared" si="1"/>
        <v>#N/A</v>
      </c>
      <c r="C90" s="49"/>
      <c r="D90" s="49"/>
      <c r="E90" s="45"/>
      <c r="F90" s="44"/>
      <c r="G90" s="45"/>
      <c r="H90" s="49"/>
      <c r="I90" s="49"/>
      <c r="J90" s="49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</row>
    <row r="91">
      <c r="A91" s="41">
        <v>89.0</v>
      </c>
      <c r="B91" s="41" t="str">
        <f t="shared" si="1"/>
        <v>#N/A</v>
      </c>
      <c r="C91" s="49"/>
      <c r="D91" s="49"/>
      <c r="E91" s="45"/>
      <c r="F91" s="44"/>
      <c r="G91" s="45"/>
      <c r="H91" s="49"/>
      <c r="I91" s="49"/>
      <c r="J91" s="40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</row>
    <row r="92">
      <c r="A92" s="41">
        <v>90.0</v>
      </c>
      <c r="B92" s="41" t="str">
        <f t="shared" si="1"/>
        <v>#N/A</v>
      </c>
      <c r="C92" s="49"/>
      <c r="D92" s="49"/>
      <c r="E92" s="45"/>
      <c r="F92" s="44"/>
      <c r="G92" s="45"/>
      <c r="H92" s="49"/>
      <c r="I92" s="49"/>
      <c r="J92" s="40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</row>
    <row r="93">
      <c r="A93" s="41">
        <v>91.0</v>
      </c>
      <c r="B93" s="41" t="str">
        <f t="shared" si="1"/>
        <v>#N/A</v>
      </c>
      <c r="C93" s="49"/>
      <c r="D93" s="49"/>
      <c r="E93" s="45"/>
      <c r="F93" s="44"/>
      <c r="G93" s="45"/>
      <c r="H93" s="49"/>
      <c r="I93" s="49"/>
      <c r="J93" s="40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</row>
    <row r="94">
      <c r="A94" s="41">
        <v>92.0</v>
      </c>
      <c r="B94" s="41" t="str">
        <f t="shared" si="1"/>
        <v>#N/A</v>
      </c>
      <c r="C94" s="49"/>
      <c r="D94" s="49"/>
      <c r="E94" s="45"/>
      <c r="F94" s="44"/>
      <c r="G94" s="45"/>
      <c r="H94" s="49"/>
      <c r="I94" s="49"/>
      <c r="J94" s="49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</row>
    <row r="95">
      <c r="A95" s="41">
        <v>93.0</v>
      </c>
      <c r="B95" s="41" t="str">
        <f t="shared" si="1"/>
        <v>#N/A</v>
      </c>
      <c r="C95" s="49"/>
      <c r="D95" s="49"/>
      <c r="E95" s="45"/>
      <c r="F95" s="44"/>
      <c r="G95" s="45"/>
      <c r="H95" s="49"/>
      <c r="I95" s="49"/>
      <c r="J95" s="40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</row>
    <row r="96">
      <c r="A96" s="41">
        <v>94.0</v>
      </c>
      <c r="B96" s="41" t="str">
        <f t="shared" si="1"/>
        <v>#N/A</v>
      </c>
      <c r="C96" s="49"/>
      <c r="D96" s="49"/>
      <c r="E96" s="45"/>
      <c r="F96" s="44"/>
      <c r="G96" s="45"/>
      <c r="H96" s="49"/>
      <c r="I96" s="49"/>
      <c r="J96" s="40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</row>
    <row r="97">
      <c r="A97" s="41">
        <v>95.0</v>
      </c>
      <c r="B97" s="41" t="str">
        <f t="shared" si="1"/>
        <v>#N/A</v>
      </c>
      <c r="C97" s="49"/>
      <c r="D97" s="49"/>
      <c r="E97" s="45"/>
      <c r="F97" s="44"/>
      <c r="G97" s="45"/>
      <c r="H97" s="49"/>
      <c r="I97" s="49"/>
      <c r="J97" s="40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</row>
    <row r="98">
      <c r="A98" s="41">
        <v>96.0</v>
      </c>
      <c r="B98" s="41" t="str">
        <f t="shared" si="1"/>
        <v>#N/A</v>
      </c>
      <c r="C98" s="49"/>
      <c r="D98" s="49"/>
      <c r="E98" s="45"/>
      <c r="F98" s="44"/>
      <c r="G98" s="45"/>
      <c r="H98" s="49"/>
      <c r="I98" s="49"/>
      <c r="J98" s="49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</row>
    <row r="99">
      <c r="A99" s="41">
        <v>97.0</v>
      </c>
      <c r="B99" s="41" t="str">
        <f t="shared" si="1"/>
        <v>#N/A</v>
      </c>
      <c r="C99" s="49"/>
      <c r="D99" s="49"/>
      <c r="E99" s="45"/>
      <c r="F99" s="44"/>
      <c r="G99" s="45"/>
      <c r="H99" s="49"/>
      <c r="I99" s="49"/>
      <c r="J99" s="40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</row>
    <row r="100">
      <c r="A100" s="41">
        <v>98.0</v>
      </c>
      <c r="B100" s="41" t="str">
        <f t="shared" si="1"/>
        <v>#N/A</v>
      </c>
      <c r="C100" s="49"/>
      <c r="D100" s="49"/>
      <c r="E100" s="45"/>
      <c r="F100" s="44"/>
      <c r="G100" s="45"/>
      <c r="H100" s="49"/>
      <c r="I100" s="49"/>
      <c r="J100" s="49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</row>
    <row r="101">
      <c r="A101" s="41">
        <v>99.0</v>
      </c>
      <c r="B101" s="41" t="str">
        <f t="shared" si="1"/>
        <v>#N/A</v>
      </c>
      <c r="C101" s="49"/>
      <c r="D101" s="49"/>
      <c r="E101" s="45"/>
      <c r="F101" s="44"/>
      <c r="G101" s="45"/>
      <c r="H101" s="49"/>
      <c r="I101" s="49"/>
      <c r="J101" s="49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</row>
    <row r="102">
      <c r="A102" s="41">
        <v>100.0</v>
      </c>
      <c r="B102" s="41" t="str">
        <f t="shared" si="1"/>
        <v>#N/A</v>
      </c>
      <c r="C102" s="49"/>
      <c r="D102" s="49"/>
      <c r="E102" s="45"/>
      <c r="F102" s="44"/>
      <c r="G102" s="45"/>
      <c r="H102" s="49"/>
      <c r="I102" s="49"/>
      <c r="J102" s="49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</row>
    <row r="103">
      <c r="A103" s="41">
        <v>101.0</v>
      </c>
      <c r="B103" s="41" t="str">
        <f t="shared" si="1"/>
        <v>#N/A</v>
      </c>
      <c r="C103" s="49"/>
      <c r="D103" s="49"/>
      <c r="E103" s="45"/>
      <c r="F103" s="45"/>
      <c r="G103" s="45"/>
      <c r="H103" s="49"/>
      <c r="I103" s="49"/>
      <c r="J103" s="49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</row>
    <row r="104">
      <c r="A104" s="41">
        <v>102.0</v>
      </c>
      <c r="B104" s="41" t="str">
        <f t="shared" si="1"/>
        <v>#N/A</v>
      </c>
      <c r="C104" s="49"/>
      <c r="D104" s="49"/>
      <c r="E104" s="45"/>
      <c r="F104" s="44"/>
      <c r="G104" s="45"/>
      <c r="H104" s="49"/>
      <c r="I104" s="49"/>
      <c r="J104" s="49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</row>
    <row r="105">
      <c r="A105" s="41">
        <v>103.0</v>
      </c>
      <c r="B105" s="41" t="str">
        <f t="shared" si="1"/>
        <v>#N/A</v>
      </c>
      <c r="C105" s="49"/>
      <c r="D105" s="49"/>
      <c r="E105" s="45"/>
      <c r="F105" s="44"/>
      <c r="G105" s="45"/>
      <c r="H105" s="49"/>
      <c r="I105" s="49"/>
      <c r="J105" s="49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</row>
    <row r="106">
      <c r="A106" s="41">
        <v>104.0</v>
      </c>
      <c r="B106" s="41" t="str">
        <f t="shared" si="1"/>
        <v>#N/A</v>
      </c>
      <c r="C106" s="49"/>
      <c r="D106" s="49"/>
      <c r="E106" s="45"/>
      <c r="F106" s="44"/>
      <c r="G106" s="45"/>
      <c r="H106" s="49"/>
      <c r="I106" s="49"/>
      <c r="J106" s="49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</row>
    <row r="107">
      <c r="A107" s="41">
        <v>105.0</v>
      </c>
      <c r="B107" s="41" t="str">
        <f t="shared" si="1"/>
        <v>#N/A</v>
      </c>
      <c r="C107" s="49"/>
      <c r="D107" s="49"/>
      <c r="E107" s="45"/>
      <c r="F107" s="44"/>
      <c r="G107" s="45"/>
      <c r="H107" s="49"/>
      <c r="I107" s="49"/>
      <c r="J107" s="49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</row>
    <row r="108">
      <c r="A108" s="41">
        <v>106.0</v>
      </c>
      <c r="B108" s="41" t="str">
        <f t="shared" si="1"/>
        <v>#N/A</v>
      </c>
      <c r="C108" s="49"/>
      <c r="D108" s="49"/>
      <c r="E108" s="45"/>
      <c r="F108" s="44"/>
      <c r="G108" s="45"/>
      <c r="H108" s="49"/>
      <c r="I108" s="49"/>
      <c r="J108" s="49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</row>
    <row r="109">
      <c r="A109" s="41">
        <v>107.0</v>
      </c>
      <c r="B109" s="41" t="str">
        <f t="shared" si="1"/>
        <v>#N/A</v>
      </c>
      <c r="C109" s="49"/>
      <c r="D109" s="49"/>
      <c r="E109" s="45"/>
      <c r="F109" s="44"/>
      <c r="G109" s="45"/>
      <c r="H109" s="49"/>
      <c r="I109" s="49"/>
      <c r="J109" s="49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</row>
    <row r="110">
      <c r="A110" s="41">
        <v>108.0</v>
      </c>
      <c r="B110" s="41" t="str">
        <f t="shared" si="1"/>
        <v>#N/A</v>
      </c>
      <c r="C110" s="49"/>
      <c r="D110" s="49"/>
      <c r="E110" s="45"/>
      <c r="F110" s="44"/>
      <c r="G110" s="45"/>
      <c r="H110" s="49"/>
      <c r="I110" s="49"/>
      <c r="J110" s="49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</row>
    <row r="111">
      <c r="A111" s="41">
        <v>109.0</v>
      </c>
      <c r="B111" s="41" t="str">
        <f t="shared" si="1"/>
        <v>#N/A</v>
      </c>
      <c r="C111" s="49"/>
      <c r="D111" s="49"/>
      <c r="E111" s="45"/>
      <c r="F111" s="44"/>
      <c r="G111" s="45"/>
      <c r="H111" s="49"/>
      <c r="I111" s="49"/>
      <c r="J111" s="49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</row>
    <row r="112">
      <c r="A112" s="41">
        <v>110.0</v>
      </c>
      <c r="B112" s="41" t="str">
        <f t="shared" si="1"/>
        <v>#N/A</v>
      </c>
      <c r="C112" s="49"/>
      <c r="D112" s="49"/>
      <c r="E112" s="45"/>
      <c r="F112" s="44"/>
      <c r="G112" s="45"/>
      <c r="H112" s="49"/>
      <c r="I112" s="49"/>
      <c r="J112" s="49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</row>
    <row r="113">
      <c r="A113" s="41">
        <v>111.0</v>
      </c>
      <c r="B113" s="41" t="str">
        <f t="shared" si="1"/>
        <v>#N/A</v>
      </c>
      <c r="C113" s="49"/>
      <c r="D113" s="49"/>
      <c r="E113" s="45"/>
      <c r="F113" s="44"/>
      <c r="G113" s="45"/>
      <c r="H113" s="49"/>
      <c r="I113" s="49"/>
      <c r="J113" s="49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</row>
    <row r="114">
      <c r="A114" s="41">
        <v>112.0</v>
      </c>
      <c r="B114" s="41" t="str">
        <f t="shared" si="1"/>
        <v>#N/A</v>
      </c>
      <c r="C114" s="49"/>
      <c r="D114" s="49"/>
      <c r="E114" s="45"/>
      <c r="F114" s="44"/>
      <c r="G114" s="45"/>
      <c r="H114" s="49"/>
      <c r="I114" s="49"/>
      <c r="J114" s="49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</row>
    <row r="115">
      <c r="A115" s="41">
        <v>113.0</v>
      </c>
      <c r="B115" s="41" t="str">
        <f t="shared" si="1"/>
        <v>#N/A</v>
      </c>
      <c r="C115" s="49"/>
      <c r="D115" s="49"/>
      <c r="E115" s="45"/>
      <c r="F115" s="44"/>
      <c r="G115" s="45"/>
      <c r="H115" s="49"/>
      <c r="I115" s="49"/>
      <c r="J115" s="49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</row>
    <row r="116">
      <c r="A116" s="41">
        <v>114.0</v>
      </c>
      <c r="B116" s="41" t="str">
        <f t="shared" si="1"/>
        <v>#N/A</v>
      </c>
      <c r="C116" s="40"/>
      <c r="D116" s="40"/>
      <c r="E116" s="13"/>
      <c r="F116" s="37"/>
      <c r="G116" s="13"/>
      <c r="H116" s="40"/>
      <c r="I116" s="40"/>
      <c r="J116" s="40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</row>
    <row r="117">
      <c r="A117" s="41">
        <v>115.0</v>
      </c>
      <c r="B117" s="41" t="str">
        <f t="shared" si="1"/>
        <v>#N/A</v>
      </c>
      <c r="C117" s="40"/>
      <c r="D117" s="40"/>
      <c r="E117" s="13"/>
      <c r="F117" s="37"/>
      <c r="G117" s="13"/>
      <c r="H117" s="40"/>
      <c r="I117" s="40"/>
      <c r="J117" s="40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</row>
    <row r="118">
      <c r="A118" s="41">
        <v>116.0</v>
      </c>
      <c r="B118" s="41" t="str">
        <f t="shared" si="1"/>
        <v>#N/A</v>
      </c>
      <c r="C118" s="40"/>
      <c r="D118" s="40"/>
      <c r="E118" s="13"/>
      <c r="F118" s="37"/>
      <c r="G118" s="13"/>
      <c r="H118" s="40"/>
      <c r="I118" s="40"/>
      <c r="J118" s="40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</row>
    <row r="119">
      <c r="A119" s="41">
        <v>117.0</v>
      </c>
      <c r="B119" s="41" t="str">
        <f t="shared" si="1"/>
        <v>#N/A</v>
      </c>
      <c r="C119" s="40"/>
      <c r="D119" s="40"/>
      <c r="E119" s="13"/>
      <c r="F119" s="37"/>
      <c r="G119" s="13"/>
      <c r="H119" s="40"/>
      <c r="I119" s="40"/>
      <c r="J119" s="40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</row>
    <row r="120">
      <c r="A120" s="41">
        <v>118.0</v>
      </c>
      <c r="B120" s="41" t="str">
        <f t="shared" si="1"/>
        <v>#N/A</v>
      </c>
      <c r="C120" s="40"/>
      <c r="D120" s="40"/>
      <c r="E120" s="13"/>
      <c r="F120" s="37"/>
      <c r="G120" s="13"/>
      <c r="H120" s="40"/>
      <c r="I120" s="40"/>
      <c r="J120" s="40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</row>
    <row r="121">
      <c r="A121" s="41">
        <v>119.0</v>
      </c>
      <c r="B121" s="41" t="str">
        <f t="shared" si="1"/>
        <v>#N/A</v>
      </c>
      <c r="C121" s="40"/>
      <c r="D121" s="40"/>
      <c r="E121" s="13"/>
      <c r="F121" s="37"/>
      <c r="G121" s="13"/>
      <c r="H121" s="40"/>
      <c r="I121" s="40"/>
      <c r="J121" s="40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</row>
    <row r="122">
      <c r="A122" s="41">
        <v>120.0</v>
      </c>
      <c r="B122" s="41" t="str">
        <f t="shared" si="1"/>
        <v>#N/A</v>
      </c>
      <c r="C122" s="40"/>
      <c r="D122" s="40"/>
      <c r="E122" s="13"/>
      <c r="F122" s="37"/>
      <c r="G122" s="13"/>
      <c r="H122" s="40"/>
      <c r="I122" s="40"/>
      <c r="J122" s="40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</row>
    <row r="123">
      <c r="A123" s="41">
        <v>121.0</v>
      </c>
      <c r="B123" s="41" t="str">
        <f t="shared" si="1"/>
        <v>#N/A</v>
      </c>
      <c r="C123" s="40"/>
      <c r="D123" s="40"/>
      <c r="E123" s="13"/>
      <c r="F123" s="37"/>
      <c r="G123" s="13"/>
      <c r="H123" s="40"/>
      <c r="I123" s="40"/>
      <c r="J123" s="40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</row>
    <row r="124">
      <c r="A124" s="41">
        <v>122.0</v>
      </c>
      <c r="B124" s="41" t="str">
        <f t="shared" si="1"/>
        <v>#N/A</v>
      </c>
      <c r="C124" s="40"/>
      <c r="D124" s="40"/>
      <c r="E124" s="13"/>
      <c r="F124" s="37"/>
      <c r="G124" s="13"/>
      <c r="H124" s="40"/>
      <c r="I124" s="40"/>
      <c r="J124" s="40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</row>
    <row r="125">
      <c r="A125" s="41">
        <v>123.0</v>
      </c>
      <c r="B125" s="41" t="str">
        <f t="shared" si="1"/>
        <v>#N/A</v>
      </c>
      <c r="C125" s="40"/>
      <c r="D125" s="40"/>
      <c r="E125" s="13"/>
      <c r="F125" s="37"/>
      <c r="G125" s="13"/>
      <c r="H125" s="40"/>
      <c r="I125" s="40"/>
      <c r="J125" s="40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</row>
    <row r="126">
      <c r="A126" s="41">
        <v>124.0</v>
      </c>
      <c r="B126" s="41" t="str">
        <f t="shared" si="1"/>
        <v>#N/A</v>
      </c>
      <c r="C126" s="40"/>
      <c r="D126" s="40"/>
      <c r="E126" s="13"/>
      <c r="F126" s="37"/>
      <c r="G126" s="13"/>
      <c r="H126" s="40"/>
      <c r="I126" s="40"/>
      <c r="J126" s="40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F126" s="13"/>
      <c r="AG126" s="13"/>
    </row>
    <row r="127">
      <c r="A127" s="41">
        <v>125.0</v>
      </c>
      <c r="B127" s="41" t="str">
        <f t="shared" si="1"/>
        <v>#N/A</v>
      </c>
      <c r="C127" s="40"/>
      <c r="D127" s="40"/>
      <c r="E127" s="13"/>
      <c r="F127" s="37"/>
      <c r="G127" s="13"/>
      <c r="H127" s="40"/>
      <c r="I127" s="40"/>
      <c r="J127" s="40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</row>
    <row r="128">
      <c r="A128" s="41">
        <v>126.0</v>
      </c>
      <c r="B128" s="41" t="str">
        <f t="shared" si="1"/>
        <v>#N/A</v>
      </c>
      <c r="C128" s="40"/>
      <c r="D128" s="40"/>
      <c r="E128" s="13"/>
      <c r="F128" s="37"/>
      <c r="G128" s="13"/>
      <c r="H128" s="40"/>
      <c r="I128" s="40"/>
      <c r="J128" s="40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F128" s="13"/>
      <c r="AG128" s="13"/>
    </row>
    <row r="129">
      <c r="A129" s="41">
        <v>127.0</v>
      </c>
      <c r="B129" s="41" t="str">
        <f t="shared" si="1"/>
        <v>#N/A</v>
      </c>
      <c r="C129" s="40"/>
      <c r="D129" s="40"/>
      <c r="E129" s="13"/>
      <c r="F129" s="37"/>
      <c r="G129" s="13"/>
      <c r="H129" s="40"/>
      <c r="I129" s="40"/>
      <c r="J129" s="40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F129" s="13"/>
      <c r="AG129" s="13"/>
    </row>
    <row r="130">
      <c r="A130" s="41">
        <v>128.0</v>
      </c>
      <c r="B130" s="41" t="str">
        <f t="shared" si="1"/>
        <v>#N/A</v>
      </c>
      <c r="C130" s="40"/>
      <c r="D130" s="40"/>
      <c r="E130" s="13"/>
      <c r="F130" s="37"/>
      <c r="G130" s="10"/>
      <c r="H130" s="40"/>
      <c r="I130" s="40"/>
      <c r="J130" s="40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</row>
    <row r="131">
      <c r="A131" s="41">
        <v>129.0</v>
      </c>
      <c r="B131" s="41" t="str">
        <f t="shared" si="1"/>
        <v>#N/A</v>
      </c>
      <c r="C131" s="40"/>
      <c r="D131" s="40"/>
      <c r="E131" s="13"/>
      <c r="F131" s="37"/>
      <c r="G131" s="10"/>
      <c r="H131" s="40"/>
      <c r="I131" s="40"/>
      <c r="J131" s="40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</row>
    <row r="132">
      <c r="A132" s="41">
        <v>130.0</v>
      </c>
      <c r="B132" s="41" t="str">
        <f t="shared" si="1"/>
        <v>#N/A</v>
      </c>
      <c r="C132" s="40"/>
      <c r="D132" s="40"/>
      <c r="E132" s="13"/>
      <c r="F132" s="37"/>
      <c r="G132" s="10"/>
      <c r="H132" s="40"/>
      <c r="I132" s="40"/>
      <c r="J132" s="40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</row>
    <row r="133">
      <c r="A133" s="41">
        <v>131.0</v>
      </c>
      <c r="B133" s="41" t="str">
        <f t="shared" si="1"/>
        <v>#N/A</v>
      </c>
      <c r="C133" s="40"/>
      <c r="D133" s="40"/>
      <c r="E133" s="13"/>
      <c r="F133" s="37"/>
      <c r="G133" s="10"/>
      <c r="H133" s="40"/>
      <c r="I133" s="40"/>
      <c r="J133" s="40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</row>
    <row r="134">
      <c r="A134" s="41">
        <v>132.0</v>
      </c>
      <c r="B134" s="41" t="str">
        <f t="shared" si="1"/>
        <v>#N/A</v>
      </c>
      <c r="C134" s="40"/>
      <c r="D134" s="40"/>
      <c r="E134" s="13"/>
      <c r="F134" s="37"/>
      <c r="G134" s="10"/>
      <c r="H134" s="40"/>
      <c r="I134" s="40"/>
      <c r="J134" s="40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</row>
    <row r="135">
      <c r="A135" s="41">
        <v>133.0</v>
      </c>
      <c r="B135" s="41" t="str">
        <f t="shared" si="1"/>
        <v>#N/A</v>
      </c>
      <c r="C135" s="40"/>
      <c r="D135" s="40"/>
      <c r="E135" s="13"/>
      <c r="F135" s="37"/>
      <c r="G135" s="10"/>
      <c r="H135" s="40"/>
      <c r="I135" s="40"/>
      <c r="J135" s="40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F135" s="13"/>
      <c r="AG135" s="13"/>
    </row>
    <row r="136">
      <c r="A136" s="41">
        <v>134.0</v>
      </c>
      <c r="B136" s="41" t="str">
        <f t="shared" si="1"/>
        <v>#N/A</v>
      </c>
      <c r="C136" s="40"/>
      <c r="D136" s="40"/>
      <c r="E136" s="13"/>
      <c r="F136" s="37"/>
      <c r="G136" s="10"/>
      <c r="H136" s="40"/>
      <c r="I136" s="40"/>
      <c r="J136" s="40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F136" s="13"/>
      <c r="AG136" s="13"/>
    </row>
    <row r="137">
      <c r="A137" s="41">
        <v>135.0</v>
      </c>
      <c r="B137" s="41" t="str">
        <f t="shared" si="1"/>
        <v>#N/A</v>
      </c>
      <c r="C137" s="40"/>
      <c r="D137" s="40"/>
      <c r="E137" s="13"/>
      <c r="F137" s="37"/>
      <c r="G137" s="10"/>
      <c r="H137" s="40"/>
      <c r="I137" s="40"/>
      <c r="J137" s="40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</row>
    <row r="138">
      <c r="A138" s="41">
        <v>136.0</v>
      </c>
      <c r="B138" s="41" t="str">
        <f t="shared" si="1"/>
        <v>#N/A</v>
      </c>
      <c r="C138" s="40"/>
      <c r="D138" s="40"/>
      <c r="E138" s="13"/>
      <c r="F138" s="37"/>
      <c r="G138" s="10"/>
      <c r="H138" s="40"/>
      <c r="I138" s="40"/>
      <c r="J138" s="40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</row>
    <row r="139">
      <c r="A139" s="41">
        <v>137.0</v>
      </c>
      <c r="B139" s="41" t="str">
        <f t="shared" si="1"/>
        <v>#N/A</v>
      </c>
      <c r="C139" s="40"/>
      <c r="D139" s="40"/>
      <c r="E139" s="13"/>
      <c r="F139" s="37"/>
      <c r="G139" s="10"/>
      <c r="H139" s="40"/>
      <c r="I139" s="40"/>
      <c r="J139" s="40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</row>
    <row r="140">
      <c r="A140" s="41">
        <v>138.0</v>
      </c>
      <c r="B140" s="41" t="str">
        <f t="shared" si="1"/>
        <v>#N/A</v>
      </c>
      <c r="C140" s="40"/>
      <c r="D140" s="40"/>
      <c r="E140" s="13"/>
      <c r="F140" s="37"/>
      <c r="G140" s="10"/>
      <c r="H140" s="40"/>
      <c r="I140" s="40"/>
      <c r="J140" s="40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</row>
    <row r="141">
      <c r="A141" s="41">
        <v>139.0</v>
      </c>
      <c r="B141" s="41" t="str">
        <f t="shared" si="1"/>
        <v>#N/A</v>
      </c>
      <c r="C141" s="40"/>
      <c r="D141" s="40"/>
      <c r="E141" s="13"/>
      <c r="F141" s="37"/>
      <c r="G141" s="10"/>
      <c r="H141" s="40"/>
      <c r="I141" s="40"/>
      <c r="J141" s="40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</row>
    <row r="142">
      <c r="A142" s="41">
        <v>140.0</v>
      </c>
      <c r="B142" s="41" t="str">
        <f t="shared" si="1"/>
        <v>#N/A</v>
      </c>
      <c r="C142" s="40"/>
      <c r="D142" s="40"/>
      <c r="E142" s="13"/>
      <c r="F142" s="37"/>
      <c r="G142" s="10"/>
      <c r="H142" s="40"/>
      <c r="I142" s="40"/>
      <c r="J142" s="40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</row>
    <row r="143">
      <c r="A143" s="41">
        <v>141.0</v>
      </c>
      <c r="B143" s="41" t="str">
        <f t="shared" si="1"/>
        <v>#N/A</v>
      </c>
      <c r="C143" s="40"/>
      <c r="D143" s="40"/>
      <c r="E143" s="13"/>
      <c r="F143" s="37"/>
      <c r="G143" s="10"/>
      <c r="H143" s="40"/>
      <c r="I143" s="40"/>
      <c r="J143" s="40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F143" s="13"/>
      <c r="AG143" s="13"/>
    </row>
    <row r="144">
      <c r="A144" s="41">
        <v>142.0</v>
      </c>
      <c r="B144" s="41" t="str">
        <f t="shared" si="1"/>
        <v>#N/A</v>
      </c>
      <c r="C144" s="40"/>
      <c r="D144" s="40"/>
      <c r="E144" s="13"/>
      <c r="F144" s="37"/>
      <c r="G144" s="10"/>
      <c r="H144" s="40"/>
      <c r="I144" s="40"/>
      <c r="J144" s="40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F144" s="13"/>
      <c r="AG144" s="13"/>
    </row>
    <row r="145">
      <c r="A145" s="41">
        <v>143.0</v>
      </c>
      <c r="B145" s="41" t="str">
        <f t="shared" si="1"/>
        <v>#N/A</v>
      </c>
      <c r="C145" s="40"/>
      <c r="D145" s="40"/>
      <c r="E145" s="13"/>
      <c r="F145" s="37"/>
      <c r="G145" s="10"/>
      <c r="H145" s="40"/>
      <c r="I145" s="40"/>
      <c r="J145" s="40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</row>
    <row r="146">
      <c r="A146" s="41">
        <v>144.0</v>
      </c>
      <c r="B146" s="41" t="str">
        <f t="shared" si="1"/>
        <v>#N/A</v>
      </c>
      <c r="C146" s="40"/>
      <c r="D146" s="40"/>
      <c r="E146" s="13"/>
      <c r="F146" s="37"/>
      <c r="G146" s="10"/>
      <c r="H146" s="40"/>
      <c r="I146" s="40"/>
      <c r="J146" s="40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</row>
    <row r="147">
      <c r="A147" s="41">
        <v>145.0</v>
      </c>
      <c r="B147" s="41" t="str">
        <f t="shared" si="1"/>
        <v>#N/A</v>
      </c>
      <c r="C147" s="40"/>
      <c r="D147" s="40"/>
      <c r="E147" s="13"/>
      <c r="F147" s="37"/>
      <c r="G147" s="13"/>
      <c r="H147" s="40"/>
      <c r="I147" s="40"/>
      <c r="J147" s="40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</row>
    <row r="148">
      <c r="A148" s="41">
        <v>146.0</v>
      </c>
      <c r="B148" s="41" t="str">
        <f t="shared" si="1"/>
        <v>#N/A</v>
      </c>
      <c r="C148" s="40"/>
      <c r="D148" s="40"/>
      <c r="E148" s="13"/>
      <c r="F148" s="37"/>
      <c r="G148" s="10"/>
      <c r="H148" s="40"/>
      <c r="I148" s="40"/>
      <c r="J148" s="40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</row>
    <row r="149">
      <c r="A149" s="41">
        <v>147.0</v>
      </c>
      <c r="B149" s="41" t="str">
        <f t="shared" si="1"/>
        <v>#N/A</v>
      </c>
      <c r="C149" s="40"/>
      <c r="D149" s="40"/>
      <c r="E149" s="13"/>
      <c r="F149" s="37"/>
      <c r="G149" s="10"/>
      <c r="H149" s="40"/>
      <c r="I149" s="40"/>
      <c r="J149" s="40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</row>
    <row r="150">
      <c r="A150" s="41">
        <v>148.0</v>
      </c>
      <c r="B150" s="41" t="str">
        <f t="shared" si="1"/>
        <v>#N/A</v>
      </c>
      <c r="C150" s="40"/>
      <c r="D150" s="40"/>
      <c r="E150" s="13"/>
      <c r="F150" s="37"/>
      <c r="G150" s="10"/>
      <c r="H150" s="40"/>
      <c r="I150" s="40"/>
      <c r="J150" s="40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F150" s="13"/>
      <c r="AG150" s="13"/>
    </row>
    <row r="151">
      <c r="A151" s="41">
        <v>149.0</v>
      </c>
      <c r="B151" s="41" t="str">
        <f t="shared" si="1"/>
        <v>#N/A</v>
      </c>
      <c r="C151" s="40"/>
      <c r="D151" s="40"/>
      <c r="E151" s="13"/>
      <c r="F151" s="37"/>
      <c r="G151" s="10"/>
      <c r="H151" s="40"/>
      <c r="I151" s="40"/>
      <c r="J151" s="40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F151" s="13"/>
      <c r="AG151" s="13"/>
    </row>
    <row r="152">
      <c r="A152" s="41">
        <v>150.0</v>
      </c>
      <c r="B152" s="41" t="str">
        <f t="shared" si="1"/>
        <v>#N/A</v>
      </c>
      <c r="C152" s="40"/>
      <c r="D152" s="40"/>
      <c r="E152" s="13"/>
      <c r="F152" s="37"/>
      <c r="G152" s="10"/>
      <c r="H152" s="40"/>
      <c r="I152" s="40"/>
      <c r="J152" s="40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F152" s="13"/>
      <c r="AG152" s="13"/>
    </row>
    <row r="153">
      <c r="A153" s="41">
        <v>151.0</v>
      </c>
      <c r="B153" s="41" t="str">
        <f t="shared" si="1"/>
        <v>#N/A</v>
      </c>
      <c r="C153" s="40"/>
      <c r="D153" s="40"/>
      <c r="E153" s="13"/>
      <c r="F153" s="37"/>
      <c r="G153" s="10"/>
      <c r="H153" s="40"/>
      <c r="I153" s="40"/>
      <c r="J153" s="40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</row>
    <row r="154">
      <c r="A154" s="41">
        <v>152.0</v>
      </c>
      <c r="B154" s="41" t="str">
        <f t="shared" si="1"/>
        <v>#N/A</v>
      </c>
      <c r="C154" s="40"/>
      <c r="D154" s="40"/>
      <c r="E154" s="13"/>
      <c r="F154" s="37"/>
      <c r="G154" s="10"/>
      <c r="H154" s="40"/>
      <c r="I154" s="40"/>
      <c r="J154" s="40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</row>
    <row r="155">
      <c r="A155" s="41">
        <v>153.0</v>
      </c>
      <c r="B155" s="41" t="str">
        <f t="shared" si="1"/>
        <v>#N/A</v>
      </c>
      <c r="C155" s="40"/>
      <c r="D155" s="40"/>
      <c r="E155" s="13"/>
      <c r="F155" s="37"/>
      <c r="G155" s="10"/>
      <c r="H155" s="40"/>
      <c r="I155" s="40"/>
      <c r="J155" s="40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F155" s="13"/>
      <c r="AG155" s="13"/>
    </row>
    <row r="156">
      <c r="A156" s="41">
        <v>154.0</v>
      </c>
      <c r="B156" s="41" t="str">
        <f t="shared" si="1"/>
        <v>#N/A</v>
      </c>
      <c r="C156" s="40"/>
      <c r="D156" s="40"/>
      <c r="E156" s="54"/>
      <c r="F156" s="40"/>
      <c r="G156" s="54"/>
      <c r="H156" s="40"/>
      <c r="I156" s="40"/>
      <c r="J156" s="40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F156" s="13"/>
      <c r="AG156" s="13"/>
    </row>
    <row r="157">
      <c r="A157" s="41">
        <v>155.0</v>
      </c>
      <c r="B157" s="41" t="str">
        <f t="shared" si="1"/>
        <v>#N/A</v>
      </c>
      <c r="C157" s="40"/>
      <c r="D157" s="40"/>
      <c r="E157" s="54"/>
      <c r="F157" s="40"/>
      <c r="G157" s="54"/>
      <c r="H157" s="40"/>
      <c r="I157" s="40"/>
      <c r="J157" s="40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</row>
    <row r="158">
      <c r="A158" s="41">
        <v>156.0</v>
      </c>
      <c r="B158" s="41" t="str">
        <f t="shared" si="1"/>
        <v>#N/A</v>
      </c>
      <c r="C158" s="40"/>
      <c r="D158" s="40"/>
      <c r="E158" s="54"/>
      <c r="F158" s="40"/>
      <c r="G158" s="54"/>
      <c r="H158" s="40"/>
      <c r="I158" s="40"/>
      <c r="J158" s="40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</row>
    <row r="159">
      <c r="A159" s="41">
        <v>157.0</v>
      </c>
      <c r="B159" s="41" t="str">
        <f t="shared" si="1"/>
        <v>#N/A</v>
      </c>
      <c r="C159" s="40"/>
      <c r="D159" s="40"/>
      <c r="E159" s="54"/>
      <c r="F159" s="40"/>
      <c r="G159" s="54"/>
      <c r="H159" s="40"/>
      <c r="I159" s="40"/>
      <c r="J159" s="40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</row>
    <row r="160">
      <c r="A160" s="41">
        <v>158.0</v>
      </c>
      <c r="B160" s="41" t="str">
        <f t="shared" si="1"/>
        <v>#N/A</v>
      </c>
      <c r="C160" s="40"/>
      <c r="D160" s="40"/>
      <c r="E160" s="54"/>
      <c r="F160" s="40"/>
      <c r="G160" s="54"/>
      <c r="H160" s="40"/>
      <c r="I160" s="40"/>
      <c r="J160" s="40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13"/>
    </row>
    <row r="161">
      <c r="A161" s="41">
        <v>159.0</v>
      </c>
      <c r="B161" s="41" t="str">
        <f t="shared" si="1"/>
        <v>#N/A</v>
      </c>
      <c r="C161" s="40"/>
      <c r="D161" s="40"/>
      <c r="E161" s="54"/>
      <c r="F161" s="40"/>
      <c r="G161" s="54"/>
      <c r="H161" s="40"/>
      <c r="I161" s="40"/>
      <c r="J161" s="40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F161" s="13"/>
      <c r="AG161" s="13"/>
    </row>
    <row r="162">
      <c r="A162" s="41">
        <v>160.0</v>
      </c>
      <c r="B162" s="41" t="str">
        <f t="shared" si="1"/>
        <v>#N/A</v>
      </c>
      <c r="C162" s="40"/>
      <c r="D162" s="40"/>
      <c r="E162" s="54"/>
      <c r="F162" s="40"/>
      <c r="G162" s="54"/>
      <c r="H162" s="40"/>
      <c r="I162" s="40"/>
      <c r="J162" s="40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F162" s="13"/>
      <c r="AG162" s="13"/>
    </row>
    <row r="163">
      <c r="A163" s="41">
        <v>161.0</v>
      </c>
      <c r="B163" s="55" t="str">
        <f t="shared" si="1"/>
        <v>#N/A</v>
      </c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F163" s="13"/>
      <c r="AG163" s="13"/>
    </row>
    <row r="164">
      <c r="A164" s="41">
        <v>162.0</v>
      </c>
      <c r="B164" s="55" t="str">
        <f t="shared" si="1"/>
        <v>#N/A</v>
      </c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F164" s="13"/>
      <c r="AG164" s="13"/>
    </row>
    <row r="165">
      <c r="A165" s="41">
        <v>163.0</v>
      </c>
      <c r="B165" s="55" t="str">
        <f t="shared" si="1"/>
        <v>#N/A</v>
      </c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</row>
    <row r="166">
      <c r="A166" s="41">
        <v>164.0</v>
      </c>
      <c r="B166" s="55" t="str">
        <f t="shared" si="1"/>
        <v>#N/A</v>
      </c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F166" s="13"/>
      <c r="AG166" s="13"/>
    </row>
    <row r="167">
      <c r="A167" s="41">
        <v>165.0</v>
      </c>
      <c r="B167" s="55" t="str">
        <f t="shared" si="1"/>
        <v>#N/A</v>
      </c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F167" s="13"/>
      <c r="AG167" s="13"/>
    </row>
    <row r="168">
      <c r="A168" s="41">
        <v>166.0</v>
      </c>
      <c r="B168" s="55" t="str">
        <f t="shared" si="1"/>
        <v>#N/A</v>
      </c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F168" s="13"/>
      <c r="AG168" s="13"/>
    </row>
    <row r="169">
      <c r="A169" s="41">
        <v>167.0</v>
      </c>
      <c r="B169" s="55" t="str">
        <f t="shared" si="1"/>
        <v>#N/A</v>
      </c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</row>
    <row r="170">
      <c r="A170" s="41">
        <v>168.0</v>
      </c>
      <c r="B170" s="55" t="str">
        <f t="shared" si="1"/>
        <v>#N/A</v>
      </c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F170" s="13"/>
      <c r="AG170" s="13"/>
    </row>
    <row r="171">
      <c r="A171" s="41">
        <v>169.0</v>
      </c>
      <c r="B171" s="55" t="str">
        <f t="shared" si="1"/>
        <v>#N/A</v>
      </c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</row>
    <row r="172">
      <c r="A172" s="41">
        <v>170.0</v>
      </c>
      <c r="B172" s="55" t="str">
        <f t="shared" si="1"/>
        <v>#N/A</v>
      </c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F172" s="13"/>
      <c r="AG172" s="13"/>
    </row>
    <row r="173">
      <c r="A173" s="41">
        <v>171.0</v>
      </c>
      <c r="B173" s="55" t="str">
        <f t="shared" si="1"/>
        <v>#N/A</v>
      </c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F173" s="13"/>
      <c r="AG173" s="13"/>
    </row>
    <row r="174">
      <c r="A174" s="41">
        <v>172.0</v>
      </c>
      <c r="B174" s="55" t="str">
        <f t="shared" si="1"/>
        <v>#N/A</v>
      </c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13"/>
    </row>
    <row r="175">
      <c r="A175" s="41">
        <v>173.0</v>
      </c>
      <c r="B175" s="55" t="str">
        <f t="shared" si="1"/>
        <v>#N/A</v>
      </c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F175" s="13"/>
      <c r="AG175" s="13"/>
    </row>
    <row r="176">
      <c r="A176" s="41">
        <v>174.0</v>
      </c>
      <c r="B176" s="55" t="str">
        <f t="shared" si="1"/>
        <v>#N/A</v>
      </c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</row>
    <row r="177">
      <c r="A177" s="41">
        <v>175.0</v>
      </c>
      <c r="B177" s="55" t="str">
        <f t="shared" si="1"/>
        <v>#N/A</v>
      </c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</row>
    <row r="178">
      <c r="A178" s="41">
        <v>176.0</v>
      </c>
      <c r="B178" s="55" t="str">
        <f t="shared" si="1"/>
        <v>#N/A</v>
      </c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F178" s="13"/>
      <c r="AG178" s="13"/>
    </row>
    <row r="179">
      <c r="A179" s="41">
        <v>177.0</v>
      </c>
      <c r="B179" s="55" t="str">
        <f t="shared" si="1"/>
        <v>#N/A</v>
      </c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</row>
    <row r="180">
      <c r="A180" s="41">
        <v>178.0</v>
      </c>
      <c r="B180" s="55" t="str">
        <f t="shared" si="1"/>
        <v>#N/A</v>
      </c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</row>
    <row r="181">
      <c r="A181" s="41">
        <v>179.0</v>
      </c>
      <c r="B181" s="55" t="str">
        <f t="shared" si="1"/>
        <v>#N/A</v>
      </c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</row>
    <row r="182">
      <c r="A182" s="41">
        <v>180.0</v>
      </c>
      <c r="B182" s="55" t="str">
        <f t="shared" si="1"/>
        <v>#N/A</v>
      </c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</row>
    <row r="183">
      <c r="A183" s="41">
        <v>181.0</v>
      </c>
      <c r="B183" s="55" t="str">
        <f t="shared" si="1"/>
        <v>#N/A</v>
      </c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F183" s="13"/>
      <c r="AG183" s="13"/>
    </row>
    <row r="184">
      <c r="A184" s="41">
        <v>182.0</v>
      </c>
      <c r="B184" s="55" t="str">
        <f t="shared" si="1"/>
        <v>#N/A</v>
      </c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</row>
    <row r="185">
      <c r="A185" s="41">
        <v>183.0</v>
      </c>
      <c r="B185" s="55" t="str">
        <f t="shared" si="1"/>
        <v>#N/A</v>
      </c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</row>
    <row r="186">
      <c r="A186" s="41">
        <v>184.0</v>
      </c>
      <c r="B186" s="55" t="str">
        <f t="shared" si="1"/>
        <v>#N/A</v>
      </c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</row>
    <row r="187">
      <c r="A187" s="41">
        <v>185.0</v>
      </c>
      <c r="B187" s="55" t="str">
        <f t="shared" si="1"/>
        <v>#N/A</v>
      </c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F187" s="13"/>
      <c r="AG187" s="13"/>
    </row>
    <row r="188">
      <c r="A188" s="41">
        <v>186.0</v>
      </c>
      <c r="B188" s="55" t="str">
        <f t="shared" si="1"/>
        <v>#N/A</v>
      </c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13"/>
    </row>
    <row r="189">
      <c r="A189" s="41">
        <v>187.0</v>
      </c>
      <c r="B189" s="55" t="str">
        <f t="shared" si="1"/>
        <v>#N/A</v>
      </c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</row>
    <row r="190">
      <c r="A190" s="41">
        <v>188.0</v>
      </c>
      <c r="B190" s="55" t="str">
        <f t="shared" si="1"/>
        <v>#N/A</v>
      </c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13"/>
      <c r="AG190" s="13"/>
    </row>
    <row r="191">
      <c r="A191" s="41">
        <v>189.0</v>
      </c>
      <c r="B191" s="55" t="str">
        <f t="shared" si="1"/>
        <v>#N/A</v>
      </c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</row>
    <row r="192">
      <c r="A192" s="41">
        <v>190.0</v>
      </c>
      <c r="B192" s="55" t="str">
        <f t="shared" si="1"/>
        <v>#N/A</v>
      </c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</row>
    <row r="193">
      <c r="A193" s="41">
        <v>191.0</v>
      </c>
      <c r="B193" s="55" t="str">
        <f t="shared" si="1"/>
        <v>#N/A</v>
      </c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</row>
    <row r="194">
      <c r="A194" s="41">
        <v>192.0</v>
      </c>
      <c r="B194" s="55" t="str">
        <f t="shared" si="1"/>
        <v>#N/A</v>
      </c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</row>
    <row r="195">
      <c r="A195" s="41">
        <v>193.0</v>
      </c>
      <c r="B195" s="55" t="str">
        <f t="shared" si="1"/>
        <v>#N/A</v>
      </c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</row>
    <row r="196">
      <c r="A196" s="41">
        <v>194.0</v>
      </c>
      <c r="B196" s="55" t="str">
        <f t="shared" si="1"/>
        <v>#N/A</v>
      </c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</row>
    <row r="197">
      <c r="A197" s="41">
        <v>195.0</v>
      </c>
      <c r="B197" s="55" t="str">
        <f t="shared" si="1"/>
        <v>#N/A</v>
      </c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</row>
    <row r="198">
      <c r="A198" s="41">
        <v>196.0</v>
      </c>
      <c r="B198" s="55" t="str">
        <f t="shared" si="1"/>
        <v>#N/A</v>
      </c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</row>
    <row r="199">
      <c r="A199" s="41">
        <v>197.0</v>
      </c>
      <c r="B199" s="55" t="str">
        <f t="shared" si="1"/>
        <v>#N/A</v>
      </c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</row>
    <row r="200">
      <c r="A200" s="41">
        <v>198.0</v>
      </c>
      <c r="B200" s="55" t="str">
        <f t="shared" si="1"/>
        <v>#N/A</v>
      </c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F200" s="13"/>
      <c r="AG200" s="13"/>
    </row>
    <row r="201">
      <c r="A201" s="41">
        <v>199.0</v>
      </c>
      <c r="B201" s="55" t="str">
        <f t="shared" si="1"/>
        <v>#N/A</v>
      </c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F201" s="13"/>
      <c r="AG201" s="13"/>
    </row>
    <row r="202">
      <c r="A202" s="41">
        <v>200.0</v>
      </c>
      <c r="B202" s="55" t="str">
        <f t="shared" si="1"/>
        <v>#N/A</v>
      </c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F202" s="13"/>
      <c r="AG202" s="13"/>
    </row>
    <row r="203">
      <c r="A203" s="41">
        <v>201.0</v>
      </c>
      <c r="B203" s="55" t="str">
        <f t="shared" si="1"/>
        <v>#N/A</v>
      </c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F203" s="13"/>
      <c r="AG203" s="13"/>
    </row>
    <row r="204">
      <c r="A204" s="41">
        <v>202.0</v>
      </c>
      <c r="B204" s="55" t="str">
        <f t="shared" si="1"/>
        <v>#N/A</v>
      </c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F204" s="13"/>
      <c r="AG204" s="13"/>
    </row>
    <row r="205">
      <c r="A205" s="41">
        <v>203.0</v>
      </c>
      <c r="B205" s="55" t="str">
        <f t="shared" si="1"/>
        <v>#N/A</v>
      </c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F205" s="13"/>
      <c r="AG205" s="13"/>
    </row>
    <row r="206">
      <c r="A206" s="41">
        <v>204.0</v>
      </c>
      <c r="B206" s="55" t="str">
        <f t="shared" si="1"/>
        <v>#N/A</v>
      </c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F206" s="13"/>
      <c r="AG206" s="13"/>
    </row>
    <row r="207">
      <c r="A207" s="41">
        <v>205.0</v>
      </c>
      <c r="B207" s="55" t="str">
        <f t="shared" si="1"/>
        <v>#N/A</v>
      </c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F207" s="13"/>
      <c r="AG207" s="13"/>
    </row>
    <row r="208">
      <c r="A208" s="41">
        <v>206.0</v>
      </c>
      <c r="B208" s="55" t="str">
        <f t="shared" si="1"/>
        <v>#N/A</v>
      </c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F208" s="13"/>
      <c r="AG208" s="13"/>
    </row>
    <row r="209">
      <c r="A209" s="41">
        <v>207.0</v>
      </c>
      <c r="B209" s="55" t="str">
        <f t="shared" si="1"/>
        <v>#N/A</v>
      </c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F209" s="13"/>
      <c r="AG209" s="13"/>
    </row>
    <row r="210">
      <c r="A210" s="41">
        <v>208.0</v>
      </c>
      <c r="B210" s="55" t="str">
        <f t="shared" si="1"/>
        <v>#N/A</v>
      </c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F210" s="13"/>
      <c r="AG210" s="13"/>
    </row>
    <row r="211">
      <c r="A211" s="41">
        <v>209.0</v>
      </c>
      <c r="B211" s="55" t="str">
        <f t="shared" si="1"/>
        <v>#N/A</v>
      </c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F211" s="13"/>
      <c r="AG211" s="13"/>
    </row>
    <row r="212">
      <c r="A212" s="41">
        <v>210.0</v>
      </c>
      <c r="B212" s="55" t="str">
        <f t="shared" si="1"/>
        <v>#N/A</v>
      </c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F212" s="13"/>
      <c r="AG212" s="13"/>
    </row>
    <row r="213">
      <c r="A213" s="41">
        <v>211.0</v>
      </c>
      <c r="B213" s="55" t="str">
        <f t="shared" si="1"/>
        <v>#N/A</v>
      </c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F213" s="13"/>
      <c r="AG213" s="13"/>
    </row>
    <row r="214">
      <c r="A214" s="41">
        <v>212.0</v>
      </c>
      <c r="B214" s="55" t="str">
        <f t="shared" si="1"/>
        <v>#N/A</v>
      </c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F214" s="13"/>
      <c r="AG214" s="13"/>
    </row>
    <row r="215">
      <c r="A215" s="41">
        <v>213.0</v>
      </c>
      <c r="B215" s="55" t="str">
        <f t="shared" si="1"/>
        <v>#N/A</v>
      </c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F215" s="13"/>
      <c r="AG215" s="13"/>
    </row>
    <row r="216">
      <c r="A216" s="41">
        <v>214.0</v>
      </c>
      <c r="B216" s="55" t="str">
        <f t="shared" si="1"/>
        <v>#N/A</v>
      </c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F216" s="13"/>
      <c r="AG216" s="13"/>
    </row>
    <row r="217">
      <c r="A217" s="41">
        <v>215.0</v>
      </c>
      <c r="B217" s="55" t="str">
        <f t="shared" si="1"/>
        <v>#N/A</v>
      </c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F217" s="13"/>
      <c r="AG217" s="13"/>
    </row>
    <row r="218">
      <c r="A218" s="41">
        <v>216.0</v>
      </c>
      <c r="B218" s="55" t="str">
        <f t="shared" si="1"/>
        <v>#N/A</v>
      </c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F218" s="13"/>
      <c r="AG218" s="13"/>
    </row>
    <row r="219">
      <c r="A219" s="41">
        <v>217.0</v>
      </c>
      <c r="B219" s="55" t="str">
        <f t="shared" si="1"/>
        <v>#N/A</v>
      </c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F219" s="13"/>
      <c r="AG219" s="13"/>
    </row>
    <row r="220">
      <c r="A220" s="41">
        <v>218.0</v>
      </c>
      <c r="B220" s="55" t="str">
        <f t="shared" si="1"/>
        <v>#N/A</v>
      </c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F220" s="13"/>
      <c r="AG220" s="13"/>
    </row>
    <row r="221">
      <c r="A221" s="41">
        <v>219.0</v>
      </c>
      <c r="B221" s="55" t="str">
        <f t="shared" si="1"/>
        <v>#N/A</v>
      </c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</row>
    <row r="222">
      <c r="A222" s="41">
        <v>220.0</v>
      </c>
      <c r="B222" s="55" t="str">
        <f t="shared" si="1"/>
        <v>#N/A</v>
      </c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</row>
    <row r="223">
      <c r="A223" s="41">
        <v>221.0</v>
      </c>
      <c r="B223" s="55" t="str">
        <f t="shared" si="1"/>
        <v>#N/A</v>
      </c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</row>
    <row r="224">
      <c r="A224" s="41">
        <v>222.0</v>
      </c>
      <c r="B224" s="55" t="str">
        <f t="shared" si="1"/>
        <v>#N/A</v>
      </c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</row>
    <row r="225">
      <c r="A225" s="41">
        <v>223.0</v>
      </c>
      <c r="B225" s="55" t="str">
        <f t="shared" si="1"/>
        <v>#N/A</v>
      </c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</row>
    <row r="226">
      <c r="A226" s="41">
        <v>224.0</v>
      </c>
      <c r="B226" s="55" t="str">
        <f t="shared" si="1"/>
        <v>#N/A</v>
      </c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</row>
    <row r="227">
      <c r="A227" s="41">
        <v>225.0</v>
      </c>
      <c r="B227" s="55" t="str">
        <f t="shared" si="1"/>
        <v>#N/A</v>
      </c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</row>
    <row r="228">
      <c r="A228" s="41">
        <v>226.0</v>
      </c>
      <c r="B228" s="55" t="str">
        <f t="shared" si="1"/>
        <v>#N/A</v>
      </c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</row>
    <row r="229">
      <c r="A229" s="41">
        <v>227.0</v>
      </c>
      <c r="B229" s="55" t="str">
        <f t="shared" si="1"/>
        <v>#N/A</v>
      </c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</row>
    <row r="230">
      <c r="A230" s="41">
        <v>228.0</v>
      </c>
      <c r="B230" s="55" t="str">
        <f t="shared" si="1"/>
        <v>#N/A</v>
      </c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F230" s="13"/>
      <c r="AG230" s="13"/>
    </row>
    <row r="231">
      <c r="A231" s="41">
        <v>229.0</v>
      </c>
      <c r="B231" s="55" t="str">
        <f t="shared" si="1"/>
        <v>#N/A</v>
      </c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F231" s="13"/>
      <c r="AG231" s="13"/>
    </row>
    <row r="232">
      <c r="A232" s="41">
        <v>230.0</v>
      </c>
      <c r="B232" s="55" t="str">
        <f t="shared" si="1"/>
        <v>#N/A</v>
      </c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F232" s="13"/>
      <c r="AG232" s="13"/>
    </row>
    <row r="233">
      <c r="A233" s="41">
        <v>231.0</v>
      </c>
      <c r="B233" s="55" t="str">
        <f t="shared" si="1"/>
        <v>#N/A</v>
      </c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F233" s="13"/>
      <c r="AG233" s="13"/>
    </row>
    <row r="234">
      <c r="A234" s="41">
        <v>232.0</v>
      </c>
      <c r="B234" s="55" t="str">
        <f t="shared" si="1"/>
        <v>#N/A</v>
      </c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F234" s="13"/>
      <c r="AG234" s="13"/>
    </row>
    <row r="235">
      <c r="A235" s="41">
        <v>233.0</v>
      </c>
      <c r="B235" s="55" t="str">
        <f t="shared" si="1"/>
        <v>#N/A</v>
      </c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F235" s="13"/>
      <c r="AG235" s="13"/>
    </row>
    <row r="236">
      <c r="A236" s="41">
        <v>234.0</v>
      </c>
      <c r="B236" s="55" t="str">
        <f t="shared" si="1"/>
        <v>#N/A</v>
      </c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F236" s="13"/>
      <c r="AG236" s="13"/>
    </row>
    <row r="237">
      <c r="A237" s="41">
        <v>235.0</v>
      </c>
      <c r="B237" s="55" t="str">
        <f t="shared" si="1"/>
        <v>#N/A</v>
      </c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F237" s="13"/>
      <c r="AG237" s="13"/>
    </row>
    <row r="238">
      <c r="A238" s="41">
        <v>236.0</v>
      </c>
      <c r="B238" s="55" t="str">
        <f t="shared" si="1"/>
        <v>#N/A</v>
      </c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F238" s="13"/>
      <c r="AG238" s="13"/>
    </row>
    <row r="239">
      <c r="A239" s="41">
        <v>237.0</v>
      </c>
      <c r="B239" s="55" t="str">
        <f t="shared" si="1"/>
        <v>#N/A</v>
      </c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F239" s="13"/>
      <c r="AG239" s="13"/>
    </row>
    <row r="240">
      <c r="A240" s="41">
        <v>238.0</v>
      </c>
      <c r="B240" s="55" t="str">
        <f t="shared" si="1"/>
        <v>#N/A</v>
      </c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F240" s="13"/>
      <c r="AG240" s="13"/>
    </row>
    <row r="241">
      <c r="A241" s="41">
        <v>239.0</v>
      </c>
      <c r="B241" s="55" t="str">
        <f t="shared" si="1"/>
        <v>#N/A</v>
      </c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F241" s="13"/>
      <c r="AG241" s="13"/>
    </row>
    <row r="242">
      <c r="A242" s="41">
        <v>240.0</v>
      </c>
      <c r="B242" s="55" t="str">
        <f t="shared" si="1"/>
        <v>#N/A</v>
      </c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F242" s="13"/>
      <c r="AG242" s="13"/>
    </row>
    <row r="243">
      <c r="A243" s="41">
        <v>241.0</v>
      </c>
      <c r="B243" s="55" t="str">
        <f t="shared" si="1"/>
        <v>#N/A</v>
      </c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F243" s="13"/>
      <c r="AG243" s="13"/>
    </row>
    <row r="244">
      <c r="A244" s="41">
        <v>242.0</v>
      </c>
      <c r="B244" s="55" t="str">
        <f t="shared" si="1"/>
        <v>#N/A</v>
      </c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F244" s="13"/>
      <c r="AG244" s="13"/>
    </row>
    <row r="245">
      <c r="A245" s="41">
        <v>243.0</v>
      </c>
      <c r="B245" s="55" t="str">
        <f t="shared" si="1"/>
        <v>#N/A</v>
      </c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F245" s="13"/>
      <c r="AG245" s="13"/>
    </row>
    <row r="246">
      <c r="A246" s="41">
        <v>244.0</v>
      </c>
      <c r="B246" s="55" t="str">
        <f t="shared" si="1"/>
        <v>#N/A</v>
      </c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F246" s="13"/>
      <c r="AG246" s="13"/>
    </row>
    <row r="247">
      <c r="A247" s="41">
        <v>245.0</v>
      </c>
      <c r="B247" s="55" t="str">
        <f t="shared" si="1"/>
        <v>#N/A</v>
      </c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F247" s="13"/>
      <c r="AG247" s="13"/>
    </row>
    <row r="248">
      <c r="A248" s="41">
        <v>246.0</v>
      </c>
      <c r="B248" s="55" t="str">
        <f t="shared" si="1"/>
        <v>#N/A</v>
      </c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F248" s="13"/>
      <c r="AG248" s="13"/>
    </row>
    <row r="249">
      <c r="A249" s="41">
        <v>247.0</v>
      </c>
      <c r="B249" s="55" t="str">
        <f t="shared" si="1"/>
        <v>#N/A</v>
      </c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F249" s="13"/>
      <c r="AG249" s="13"/>
    </row>
    <row r="250">
      <c r="A250" s="41">
        <v>248.0</v>
      </c>
      <c r="B250" s="55" t="str">
        <f t="shared" si="1"/>
        <v>#N/A</v>
      </c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F250" s="13"/>
      <c r="AG250" s="13"/>
    </row>
    <row r="251">
      <c r="A251" s="41">
        <v>249.0</v>
      </c>
      <c r="B251" s="55" t="str">
        <f t="shared" si="1"/>
        <v>#N/A</v>
      </c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F251" s="13"/>
      <c r="AG251" s="13"/>
    </row>
    <row r="252">
      <c r="A252" s="41">
        <v>250.0</v>
      </c>
      <c r="B252" s="55" t="str">
        <f t="shared" si="1"/>
        <v>#N/A</v>
      </c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F252" s="13"/>
      <c r="AG252" s="13"/>
    </row>
    <row r="253">
      <c r="A253" s="41">
        <v>251.0</v>
      </c>
      <c r="B253" s="55" t="str">
        <f t="shared" si="1"/>
        <v>#N/A</v>
      </c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F253" s="13"/>
      <c r="AG253" s="13"/>
    </row>
    <row r="254">
      <c r="A254" s="41">
        <v>252.0</v>
      </c>
      <c r="B254" s="55" t="str">
        <f t="shared" si="1"/>
        <v>#N/A</v>
      </c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F254" s="13"/>
      <c r="AG254" s="13"/>
    </row>
    <row r="255">
      <c r="A255" s="41">
        <v>253.0</v>
      </c>
      <c r="B255" s="55" t="str">
        <f t="shared" si="1"/>
        <v>#N/A</v>
      </c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F255" s="13"/>
      <c r="AG255" s="13"/>
    </row>
    <row r="256">
      <c r="A256" s="41">
        <v>254.0</v>
      </c>
      <c r="B256" s="55" t="str">
        <f t="shared" si="1"/>
        <v>#N/A</v>
      </c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F256" s="13"/>
      <c r="AG256" s="13"/>
    </row>
    <row r="257">
      <c r="A257" s="41">
        <v>255.0</v>
      </c>
      <c r="B257" s="55" t="str">
        <f t="shared" si="1"/>
        <v>#N/A</v>
      </c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F257" s="13"/>
      <c r="AG257" s="13"/>
    </row>
    <row r="258">
      <c r="A258" s="41">
        <v>256.0</v>
      </c>
      <c r="B258" s="55" t="str">
        <f t="shared" si="1"/>
        <v>#N/A</v>
      </c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F258" s="13"/>
      <c r="AG258" s="13"/>
    </row>
    <row r="259">
      <c r="A259" s="41">
        <v>257.0</v>
      </c>
      <c r="B259" s="55" t="str">
        <f t="shared" si="1"/>
        <v>#N/A</v>
      </c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F259" s="13"/>
      <c r="AG259" s="13"/>
    </row>
    <row r="260">
      <c r="A260" s="41">
        <v>258.0</v>
      </c>
      <c r="B260" s="55" t="str">
        <f t="shared" si="1"/>
        <v>#N/A</v>
      </c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F260" s="13"/>
      <c r="AG260" s="13"/>
    </row>
    <row r="261">
      <c r="A261" s="41">
        <v>259.0</v>
      </c>
      <c r="B261" s="55" t="str">
        <f t="shared" si="1"/>
        <v>#N/A</v>
      </c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F261" s="13"/>
      <c r="AG261" s="13"/>
    </row>
    <row r="262">
      <c r="A262" s="41">
        <v>260.0</v>
      </c>
      <c r="B262" s="55" t="str">
        <f t="shared" si="1"/>
        <v>#N/A</v>
      </c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F262" s="13"/>
      <c r="AG262" s="13"/>
    </row>
    <row r="263">
      <c r="A263" s="41">
        <v>261.0</v>
      </c>
      <c r="B263" s="55" t="str">
        <f t="shared" si="1"/>
        <v>#N/A</v>
      </c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F263" s="13"/>
      <c r="AG263" s="13"/>
    </row>
    <row r="264">
      <c r="A264" s="41">
        <v>262.0</v>
      </c>
      <c r="B264" s="55" t="str">
        <f t="shared" si="1"/>
        <v>#N/A</v>
      </c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F264" s="13"/>
      <c r="AG264" s="13"/>
    </row>
    <row r="265">
      <c r="A265" s="41">
        <v>263.0</v>
      </c>
      <c r="B265" s="55" t="str">
        <f t="shared" si="1"/>
        <v>#N/A</v>
      </c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F265" s="13"/>
      <c r="AG265" s="13"/>
    </row>
    <row r="266">
      <c r="A266" s="41">
        <v>264.0</v>
      </c>
      <c r="B266" s="55" t="str">
        <f t="shared" si="1"/>
        <v>#N/A</v>
      </c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F266" s="13"/>
      <c r="AG266" s="13"/>
    </row>
    <row r="267">
      <c r="A267" s="41">
        <v>265.0</v>
      </c>
      <c r="B267" s="55" t="str">
        <f t="shared" si="1"/>
        <v>#N/A</v>
      </c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F267" s="13"/>
      <c r="AG267" s="13"/>
    </row>
    <row r="268">
      <c r="A268" s="41">
        <v>266.0</v>
      </c>
      <c r="B268" s="55" t="str">
        <f t="shared" si="1"/>
        <v>#N/A</v>
      </c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F268" s="13"/>
      <c r="AG268" s="13"/>
    </row>
    <row r="269">
      <c r="A269" s="41">
        <v>267.0</v>
      </c>
      <c r="B269" s="55" t="str">
        <f t="shared" si="1"/>
        <v>#N/A</v>
      </c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F269" s="13"/>
      <c r="AG269" s="13"/>
    </row>
    <row r="270">
      <c r="A270" s="41">
        <v>268.0</v>
      </c>
      <c r="B270" s="55" t="str">
        <f t="shared" si="1"/>
        <v>#N/A</v>
      </c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F270" s="13"/>
      <c r="AG270" s="13"/>
    </row>
    <row r="271">
      <c r="A271" s="41">
        <v>269.0</v>
      </c>
      <c r="B271" s="55" t="str">
        <f t="shared" si="1"/>
        <v>#N/A</v>
      </c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F271" s="13"/>
      <c r="AG271" s="13"/>
    </row>
    <row r="272">
      <c r="A272" s="41">
        <v>270.0</v>
      </c>
      <c r="B272" s="55" t="str">
        <f t="shared" si="1"/>
        <v>#N/A</v>
      </c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F272" s="13"/>
      <c r="AG272" s="13"/>
    </row>
    <row r="273">
      <c r="A273" s="41">
        <v>271.0</v>
      </c>
      <c r="B273" s="55" t="str">
        <f t="shared" si="1"/>
        <v>#N/A</v>
      </c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F273" s="13"/>
      <c r="AG273" s="13"/>
    </row>
    <row r="274">
      <c r="A274" s="41">
        <v>272.0</v>
      </c>
      <c r="B274" s="55" t="str">
        <f t="shared" si="1"/>
        <v>#N/A</v>
      </c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F274" s="13"/>
      <c r="AG274" s="13"/>
    </row>
    <row r="275">
      <c r="A275" s="41">
        <v>273.0</v>
      </c>
      <c r="B275" s="55" t="str">
        <f t="shared" si="1"/>
        <v>#N/A</v>
      </c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F275" s="13"/>
      <c r="AG275" s="13"/>
    </row>
    <row r="276">
      <c r="A276" s="41">
        <v>274.0</v>
      </c>
      <c r="B276" s="55" t="str">
        <f t="shared" si="1"/>
        <v>#N/A</v>
      </c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F276" s="13"/>
      <c r="AG276" s="13"/>
    </row>
    <row r="277">
      <c r="A277" s="41">
        <v>275.0</v>
      </c>
      <c r="B277" s="55" t="str">
        <f t="shared" si="1"/>
        <v>#N/A</v>
      </c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F277" s="13"/>
      <c r="AG277" s="13"/>
    </row>
    <row r="278">
      <c r="A278" s="41">
        <v>276.0</v>
      </c>
      <c r="B278" s="55" t="str">
        <f t="shared" si="1"/>
        <v>#N/A</v>
      </c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F278" s="13"/>
      <c r="AG278" s="13"/>
    </row>
    <row r="279">
      <c r="A279" s="41">
        <v>277.0</v>
      </c>
      <c r="B279" s="55" t="str">
        <f t="shared" si="1"/>
        <v>#N/A</v>
      </c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F279" s="13"/>
      <c r="AG279" s="13"/>
    </row>
    <row r="280">
      <c r="A280" s="41">
        <v>278.0</v>
      </c>
      <c r="B280" s="55" t="str">
        <f t="shared" si="1"/>
        <v>#N/A</v>
      </c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F280" s="13"/>
      <c r="AG280" s="13"/>
    </row>
    <row r="281">
      <c r="A281" s="41">
        <v>279.0</v>
      </c>
      <c r="B281" s="55" t="str">
        <f t="shared" si="1"/>
        <v>#N/A</v>
      </c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F281" s="13"/>
      <c r="AG281" s="13"/>
    </row>
    <row r="282">
      <c r="A282" s="41">
        <v>280.0</v>
      </c>
      <c r="B282" s="55" t="str">
        <f t="shared" si="1"/>
        <v>#N/A</v>
      </c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F282" s="13"/>
      <c r="AG282" s="13"/>
    </row>
    <row r="283">
      <c r="A283" s="41">
        <v>281.0</v>
      </c>
      <c r="B283" s="55" t="str">
        <f t="shared" si="1"/>
        <v>#N/A</v>
      </c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F283" s="13"/>
      <c r="AG283" s="13"/>
    </row>
    <row r="284">
      <c r="A284" s="41">
        <v>282.0</v>
      </c>
      <c r="B284" s="55" t="str">
        <f t="shared" si="1"/>
        <v>#N/A</v>
      </c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F284" s="13"/>
      <c r="AG284" s="13"/>
    </row>
    <row r="285">
      <c r="A285" s="41">
        <v>283.0</v>
      </c>
      <c r="B285" s="55" t="str">
        <f t="shared" si="1"/>
        <v>#N/A</v>
      </c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F285" s="13"/>
      <c r="AG285" s="13"/>
    </row>
    <row r="286">
      <c r="A286" s="41">
        <v>284.0</v>
      </c>
      <c r="B286" s="55" t="str">
        <f t="shared" si="1"/>
        <v>#N/A</v>
      </c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F286" s="13"/>
      <c r="AG286" s="13"/>
    </row>
    <row r="287">
      <c r="A287" s="41">
        <v>285.0</v>
      </c>
      <c r="B287" s="55" t="str">
        <f t="shared" si="1"/>
        <v>#N/A</v>
      </c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F287" s="13"/>
      <c r="AG287" s="13"/>
    </row>
    <row r="288">
      <c r="A288" s="41">
        <v>286.0</v>
      </c>
      <c r="B288" s="55" t="str">
        <f t="shared" si="1"/>
        <v>#N/A</v>
      </c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F288" s="13"/>
      <c r="AG288" s="13"/>
    </row>
    <row r="289">
      <c r="A289" s="41">
        <v>287.0</v>
      </c>
      <c r="B289" s="55" t="str">
        <f t="shared" si="1"/>
        <v>#N/A</v>
      </c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F289" s="13"/>
      <c r="AG289" s="13"/>
    </row>
    <row r="290">
      <c r="A290" s="41">
        <v>288.0</v>
      </c>
      <c r="B290" s="55" t="str">
        <f t="shared" si="1"/>
        <v>#N/A</v>
      </c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F290" s="13"/>
      <c r="AG290" s="13"/>
    </row>
    <row r="291">
      <c r="A291" s="41">
        <v>289.0</v>
      </c>
      <c r="B291" s="55" t="str">
        <f t="shared" si="1"/>
        <v>#N/A</v>
      </c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F291" s="13"/>
      <c r="AG291" s="13"/>
    </row>
    <row r="292">
      <c r="A292" s="41">
        <v>290.0</v>
      </c>
      <c r="B292" s="55" t="str">
        <f t="shared" si="1"/>
        <v>#N/A</v>
      </c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F292" s="13"/>
      <c r="AG292" s="13"/>
    </row>
    <row r="293">
      <c r="A293" s="41">
        <v>291.0</v>
      </c>
      <c r="B293" s="55" t="str">
        <f t="shared" si="1"/>
        <v>#N/A</v>
      </c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F293" s="13"/>
      <c r="AG293" s="13"/>
    </row>
    <row r="294">
      <c r="A294" s="41">
        <v>292.0</v>
      </c>
      <c r="B294" s="55" t="str">
        <f t="shared" si="1"/>
        <v>#N/A</v>
      </c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F294" s="13"/>
      <c r="AG294" s="13"/>
    </row>
    <row r="295">
      <c r="A295" s="41">
        <v>293.0</v>
      </c>
      <c r="B295" s="55" t="str">
        <f t="shared" si="1"/>
        <v>#N/A</v>
      </c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F295" s="13"/>
      <c r="AG295" s="13"/>
    </row>
    <row r="296">
      <c r="A296" s="41">
        <v>294.0</v>
      </c>
      <c r="B296" s="55" t="str">
        <f t="shared" si="1"/>
        <v>#N/A</v>
      </c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F296" s="13"/>
      <c r="AG296" s="13"/>
    </row>
    <row r="297">
      <c r="A297" s="41">
        <v>295.0</v>
      </c>
      <c r="B297" s="55" t="str">
        <f t="shared" si="1"/>
        <v>#N/A</v>
      </c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F297" s="13"/>
      <c r="AG297" s="13"/>
    </row>
    <row r="298">
      <c r="A298" s="41">
        <v>296.0</v>
      </c>
      <c r="B298" s="55" t="str">
        <f t="shared" si="1"/>
        <v>#N/A</v>
      </c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F298" s="13"/>
      <c r="AG298" s="13"/>
    </row>
    <row r="299">
      <c r="A299" s="41">
        <v>297.0</v>
      </c>
      <c r="B299" s="55" t="str">
        <f t="shared" si="1"/>
        <v>#N/A</v>
      </c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F299" s="13"/>
      <c r="AG299" s="13"/>
    </row>
    <row r="300">
      <c r="A300" s="41">
        <v>298.0</v>
      </c>
      <c r="B300" s="55" t="str">
        <f t="shared" si="1"/>
        <v>#N/A</v>
      </c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F300" s="13"/>
      <c r="AG300" s="13"/>
    </row>
    <row r="301">
      <c r="A301" s="41">
        <v>299.0</v>
      </c>
      <c r="B301" s="55" t="str">
        <f t="shared" si="1"/>
        <v>#N/A</v>
      </c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F301" s="13"/>
      <c r="AG301" s="13"/>
    </row>
    <row r="302">
      <c r="A302" s="41">
        <v>300.0</v>
      </c>
      <c r="B302" s="55" t="str">
        <f t="shared" si="1"/>
        <v>#N/A</v>
      </c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F302" s="13"/>
      <c r="AG302" s="13"/>
    </row>
    <row r="303">
      <c r="A303" s="41">
        <v>301.0</v>
      </c>
      <c r="B303" s="55" t="str">
        <f t="shared" si="1"/>
        <v>#N/A</v>
      </c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F303" s="13"/>
      <c r="AG303" s="13"/>
    </row>
    <row r="304">
      <c r="A304" s="41">
        <v>302.0</v>
      </c>
      <c r="B304" s="55" t="str">
        <f t="shared" si="1"/>
        <v>#N/A</v>
      </c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F304" s="13"/>
      <c r="AG304" s="13"/>
    </row>
    <row r="305">
      <c r="A305" s="41">
        <v>303.0</v>
      </c>
      <c r="B305" s="55" t="str">
        <f t="shared" si="1"/>
        <v>#N/A</v>
      </c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F305" s="13"/>
      <c r="AG305" s="13"/>
    </row>
    <row r="306">
      <c r="A306" s="41">
        <v>304.0</v>
      </c>
      <c r="B306" s="55" t="str">
        <f t="shared" si="1"/>
        <v>#N/A</v>
      </c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F306" s="13"/>
      <c r="AG306" s="13"/>
    </row>
    <row r="307">
      <c r="A307" s="41">
        <v>305.0</v>
      </c>
      <c r="B307" s="55" t="str">
        <f t="shared" si="1"/>
        <v>#N/A</v>
      </c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F307" s="13"/>
      <c r="AG307" s="13"/>
    </row>
    <row r="308">
      <c r="A308" s="41">
        <v>306.0</v>
      </c>
      <c r="B308" s="55" t="str">
        <f t="shared" si="1"/>
        <v>#N/A</v>
      </c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F308" s="13"/>
      <c r="AG308" s="13"/>
    </row>
    <row r="309">
      <c r="A309" s="41">
        <v>307.0</v>
      </c>
      <c r="B309" s="55" t="str">
        <f t="shared" si="1"/>
        <v>#N/A</v>
      </c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F309" s="13"/>
      <c r="AG309" s="13"/>
    </row>
    <row r="310">
      <c r="A310" s="41">
        <v>308.0</v>
      </c>
      <c r="B310" s="55" t="str">
        <f t="shared" si="1"/>
        <v>#N/A</v>
      </c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F310" s="13"/>
      <c r="AG310" s="13"/>
    </row>
    <row r="311">
      <c r="A311" s="41">
        <v>309.0</v>
      </c>
      <c r="B311" s="55" t="str">
        <f t="shared" si="1"/>
        <v>#N/A</v>
      </c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F311" s="13"/>
      <c r="AG311" s="13"/>
    </row>
    <row r="312">
      <c r="A312" s="41">
        <v>310.0</v>
      </c>
      <c r="B312" s="55" t="str">
        <f t="shared" si="1"/>
        <v>#N/A</v>
      </c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F312" s="13"/>
      <c r="AG312" s="13"/>
    </row>
    <row r="313">
      <c r="A313" s="41">
        <v>311.0</v>
      </c>
      <c r="B313" s="55" t="str">
        <f t="shared" si="1"/>
        <v>#N/A</v>
      </c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F313" s="13"/>
      <c r="AG313" s="13"/>
    </row>
    <row r="314">
      <c r="A314" s="41">
        <v>312.0</v>
      </c>
      <c r="B314" s="55" t="str">
        <f t="shared" si="1"/>
        <v>#N/A</v>
      </c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F314" s="13"/>
      <c r="AG314" s="13"/>
    </row>
    <row r="315">
      <c r="A315" s="41">
        <v>313.0</v>
      </c>
      <c r="B315" s="55" t="str">
        <f t="shared" si="1"/>
        <v>#N/A</v>
      </c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F315" s="13"/>
      <c r="AG315" s="13"/>
    </row>
    <row r="316">
      <c r="A316" s="41">
        <v>314.0</v>
      </c>
      <c r="B316" s="55" t="str">
        <f t="shared" si="1"/>
        <v>#N/A</v>
      </c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F316" s="13"/>
      <c r="AG316" s="13"/>
    </row>
    <row r="317">
      <c r="A317" s="41">
        <v>315.0</v>
      </c>
      <c r="B317" s="55" t="str">
        <f t="shared" si="1"/>
        <v>#N/A</v>
      </c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F317" s="13"/>
      <c r="AG317" s="13"/>
    </row>
    <row r="318">
      <c r="A318" s="41">
        <v>316.0</v>
      </c>
      <c r="B318" s="55" t="str">
        <f t="shared" si="1"/>
        <v>#N/A</v>
      </c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F318" s="13"/>
      <c r="AG318" s="13"/>
    </row>
    <row r="319">
      <c r="A319" s="41">
        <v>317.0</v>
      </c>
      <c r="B319" s="55" t="str">
        <f t="shared" si="1"/>
        <v>#N/A</v>
      </c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F319" s="13"/>
      <c r="AG319" s="13"/>
    </row>
    <row r="320">
      <c r="A320" s="41">
        <v>318.0</v>
      </c>
      <c r="B320" s="55" t="str">
        <f t="shared" si="1"/>
        <v>#N/A</v>
      </c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F320" s="13"/>
      <c r="AG320" s="13"/>
    </row>
    <row r="321">
      <c r="A321" s="41">
        <v>319.0</v>
      </c>
      <c r="B321" s="55" t="str">
        <f t="shared" si="1"/>
        <v>#N/A</v>
      </c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F321" s="13"/>
      <c r="AG321" s="13"/>
    </row>
    <row r="322">
      <c r="A322" s="41">
        <v>320.0</v>
      </c>
      <c r="B322" s="55" t="str">
        <f t="shared" si="1"/>
        <v>#N/A</v>
      </c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F322" s="13"/>
      <c r="AG322" s="13"/>
    </row>
    <row r="323">
      <c r="A323" s="41">
        <v>321.0</v>
      </c>
      <c r="B323" s="55" t="str">
        <f t="shared" si="1"/>
        <v>#N/A</v>
      </c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F323" s="13"/>
      <c r="AG323" s="13"/>
    </row>
    <row r="324">
      <c r="A324" s="41">
        <v>322.0</v>
      </c>
      <c r="B324" s="55" t="str">
        <f t="shared" si="1"/>
        <v>#N/A</v>
      </c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F324" s="13"/>
      <c r="AG324" s="13"/>
    </row>
    <row r="325">
      <c r="A325" s="41">
        <v>323.0</v>
      </c>
      <c r="B325" s="55" t="str">
        <f t="shared" si="1"/>
        <v>#N/A</v>
      </c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F325" s="13"/>
      <c r="AG325" s="13"/>
    </row>
    <row r="326">
      <c r="A326" s="41">
        <v>324.0</v>
      </c>
      <c r="B326" s="55" t="str">
        <f t="shared" si="1"/>
        <v>#N/A</v>
      </c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F326" s="13"/>
      <c r="AG326" s="13"/>
    </row>
    <row r="327">
      <c r="A327" s="41">
        <v>325.0</v>
      </c>
      <c r="B327" s="55" t="str">
        <f t="shared" si="1"/>
        <v>#N/A</v>
      </c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F327" s="13"/>
      <c r="AG327" s="13"/>
    </row>
    <row r="328">
      <c r="A328" s="41">
        <v>326.0</v>
      </c>
      <c r="B328" s="55" t="str">
        <f t="shared" si="1"/>
        <v>#N/A</v>
      </c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F328" s="13"/>
      <c r="AG328" s="13"/>
    </row>
    <row r="329">
      <c r="A329" s="41">
        <v>327.0</v>
      </c>
      <c r="B329" s="55" t="str">
        <f t="shared" si="1"/>
        <v>#N/A</v>
      </c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F329" s="13"/>
      <c r="AG329" s="13"/>
    </row>
    <row r="330">
      <c r="A330" s="41">
        <v>328.0</v>
      </c>
      <c r="B330" s="55" t="str">
        <f t="shared" si="1"/>
        <v>#N/A</v>
      </c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F330" s="13"/>
      <c r="AG330" s="13"/>
    </row>
    <row r="331">
      <c r="A331" s="41">
        <v>329.0</v>
      </c>
      <c r="B331" s="55" t="str">
        <f t="shared" si="1"/>
        <v>#N/A</v>
      </c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F331" s="13"/>
      <c r="AG331" s="13"/>
    </row>
    <row r="332">
      <c r="A332" s="41">
        <v>330.0</v>
      </c>
      <c r="B332" s="55" t="str">
        <f t="shared" si="1"/>
        <v>#N/A</v>
      </c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F332" s="13"/>
      <c r="AG332" s="13"/>
    </row>
    <row r="333">
      <c r="A333" s="41">
        <v>331.0</v>
      </c>
      <c r="B333" s="55" t="str">
        <f t="shared" si="1"/>
        <v>#N/A</v>
      </c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F333" s="13"/>
      <c r="AG333" s="13"/>
    </row>
    <row r="334">
      <c r="A334" s="41">
        <v>332.0</v>
      </c>
      <c r="B334" s="55" t="str">
        <f t="shared" si="1"/>
        <v>#N/A</v>
      </c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F334" s="13"/>
      <c r="AG334" s="13"/>
    </row>
    <row r="335">
      <c r="A335" s="41">
        <v>333.0</v>
      </c>
      <c r="B335" s="55" t="str">
        <f t="shared" si="1"/>
        <v>#N/A</v>
      </c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F335" s="13"/>
      <c r="AG335" s="13"/>
    </row>
    <row r="336">
      <c r="A336" s="41">
        <v>334.0</v>
      </c>
      <c r="B336" s="55" t="str">
        <f t="shared" si="1"/>
        <v>#N/A</v>
      </c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F336" s="13"/>
      <c r="AG336" s="13"/>
    </row>
    <row r="337">
      <c r="A337" s="41">
        <v>335.0</v>
      </c>
      <c r="B337" s="55" t="str">
        <f t="shared" si="1"/>
        <v>#N/A</v>
      </c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F337" s="13"/>
      <c r="AG337" s="13"/>
    </row>
    <row r="338">
      <c r="A338" s="41">
        <v>336.0</v>
      </c>
      <c r="B338" s="55" t="str">
        <f t="shared" si="1"/>
        <v>#N/A</v>
      </c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F338" s="13"/>
      <c r="AG338" s="13"/>
    </row>
    <row r="339">
      <c r="A339" s="41">
        <v>337.0</v>
      </c>
      <c r="B339" s="55" t="str">
        <f t="shared" si="1"/>
        <v>#N/A</v>
      </c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F339" s="13"/>
      <c r="AG339" s="13"/>
    </row>
    <row r="340">
      <c r="A340" s="41">
        <v>338.0</v>
      </c>
      <c r="B340" s="55" t="str">
        <f t="shared" si="1"/>
        <v>#N/A</v>
      </c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F340" s="13"/>
      <c r="AG340" s="13"/>
    </row>
    <row r="341">
      <c r="A341" s="41">
        <v>339.0</v>
      </c>
      <c r="B341" s="55" t="str">
        <f t="shared" si="1"/>
        <v>#N/A</v>
      </c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F341" s="13"/>
      <c r="AG341" s="13"/>
    </row>
    <row r="342">
      <c r="A342" s="41">
        <v>340.0</v>
      </c>
      <c r="B342" s="55" t="str">
        <f t="shared" si="1"/>
        <v>#N/A</v>
      </c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F342" s="13"/>
      <c r="AG342" s="13"/>
    </row>
    <row r="343">
      <c r="A343" s="41">
        <v>341.0</v>
      </c>
      <c r="B343" s="55" t="str">
        <f t="shared" si="1"/>
        <v>#N/A</v>
      </c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F343" s="13"/>
      <c r="AG343" s="13"/>
    </row>
    <row r="344">
      <c r="A344" s="41">
        <v>342.0</v>
      </c>
      <c r="B344" s="55" t="str">
        <f t="shared" si="1"/>
        <v>#N/A</v>
      </c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F344" s="13"/>
      <c r="AG344" s="13"/>
    </row>
    <row r="345">
      <c r="A345" s="41">
        <v>343.0</v>
      </c>
      <c r="B345" s="55" t="str">
        <f t="shared" si="1"/>
        <v>#N/A</v>
      </c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F345" s="13"/>
      <c r="AG345" s="13"/>
    </row>
    <row r="346">
      <c r="A346" s="41">
        <v>344.0</v>
      </c>
      <c r="B346" s="55" t="str">
        <f t="shared" si="1"/>
        <v>#N/A</v>
      </c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F346" s="13"/>
      <c r="AG346" s="13"/>
    </row>
    <row r="347">
      <c r="A347" s="41">
        <v>345.0</v>
      </c>
      <c r="B347" s="55" t="str">
        <f t="shared" si="1"/>
        <v>#N/A</v>
      </c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F347" s="13"/>
      <c r="AG347" s="13"/>
    </row>
    <row r="348">
      <c r="A348" s="41">
        <v>346.0</v>
      </c>
      <c r="B348" s="55" t="str">
        <f t="shared" si="1"/>
        <v>#N/A</v>
      </c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F348" s="13"/>
      <c r="AG348" s="13"/>
    </row>
    <row r="349">
      <c r="A349" s="41">
        <v>347.0</v>
      </c>
      <c r="B349" s="55" t="str">
        <f t="shared" si="1"/>
        <v>#N/A</v>
      </c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F349" s="13"/>
      <c r="AG349" s="13"/>
    </row>
    <row r="350">
      <c r="A350" s="41">
        <v>348.0</v>
      </c>
      <c r="B350" s="55" t="str">
        <f t="shared" si="1"/>
        <v>#N/A</v>
      </c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F350" s="13"/>
      <c r="AG350" s="13"/>
    </row>
    <row r="351">
      <c r="A351" s="41">
        <v>349.0</v>
      </c>
      <c r="B351" s="55" t="str">
        <f t="shared" si="1"/>
        <v>#N/A</v>
      </c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F351" s="13"/>
      <c r="AG351" s="13"/>
    </row>
    <row r="352">
      <c r="A352" s="41">
        <v>350.0</v>
      </c>
      <c r="B352" s="55" t="str">
        <f t="shared" si="1"/>
        <v>#N/A</v>
      </c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F352" s="13"/>
      <c r="AG352" s="13"/>
    </row>
    <row r="353">
      <c r="A353" s="41">
        <v>351.0</v>
      </c>
      <c r="B353" s="55" t="str">
        <f t="shared" si="1"/>
        <v>#N/A</v>
      </c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F353" s="13"/>
      <c r="AG353" s="13"/>
    </row>
    <row r="354">
      <c r="A354" s="41">
        <v>352.0</v>
      </c>
      <c r="B354" s="55" t="str">
        <f t="shared" si="1"/>
        <v>#N/A</v>
      </c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F354" s="13"/>
      <c r="AG354" s="13"/>
    </row>
    <row r="355">
      <c r="A355" s="41">
        <v>353.0</v>
      </c>
      <c r="B355" s="55" t="str">
        <f t="shared" si="1"/>
        <v>#N/A</v>
      </c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F355" s="13"/>
      <c r="AG355" s="13"/>
    </row>
    <row r="356">
      <c r="A356" s="41">
        <v>354.0</v>
      </c>
      <c r="B356" s="55" t="str">
        <f t="shared" si="1"/>
        <v>#N/A</v>
      </c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F356" s="13"/>
      <c r="AG356" s="13"/>
    </row>
    <row r="357">
      <c r="A357" s="41">
        <v>355.0</v>
      </c>
      <c r="B357" s="55" t="str">
        <f t="shared" si="1"/>
        <v>#N/A</v>
      </c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F357" s="13"/>
      <c r="AG357" s="13"/>
    </row>
    <row r="358">
      <c r="A358" s="41">
        <v>356.0</v>
      </c>
      <c r="B358" s="55" t="str">
        <f t="shared" si="1"/>
        <v>#N/A</v>
      </c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F358" s="13"/>
      <c r="AG358" s="13"/>
    </row>
    <row r="359">
      <c r="A359" s="41">
        <v>357.0</v>
      </c>
      <c r="B359" s="55" t="str">
        <f t="shared" si="1"/>
        <v>#N/A</v>
      </c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F359" s="13"/>
      <c r="AG359" s="13"/>
    </row>
    <row r="360">
      <c r="A360" s="41">
        <v>358.0</v>
      </c>
      <c r="B360" s="55" t="str">
        <f t="shared" si="1"/>
        <v>#N/A</v>
      </c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F360" s="13"/>
      <c r="AG360" s="13"/>
    </row>
    <row r="361">
      <c r="A361" s="41">
        <v>359.0</v>
      </c>
      <c r="B361" s="55" t="str">
        <f t="shared" si="1"/>
        <v>#N/A</v>
      </c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F361" s="13"/>
      <c r="AG361" s="13"/>
    </row>
    <row r="362">
      <c r="A362" s="41">
        <v>360.0</v>
      </c>
      <c r="B362" s="55" t="str">
        <f t="shared" si="1"/>
        <v>#N/A</v>
      </c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F362" s="13"/>
      <c r="AG362" s="13"/>
    </row>
    <row r="363">
      <c r="A363" s="41">
        <v>361.0</v>
      </c>
      <c r="B363" s="55" t="str">
        <f t="shared" si="1"/>
        <v>#N/A</v>
      </c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F363" s="13"/>
      <c r="AG363" s="13"/>
    </row>
    <row r="364">
      <c r="A364" s="41">
        <v>362.0</v>
      </c>
      <c r="B364" s="55" t="str">
        <f t="shared" si="1"/>
        <v>#N/A</v>
      </c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F364" s="13"/>
      <c r="AG364" s="13"/>
    </row>
    <row r="365">
      <c r="A365" s="41">
        <v>363.0</v>
      </c>
      <c r="B365" s="55" t="str">
        <f t="shared" si="1"/>
        <v>#N/A</v>
      </c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F365" s="13"/>
      <c r="AG365" s="13"/>
    </row>
    <row r="366">
      <c r="A366" s="41">
        <v>364.0</v>
      </c>
      <c r="B366" s="55" t="str">
        <f t="shared" si="1"/>
        <v>#N/A</v>
      </c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F366" s="13"/>
      <c r="AG366" s="13"/>
    </row>
    <row r="367">
      <c r="A367" s="41">
        <v>365.0</v>
      </c>
      <c r="B367" s="55" t="str">
        <f t="shared" si="1"/>
        <v>#N/A</v>
      </c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F367" s="13"/>
      <c r="AG367" s="13"/>
    </row>
    <row r="368">
      <c r="A368" s="41">
        <v>366.0</v>
      </c>
      <c r="B368" s="55" t="str">
        <f t="shared" si="1"/>
        <v>#N/A</v>
      </c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F368" s="13"/>
      <c r="AG368" s="13"/>
    </row>
    <row r="369">
      <c r="A369" s="41">
        <v>367.0</v>
      </c>
      <c r="B369" s="55" t="str">
        <f t="shared" si="1"/>
        <v>#N/A</v>
      </c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F369" s="13"/>
      <c r="AG369" s="13"/>
    </row>
    <row r="370">
      <c r="A370" s="41">
        <v>368.0</v>
      </c>
      <c r="B370" s="55" t="str">
        <f t="shared" si="1"/>
        <v>#N/A</v>
      </c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F370" s="13"/>
      <c r="AG370" s="13"/>
    </row>
    <row r="371">
      <c r="A371" s="41">
        <v>369.0</v>
      </c>
      <c r="B371" s="55" t="str">
        <f t="shared" si="1"/>
        <v>#N/A</v>
      </c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F371" s="13"/>
      <c r="AG371" s="13"/>
    </row>
    <row r="372">
      <c r="A372" s="41">
        <v>370.0</v>
      </c>
      <c r="B372" s="55" t="str">
        <f t="shared" si="1"/>
        <v>#N/A</v>
      </c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F372" s="13"/>
      <c r="AG372" s="13"/>
    </row>
    <row r="373">
      <c r="A373" s="41">
        <v>371.0</v>
      </c>
      <c r="B373" s="55" t="str">
        <f t="shared" si="1"/>
        <v>#N/A</v>
      </c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F373" s="13"/>
      <c r="AG373" s="13"/>
    </row>
    <row r="374">
      <c r="A374" s="41">
        <v>372.0</v>
      </c>
      <c r="B374" s="55" t="str">
        <f t="shared" si="1"/>
        <v>#N/A</v>
      </c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F374" s="13"/>
      <c r="AG374" s="13"/>
    </row>
    <row r="375">
      <c r="A375" s="41">
        <v>373.0</v>
      </c>
      <c r="B375" s="55" t="str">
        <f t="shared" si="1"/>
        <v>#N/A</v>
      </c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F375" s="13"/>
      <c r="AG375" s="13"/>
    </row>
    <row r="376">
      <c r="A376" s="41">
        <v>374.0</v>
      </c>
      <c r="B376" s="55" t="str">
        <f t="shared" si="1"/>
        <v>#N/A</v>
      </c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F376" s="13"/>
      <c r="AG376" s="13"/>
    </row>
    <row r="377">
      <c r="A377" s="41">
        <v>375.0</v>
      </c>
      <c r="B377" s="55" t="str">
        <f t="shared" si="1"/>
        <v>#N/A</v>
      </c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F377" s="13"/>
      <c r="AG377" s="13"/>
    </row>
    <row r="378">
      <c r="A378" s="41">
        <v>376.0</v>
      </c>
      <c r="B378" s="55" t="str">
        <f t="shared" si="1"/>
        <v>#N/A</v>
      </c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F378" s="13"/>
      <c r="AG378" s="13"/>
    </row>
    <row r="379">
      <c r="A379" s="41">
        <v>377.0</v>
      </c>
      <c r="B379" s="55" t="str">
        <f t="shared" si="1"/>
        <v>#N/A</v>
      </c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F379" s="13"/>
      <c r="AG379" s="13"/>
    </row>
    <row r="380">
      <c r="A380" s="41">
        <v>378.0</v>
      </c>
      <c r="B380" s="55" t="str">
        <f t="shared" si="1"/>
        <v>#N/A</v>
      </c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F380" s="13"/>
      <c r="AG380" s="13"/>
    </row>
    <row r="381">
      <c r="A381" s="41">
        <v>379.0</v>
      </c>
      <c r="B381" s="55" t="str">
        <f t="shared" si="1"/>
        <v>#N/A</v>
      </c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F381" s="13"/>
      <c r="AG381" s="13"/>
    </row>
    <row r="382">
      <c r="A382" s="41">
        <v>380.0</v>
      </c>
      <c r="B382" s="55" t="str">
        <f t="shared" si="1"/>
        <v>#N/A</v>
      </c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F382" s="13"/>
      <c r="AG382" s="13"/>
    </row>
    <row r="383">
      <c r="A383" s="41">
        <v>381.0</v>
      </c>
      <c r="B383" s="55" t="str">
        <f t="shared" si="1"/>
        <v>#N/A</v>
      </c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F383" s="13"/>
      <c r="AG383" s="13"/>
    </row>
    <row r="384">
      <c r="A384" s="41">
        <v>382.0</v>
      </c>
      <c r="B384" s="55" t="str">
        <f t="shared" si="1"/>
        <v>#N/A</v>
      </c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F384" s="13"/>
      <c r="AG384" s="13"/>
    </row>
    <row r="385">
      <c r="A385" s="41">
        <v>383.0</v>
      </c>
      <c r="B385" s="55" t="str">
        <f t="shared" si="1"/>
        <v>#N/A</v>
      </c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F385" s="13"/>
      <c r="AG385" s="13"/>
    </row>
    <row r="386">
      <c r="A386" s="41">
        <v>384.0</v>
      </c>
      <c r="B386" s="55" t="str">
        <f t="shared" si="1"/>
        <v>#N/A</v>
      </c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F386" s="13"/>
      <c r="AG386" s="13"/>
    </row>
    <row r="387">
      <c r="A387" s="41">
        <v>385.0</v>
      </c>
      <c r="B387" s="55" t="str">
        <f t="shared" si="1"/>
        <v>#N/A</v>
      </c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F387" s="13"/>
      <c r="AG387" s="13"/>
    </row>
    <row r="388">
      <c r="A388" s="41">
        <v>386.0</v>
      </c>
      <c r="B388" s="55" t="str">
        <f t="shared" si="1"/>
        <v>#N/A</v>
      </c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F388" s="13"/>
      <c r="AG388" s="13"/>
    </row>
    <row r="389">
      <c r="A389" s="41">
        <v>387.0</v>
      </c>
      <c r="B389" s="55" t="str">
        <f t="shared" si="1"/>
        <v>#N/A</v>
      </c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F389" s="13"/>
      <c r="AG389" s="13"/>
    </row>
    <row r="390">
      <c r="A390" s="41">
        <v>388.0</v>
      </c>
      <c r="B390" s="55" t="str">
        <f t="shared" si="1"/>
        <v>#N/A</v>
      </c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F390" s="13"/>
      <c r="AG390" s="13"/>
    </row>
    <row r="391">
      <c r="A391" s="41">
        <v>389.0</v>
      </c>
      <c r="B391" s="55" t="str">
        <f t="shared" si="1"/>
        <v>#N/A</v>
      </c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F391" s="13"/>
      <c r="AG391" s="13"/>
    </row>
    <row r="392">
      <c r="A392" s="41">
        <v>390.0</v>
      </c>
      <c r="B392" s="55" t="str">
        <f t="shared" si="1"/>
        <v>#N/A</v>
      </c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F392" s="13"/>
      <c r="AG392" s="13"/>
    </row>
    <row r="393">
      <c r="A393" s="41">
        <v>391.0</v>
      </c>
      <c r="B393" s="55" t="str">
        <f t="shared" si="1"/>
        <v>#N/A</v>
      </c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F393" s="13"/>
      <c r="AG393" s="13"/>
    </row>
    <row r="394">
      <c r="A394" s="41">
        <v>392.0</v>
      </c>
      <c r="B394" s="55" t="str">
        <f t="shared" si="1"/>
        <v>#N/A</v>
      </c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F394" s="13"/>
      <c r="AG394" s="13"/>
    </row>
    <row r="395">
      <c r="A395" s="41">
        <v>393.0</v>
      </c>
      <c r="B395" s="55" t="str">
        <f t="shared" si="1"/>
        <v>#N/A</v>
      </c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F395" s="13"/>
      <c r="AG395" s="13"/>
    </row>
    <row r="396">
      <c r="A396" s="41">
        <v>394.0</v>
      </c>
      <c r="B396" s="55" t="str">
        <f t="shared" si="1"/>
        <v>#N/A</v>
      </c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F396" s="13"/>
      <c r="AG396" s="13"/>
    </row>
    <row r="397">
      <c r="A397" s="41">
        <v>395.0</v>
      </c>
      <c r="B397" s="55" t="str">
        <f t="shared" si="1"/>
        <v>#N/A</v>
      </c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F397" s="13"/>
      <c r="AG397" s="13"/>
    </row>
    <row r="398">
      <c r="A398" s="41">
        <v>396.0</v>
      </c>
      <c r="B398" s="55" t="str">
        <f t="shared" si="1"/>
        <v>#N/A</v>
      </c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F398" s="13"/>
      <c r="AG398" s="13"/>
    </row>
    <row r="399">
      <c r="A399" s="41">
        <v>397.0</v>
      </c>
      <c r="B399" s="55" t="str">
        <f t="shared" si="1"/>
        <v>#N/A</v>
      </c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F399" s="13"/>
      <c r="AG399" s="13"/>
    </row>
    <row r="400">
      <c r="A400" s="41">
        <v>398.0</v>
      </c>
      <c r="B400" s="55" t="str">
        <f t="shared" si="1"/>
        <v>#N/A</v>
      </c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F400" s="13"/>
      <c r="AG400" s="13"/>
    </row>
    <row r="401">
      <c r="A401" s="41">
        <v>399.0</v>
      </c>
      <c r="B401" s="55" t="str">
        <f t="shared" si="1"/>
        <v>#N/A</v>
      </c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F401" s="13"/>
      <c r="AG401" s="13"/>
    </row>
    <row r="402">
      <c r="A402" s="41">
        <v>400.0</v>
      </c>
      <c r="B402" s="55" t="str">
        <f t="shared" si="1"/>
        <v>#N/A</v>
      </c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F402" s="13"/>
      <c r="AG402" s="13"/>
    </row>
    <row r="403">
      <c r="A403" s="41">
        <v>401.0</v>
      </c>
      <c r="B403" s="55" t="str">
        <f t="shared" si="1"/>
        <v>#N/A</v>
      </c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F403" s="13"/>
      <c r="AG403" s="13"/>
    </row>
    <row r="404">
      <c r="A404" s="41">
        <v>402.0</v>
      </c>
      <c r="B404" s="55" t="str">
        <f t="shared" si="1"/>
        <v>#N/A</v>
      </c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F404" s="13"/>
      <c r="AG404" s="13"/>
    </row>
    <row r="405">
      <c r="A405" s="41">
        <v>403.0</v>
      </c>
      <c r="B405" s="55" t="str">
        <f t="shared" si="1"/>
        <v>#N/A</v>
      </c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F405" s="13"/>
      <c r="AG405" s="13"/>
    </row>
    <row r="406">
      <c r="A406" s="41">
        <v>404.0</v>
      </c>
      <c r="B406" s="55" t="str">
        <f t="shared" si="1"/>
        <v>#N/A</v>
      </c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F406" s="13"/>
      <c r="AG406" s="13"/>
    </row>
    <row r="407">
      <c r="A407" s="41">
        <v>405.0</v>
      </c>
      <c r="B407" s="55" t="str">
        <f t="shared" si="1"/>
        <v>#N/A</v>
      </c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F407" s="13"/>
      <c r="AG407" s="13"/>
    </row>
    <row r="408">
      <c r="A408" s="41">
        <v>406.0</v>
      </c>
      <c r="B408" s="55" t="str">
        <f t="shared" si="1"/>
        <v>#N/A</v>
      </c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F408" s="13"/>
      <c r="AG408" s="13"/>
    </row>
    <row r="409">
      <c r="A409" s="41">
        <v>407.0</v>
      </c>
      <c r="B409" s="55" t="str">
        <f t="shared" si="1"/>
        <v>#N/A</v>
      </c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F409" s="13"/>
      <c r="AG409" s="13"/>
    </row>
    <row r="410">
      <c r="A410" s="41">
        <v>408.0</v>
      </c>
      <c r="B410" s="55" t="str">
        <f t="shared" si="1"/>
        <v>#N/A</v>
      </c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F410" s="13"/>
      <c r="AG410" s="13"/>
    </row>
    <row r="411">
      <c r="A411" s="41">
        <v>409.0</v>
      </c>
      <c r="B411" s="55" t="str">
        <f t="shared" si="1"/>
        <v>#N/A</v>
      </c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F411" s="13"/>
      <c r="AG411" s="13"/>
    </row>
    <row r="412">
      <c r="A412" s="41">
        <v>410.0</v>
      </c>
      <c r="B412" s="55" t="str">
        <f t="shared" si="1"/>
        <v>#N/A</v>
      </c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F412" s="13"/>
      <c r="AG412" s="13"/>
    </row>
    <row r="413">
      <c r="A413" s="41">
        <v>411.0</v>
      </c>
      <c r="B413" s="55" t="str">
        <f t="shared" si="1"/>
        <v>#N/A</v>
      </c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F413" s="13"/>
      <c r="AG413" s="13"/>
    </row>
    <row r="414">
      <c r="A414" s="41">
        <v>412.0</v>
      </c>
      <c r="B414" s="55" t="str">
        <f t="shared" si="1"/>
        <v>#N/A</v>
      </c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F414" s="13"/>
      <c r="AG414" s="13"/>
    </row>
    <row r="415">
      <c r="A415" s="41">
        <v>413.0</v>
      </c>
      <c r="B415" s="55" t="str">
        <f t="shared" si="1"/>
        <v>#N/A</v>
      </c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F415" s="13"/>
      <c r="AG415" s="13"/>
    </row>
    <row r="416">
      <c r="A416" s="41">
        <v>414.0</v>
      </c>
      <c r="B416" s="55" t="str">
        <f t="shared" si="1"/>
        <v>#N/A</v>
      </c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F416" s="13"/>
      <c r="AG416" s="13"/>
    </row>
    <row r="417">
      <c r="A417" s="41">
        <v>415.0</v>
      </c>
      <c r="B417" s="55" t="str">
        <f t="shared" si="1"/>
        <v>#N/A</v>
      </c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F417" s="13"/>
      <c r="AG417" s="13"/>
    </row>
    <row r="418">
      <c r="A418" s="41">
        <v>416.0</v>
      </c>
      <c r="B418" s="55" t="str">
        <f t="shared" si="1"/>
        <v>#N/A</v>
      </c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F418" s="13"/>
      <c r="AG418" s="13"/>
    </row>
    <row r="419">
      <c r="A419" s="41">
        <v>417.0</v>
      </c>
      <c r="B419" s="55" t="str">
        <f t="shared" si="1"/>
        <v>#N/A</v>
      </c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F419" s="13"/>
      <c r="AG419" s="13"/>
    </row>
    <row r="420">
      <c r="A420" s="41">
        <v>418.0</v>
      </c>
      <c r="B420" s="55" t="str">
        <f t="shared" si="1"/>
        <v>#N/A</v>
      </c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F420" s="13"/>
      <c r="AG420" s="13"/>
    </row>
    <row r="421">
      <c r="A421" s="41">
        <v>419.0</v>
      </c>
      <c r="B421" s="55" t="str">
        <f t="shared" si="1"/>
        <v>#N/A</v>
      </c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F421" s="13"/>
      <c r="AG421" s="13"/>
    </row>
    <row r="422">
      <c r="A422" s="41">
        <v>420.0</v>
      </c>
      <c r="B422" s="55" t="str">
        <f t="shared" si="1"/>
        <v>#N/A</v>
      </c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F422" s="13"/>
      <c r="AG422" s="13"/>
    </row>
    <row r="423">
      <c r="A423" s="41">
        <v>421.0</v>
      </c>
      <c r="B423" s="55" t="str">
        <f t="shared" si="1"/>
        <v>#N/A</v>
      </c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F423" s="13"/>
      <c r="AG423" s="13"/>
    </row>
    <row r="424">
      <c r="A424" s="41">
        <v>422.0</v>
      </c>
      <c r="B424" s="55" t="str">
        <f t="shared" si="1"/>
        <v>#N/A</v>
      </c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F424" s="13"/>
      <c r="AG424" s="13"/>
    </row>
    <row r="425">
      <c r="A425" s="41">
        <v>423.0</v>
      </c>
      <c r="B425" s="55" t="str">
        <f t="shared" si="1"/>
        <v>#N/A</v>
      </c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F425" s="13"/>
      <c r="AG425" s="13"/>
    </row>
    <row r="426">
      <c r="A426" s="41">
        <v>424.0</v>
      </c>
      <c r="B426" s="55" t="str">
        <f t="shared" si="1"/>
        <v>#N/A</v>
      </c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F426" s="13"/>
      <c r="AG426" s="13"/>
    </row>
    <row r="427">
      <c r="A427" s="41">
        <v>425.0</v>
      </c>
      <c r="B427" s="55" t="str">
        <f t="shared" si="1"/>
        <v>#N/A</v>
      </c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F427" s="13"/>
      <c r="AG427" s="13"/>
    </row>
    <row r="428">
      <c r="A428" s="41">
        <v>426.0</v>
      </c>
      <c r="B428" s="55" t="str">
        <f t="shared" si="1"/>
        <v>#N/A</v>
      </c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F428" s="13"/>
      <c r="AG428" s="13"/>
    </row>
    <row r="429">
      <c r="A429" s="41">
        <v>427.0</v>
      </c>
      <c r="B429" s="55" t="str">
        <f t="shared" si="1"/>
        <v>#N/A</v>
      </c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F429" s="13"/>
      <c r="AG429" s="13"/>
    </row>
    <row r="430">
      <c r="A430" s="41">
        <v>428.0</v>
      </c>
      <c r="B430" s="55" t="str">
        <f t="shared" si="1"/>
        <v>#N/A</v>
      </c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F430" s="13"/>
      <c r="AG430" s="13"/>
    </row>
    <row r="431">
      <c r="A431" s="41">
        <v>429.0</v>
      </c>
      <c r="B431" s="55" t="str">
        <f t="shared" si="1"/>
        <v>#N/A</v>
      </c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F431" s="13"/>
      <c r="AG431" s="13"/>
    </row>
    <row r="432">
      <c r="A432" s="41">
        <v>430.0</v>
      </c>
      <c r="B432" s="55" t="str">
        <f t="shared" si="1"/>
        <v>#N/A</v>
      </c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F432" s="13"/>
      <c r="AG432" s="13"/>
    </row>
    <row r="433">
      <c r="A433" s="41">
        <v>431.0</v>
      </c>
      <c r="B433" s="55" t="str">
        <f t="shared" si="1"/>
        <v>#N/A</v>
      </c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F433" s="13"/>
      <c r="AG433" s="13"/>
    </row>
    <row r="434">
      <c r="A434" s="41">
        <v>432.0</v>
      </c>
      <c r="B434" s="55" t="str">
        <f t="shared" si="1"/>
        <v>#N/A</v>
      </c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F434" s="13"/>
      <c r="AG434" s="13"/>
    </row>
    <row r="435">
      <c r="A435" s="41">
        <v>433.0</v>
      </c>
      <c r="B435" s="55" t="str">
        <f t="shared" si="1"/>
        <v>#N/A</v>
      </c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F435" s="13"/>
      <c r="AG435" s="13"/>
    </row>
    <row r="436">
      <c r="A436" s="41">
        <v>434.0</v>
      </c>
      <c r="B436" s="55" t="str">
        <f t="shared" si="1"/>
        <v>#N/A</v>
      </c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F436" s="13"/>
      <c r="AG436" s="13"/>
    </row>
    <row r="437">
      <c r="A437" s="41">
        <v>435.0</v>
      </c>
      <c r="B437" s="55" t="str">
        <f t="shared" si="1"/>
        <v>#N/A</v>
      </c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F437" s="13"/>
      <c r="AG437" s="13"/>
    </row>
    <row r="438">
      <c r="A438" s="41">
        <v>436.0</v>
      </c>
      <c r="B438" s="55" t="str">
        <f t="shared" si="1"/>
        <v>#N/A</v>
      </c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F438" s="13"/>
      <c r="AG438" s="13"/>
    </row>
    <row r="439">
      <c r="A439" s="41">
        <v>437.0</v>
      </c>
      <c r="B439" s="55" t="str">
        <f t="shared" si="1"/>
        <v>#N/A</v>
      </c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F439" s="13"/>
      <c r="AG439" s="13"/>
    </row>
    <row r="440">
      <c r="A440" s="41">
        <v>438.0</v>
      </c>
      <c r="B440" s="55" t="str">
        <f t="shared" si="1"/>
        <v>#N/A</v>
      </c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F440" s="13"/>
      <c r="AG440" s="13"/>
    </row>
    <row r="441">
      <c r="A441" s="41">
        <v>439.0</v>
      </c>
      <c r="B441" s="55" t="str">
        <f t="shared" si="1"/>
        <v>#N/A</v>
      </c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F441" s="13"/>
      <c r="AG441" s="13"/>
    </row>
    <row r="442">
      <c r="A442" s="41">
        <v>440.0</v>
      </c>
      <c r="B442" s="55" t="str">
        <f t="shared" si="1"/>
        <v>#N/A</v>
      </c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F442" s="13"/>
      <c r="AG442" s="13"/>
    </row>
    <row r="443">
      <c r="A443" s="41">
        <v>441.0</v>
      </c>
      <c r="B443" s="55" t="str">
        <f t="shared" si="1"/>
        <v>#N/A</v>
      </c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F443" s="13"/>
      <c r="AG443" s="13"/>
    </row>
    <row r="444">
      <c r="A444" s="41">
        <v>442.0</v>
      </c>
      <c r="B444" s="55" t="str">
        <f t="shared" si="1"/>
        <v>#N/A</v>
      </c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F444" s="13"/>
      <c r="AG444" s="13"/>
    </row>
    <row r="445">
      <c r="A445" s="41">
        <v>443.0</v>
      </c>
      <c r="B445" s="55" t="str">
        <f t="shared" si="1"/>
        <v>#N/A</v>
      </c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F445" s="13"/>
      <c r="AG445" s="13"/>
    </row>
    <row r="446">
      <c r="A446" s="41">
        <v>444.0</v>
      </c>
      <c r="B446" s="55" t="str">
        <f t="shared" si="1"/>
        <v>#N/A</v>
      </c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F446" s="13"/>
      <c r="AG446" s="13"/>
    </row>
    <row r="447">
      <c r="A447" s="41">
        <v>445.0</v>
      </c>
      <c r="B447" s="55" t="str">
        <f t="shared" si="1"/>
        <v>#N/A</v>
      </c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F447" s="13"/>
      <c r="AG447" s="13"/>
    </row>
    <row r="448">
      <c r="A448" s="41">
        <v>446.0</v>
      </c>
      <c r="B448" s="55" t="str">
        <f t="shared" si="1"/>
        <v>#N/A</v>
      </c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F448" s="13"/>
      <c r="AG448" s="13"/>
    </row>
    <row r="449">
      <c r="A449" s="41">
        <v>447.0</v>
      </c>
      <c r="B449" s="55" t="str">
        <f t="shared" si="1"/>
        <v>#N/A</v>
      </c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F449" s="13"/>
      <c r="AG449" s="13"/>
    </row>
    <row r="450">
      <c r="A450" s="41">
        <v>448.0</v>
      </c>
      <c r="B450" s="55" t="str">
        <f t="shared" si="1"/>
        <v>#N/A</v>
      </c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F450" s="13"/>
      <c r="AG450" s="13"/>
    </row>
    <row r="451">
      <c r="A451" s="41">
        <v>449.0</v>
      </c>
      <c r="B451" s="55" t="str">
        <f t="shared" si="1"/>
        <v>#N/A</v>
      </c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F451" s="13"/>
      <c r="AG451" s="13"/>
    </row>
    <row r="452">
      <c r="A452" s="41">
        <v>450.0</v>
      </c>
      <c r="B452" s="55" t="str">
        <f t="shared" si="1"/>
        <v>#N/A</v>
      </c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F452" s="13"/>
      <c r="AG452" s="13"/>
    </row>
    <row r="453">
      <c r="A453" s="41">
        <v>451.0</v>
      </c>
      <c r="B453" s="55" t="str">
        <f t="shared" si="1"/>
        <v>#N/A</v>
      </c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F453" s="13"/>
      <c r="AG453" s="13"/>
    </row>
    <row r="454">
      <c r="A454" s="41">
        <v>452.0</v>
      </c>
      <c r="B454" s="55" t="str">
        <f t="shared" si="1"/>
        <v>#N/A</v>
      </c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F454" s="13"/>
      <c r="AG454" s="13"/>
    </row>
    <row r="455">
      <c r="A455" s="41">
        <v>453.0</v>
      </c>
      <c r="B455" s="55" t="str">
        <f t="shared" si="1"/>
        <v>#N/A</v>
      </c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F455" s="13"/>
      <c r="AG455" s="13"/>
    </row>
    <row r="456">
      <c r="A456" s="41">
        <v>454.0</v>
      </c>
      <c r="B456" s="55" t="str">
        <f t="shared" si="1"/>
        <v>#N/A</v>
      </c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F456" s="13"/>
      <c r="AG456" s="13"/>
    </row>
    <row r="457">
      <c r="A457" s="41">
        <v>455.0</v>
      </c>
      <c r="B457" s="55" t="str">
        <f t="shared" si="1"/>
        <v>#N/A</v>
      </c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F457" s="13"/>
      <c r="AG457" s="13"/>
    </row>
    <row r="458">
      <c r="A458" s="41">
        <v>456.0</v>
      </c>
      <c r="B458" s="55" t="str">
        <f t="shared" si="1"/>
        <v>#N/A</v>
      </c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F458" s="13"/>
      <c r="AG458" s="13"/>
    </row>
    <row r="459">
      <c r="A459" s="41">
        <v>457.0</v>
      </c>
      <c r="B459" s="55" t="str">
        <f t="shared" si="1"/>
        <v>#N/A</v>
      </c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F459" s="13"/>
      <c r="AG459" s="13"/>
    </row>
    <row r="460">
      <c r="A460" s="41">
        <v>458.0</v>
      </c>
      <c r="B460" s="55" t="str">
        <f t="shared" si="1"/>
        <v>#N/A</v>
      </c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F460" s="13"/>
      <c r="AG460" s="13"/>
    </row>
    <row r="461">
      <c r="A461" s="41">
        <v>459.0</v>
      </c>
      <c r="B461" s="55" t="str">
        <f t="shared" si="1"/>
        <v>#N/A</v>
      </c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F461" s="13"/>
      <c r="AG461" s="13"/>
    </row>
    <row r="462">
      <c r="A462" s="41">
        <v>460.0</v>
      </c>
      <c r="B462" s="55" t="str">
        <f t="shared" si="1"/>
        <v>#N/A</v>
      </c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F462" s="13"/>
      <c r="AG462" s="13"/>
    </row>
    <row r="463">
      <c r="A463" s="41">
        <v>461.0</v>
      </c>
      <c r="B463" s="55" t="str">
        <f t="shared" si="1"/>
        <v>#N/A</v>
      </c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F463" s="13"/>
      <c r="AG463" s="13"/>
    </row>
    <row r="464">
      <c r="A464" s="41">
        <v>462.0</v>
      </c>
      <c r="B464" s="55" t="str">
        <f t="shared" si="1"/>
        <v>#N/A</v>
      </c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F464" s="13"/>
      <c r="AG464" s="13"/>
    </row>
    <row r="465">
      <c r="A465" s="41">
        <v>463.0</v>
      </c>
      <c r="B465" s="55" t="str">
        <f t="shared" si="1"/>
        <v>#N/A</v>
      </c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F465" s="13"/>
      <c r="AG465" s="13"/>
    </row>
    <row r="466">
      <c r="A466" s="41">
        <v>464.0</v>
      </c>
      <c r="B466" s="55" t="str">
        <f t="shared" si="1"/>
        <v>#N/A</v>
      </c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F466" s="13"/>
      <c r="AG466" s="13"/>
    </row>
    <row r="467">
      <c r="A467" s="41">
        <v>465.0</v>
      </c>
      <c r="B467" s="55" t="str">
        <f t="shared" si="1"/>
        <v>#N/A</v>
      </c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F467" s="13"/>
      <c r="AG467" s="13"/>
    </row>
    <row r="468">
      <c r="A468" s="41">
        <v>466.0</v>
      </c>
      <c r="B468" s="55" t="str">
        <f t="shared" si="1"/>
        <v>#N/A</v>
      </c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F468" s="13"/>
      <c r="AG468" s="13"/>
    </row>
    <row r="469">
      <c r="A469" s="41">
        <v>467.0</v>
      </c>
      <c r="B469" s="55" t="str">
        <f t="shared" si="1"/>
        <v>#N/A</v>
      </c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F469" s="13"/>
      <c r="AG469" s="13"/>
    </row>
    <row r="470">
      <c r="A470" s="41">
        <v>468.0</v>
      </c>
      <c r="B470" s="55" t="str">
        <f t="shared" si="1"/>
        <v>#N/A</v>
      </c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F470" s="13"/>
      <c r="AG470" s="13"/>
    </row>
    <row r="471">
      <c r="A471" s="41">
        <v>469.0</v>
      </c>
      <c r="B471" s="55" t="str">
        <f t="shared" si="1"/>
        <v>#N/A</v>
      </c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F471" s="13"/>
      <c r="AG471" s="13"/>
    </row>
    <row r="472">
      <c r="A472" s="41">
        <v>470.0</v>
      </c>
      <c r="B472" s="55" t="str">
        <f t="shared" si="1"/>
        <v>#N/A</v>
      </c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F472" s="13"/>
      <c r="AG472" s="13"/>
    </row>
    <row r="473">
      <c r="A473" s="41">
        <v>471.0</v>
      </c>
      <c r="B473" s="55" t="str">
        <f t="shared" si="1"/>
        <v>#N/A</v>
      </c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F473" s="13"/>
      <c r="AG473" s="13"/>
    </row>
    <row r="474">
      <c r="A474" s="41">
        <v>472.0</v>
      </c>
      <c r="B474" s="55" t="str">
        <f t="shared" si="1"/>
        <v>#N/A</v>
      </c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F474" s="13"/>
      <c r="AG474" s="13"/>
    </row>
    <row r="475">
      <c r="A475" s="41">
        <v>473.0</v>
      </c>
      <c r="B475" s="55" t="str">
        <f t="shared" si="1"/>
        <v>#N/A</v>
      </c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F475" s="13"/>
      <c r="AG475" s="13"/>
    </row>
    <row r="476">
      <c r="A476" s="41">
        <v>474.0</v>
      </c>
      <c r="B476" s="55" t="str">
        <f t="shared" si="1"/>
        <v>#N/A</v>
      </c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F476" s="13"/>
      <c r="AG476" s="13"/>
    </row>
    <row r="477">
      <c r="A477" s="41">
        <v>475.0</v>
      </c>
      <c r="B477" s="55" t="str">
        <f t="shared" si="1"/>
        <v>#N/A</v>
      </c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F477" s="13"/>
      <c r="AG477" s="13"/>
    </row>
    <row r="478">
      <c r="A478" s="41">
        <v>476.0</v>
      </c>
      <c r="B478" s="55" t="str">
        <f t="shared" si="1"/>
        <v>#N/A</v>
      </c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F478" s="13"/>
      <c r="AG478" s="13"/>
    </row>
    <row r="479">
      <c r="A479" s="41">
        <v>477.0</v>
      </c>
      <c r="B479" s="55" t="str">
        <f t="shared" si="1"/>
        <v>#N/A</v>
      </c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F479" s="13"/>
      <c r="AG479" s="13"/>
    </row>
    <row r="480">
      <c r="A480" s="41">
        <v>478.0</v>
      </c>
      <c r="B480" s="55" t="str">
        <f t="shared" si="1"/>
        <v>#N/A</v>
      </c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F480" s="13"/>
      <c r="AG480" s="13"/>
    </row>
    <row r="481">
      <c r="A481" s="41">
        <v>479.0</v>
      </c>
      <c r="B481" s="55" t="str">
        <f t="shared" si="1"/>
        <v>#N/A</v>
      </c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F481" s="13"/>
      <c r="AG481" s="13"/>
    </row>
    <row r="482">
      <c r="A482" s="41">
        <v>480.0</v>
      </c>
      <c r="B482" s="55" t="str">
        <f t="shared" si="1"/>
        <v>#N/A</v>
      </c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F482" s="13"/>
      <c r="AG482" s="13"/>
    </row>
    <row r="483">
      <c r="A483" s="41">
        <v>481.0</v>
      </c>
      <c r="B483" s="55" t="str">
        <f t="shared" si="1"/>
        <v>#N/A</v>
      </c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F483" s="13"/>
      <c r="AG483" s="13"/>
    </row>
    <row r="484">
      <c r="A484" s="41">
        <v>482.0</v>
      </c>
      <c r="B484" s="55" t="str">
        <f t="shared" si="1"/>
        <v>#N/A</v>
      </c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F484" s="13"/>
      <c r="AG484" s="13"/>
    </row>
    <row r="485">
      <c r="A485" s="41">
        <v>483.0</v>
      </c>
      <c r="B485" s="55" t="str">
        <f t="shared" si="1"/>
        <v>#N/A</v>
      </c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F485" s="13"/>
      <c r="AG485" s="13"/>
    </row>
    <row r="486">
      <c r="A486" s="41">
        <v>484.0</v>
      </c>
      <c r="B486" s="55" t="str">
        <f t="shared" si="1"/>
        <v>#N/A</v>
      </c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F486" s="13"/>
      <c r="AG486" s="13"/>
    </row>
    <row r="487">
      <c r="A487" s="41">
        <v>485.0</v>
      </c>
      <c r="B487" s="55" t="str">
        <f t="shared" si="1"/>
        <v>#N/A</v>
      </c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F487" s="13"/>
      <c r="AG487" s="13"/>
    </row>
    <row r="488">
      <c r="A488" s="41">
        <v>486.0</v>
      </c>
      <c r="B488" s="55" t="str">
        <f t="shared" si="1"/>
        <v>#N/A</v>
      </c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F488" s="13"/>
      <c r="AG488" s="13"/>
    </row>
    <row r="489">
      <c r="A489" s="41">
        <v>487.0</v>
      </c>
      <c r="B489" s="55" t="str">
        <f t="shared" si="1"/>
        <v>#N/A</v>
      </c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F489" s="13"/>
      <c r="AG489" s="13"/>
    </row>
    <row r="490">
      <c r="A490" s="41">
        <v>488.0</v>
      </c>
      <c r="B490" s="55" t="str">
        <f t="shared" si="1"/>
        <v>#N/A</v>
      </c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F490" s="13"/>
      <c r="AG490" s="13"/>
    </row>
    <row r="491">
      <c r="A491" s="41">
        <v>489.0</v>
      </c>
      <c r="B491" s="55" t="str">
        <f t="shared" si="1"/>
        <v>#N/A</v>
      </c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F491" s="13"/>
      <c r="AG491" s="13"/>
    </row>
    <row r="492">
      <c r="A492" s="41">
        <v>490.0</v>
      </c>
      <c r="B492" s="55" t="str">
        <f t="shared" si="1"/>
        <v>#N/A</v>
      </c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F492" s="13"/>
      <c r="AG492" s="13"/>
    </row>
    <row r="493">
      <c r="A493" s="41">
        <v>491.0</v>
      </c>
      <c r="B493" s="55" t="str">
        <f t="shared" si="1"/>
        <v>#N/A</v>
      </c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F493" s="13"/>
      <c r="AG493" s="13"/>
    </row>
    <row r="494">
      <c r="A494" s="41">
        <v>492.0</v>
      </c>
      <c r="B494" s="55" t="str">
        <f t="shared" si="1"/>
        <v>#N/A</v>
      </c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F494" s="13"/>
      <c r="AG494" s="13"/>
    </row>
    <row r="495">
      <c r="A495" s="41">
        <v>493.0</v>
      </c>
      <c r="B495" s="55" t="str">
        <f t="shared" si="1"/>
        <v>#N/A</v>
      </c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F495" s="13"/>
      <c r="AG495" s="13"/>
    </row>
    <row r="496">
      <c r="A496" s="41">
        <v>494.0</v>
      </c>
      <c r="B496" s="55" t="str">
        <f t="shared" si="1"/>
        <v>#N/A</v>
      </c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F496" s="13"/>
      <c r="AG496" s="13"/>
    </row>
    <row r="497">
      <c r="A497" s="41">
        <v>495.0</v>
      </c>
      <c r="B497" s="55" t="str">
        <f t="shared" si="1"/>
        <v>#N/A</v>
      </c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F497" s="13"/>
      <c r="AG497" s="13"/>
    </row>
    <row r="498">
      <c r="A498" s="41">
        <v>496.0</v>
      </c>
      <c r="B498" s="55" t="str">
        <f t="shared" si="1"/>
        <v>#N/A</v>
      </c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F498" s="13"/>
      <c r="AG498" s="13"/>
    </row>
    <row r="499">
      <c r="A499" s="41">
        <v>497.0</v>
      </c>
      <c r="B499" s="55" t="str">
        <f t="shared" si="1"/>
        <v>#N/A</v>
      </c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F499" s="13"/>
      <c r="AG499" s="13"/>
    </row>
    <row r="500">
      <c r="A500" s="41">
        <v>498.0</v>
      </c>
      <c r="B500" s="55" t="str">
        <f t="shared" si="1"/>
        <v>#N/A</v>
      </c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F500" s="13"/>
      <c r="AG500" s="13"/>
    </row>
    <row r="501">
      <c r="A501" s="41">
        <v>499.0</v>
      </c>
      <c r="B501" s="55" t="str">
        <f t="shared" si="1"/>
        <v>#N/A</v>
      </c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F501" s="13"/>
      <c r="AG501" s="13"/>
    </row>
    <row r="502">
      <c r="A502" s="41">
        <v>500.0</v>
      </c>
      <c r="B502" s="55" t="str">
        <f t="shared" si="1"/>
        <v>#N/A</v>
      </c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F502" s="13"/>
      <c r="AG502" s="13"/>
    </row>
    <row r="503">
      <c r="A503" s="41">
        <v>501.0</v>
      </c>
      <c r="B503" s="55" t="str">
        <f t="shared" si="1"/>
        <v>#N/A</v>
      </c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F503" s="13"/>
      <c r="AG503" s="13"/>
    </row>
    <row r="504">
      <c r="A504" s="41">
        <v>502.0</v>
      </c>
      <c r="B504" s="55" t="str">
        <f t="shared" si="1"/>
        <v>#N/A</v>
      </c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F504" s="13"/>
      <c r="AG504" s="13"/>
    </row>
    <row r="505">
      <c r="A505" s="41">
        <v>503.0</v>
      </c>
      <c r="B505" s="55" t="str">
        <f t="shared" si="1"/>
        <v>#N/A</v>
      </c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F505" s="13"/>
      <c r="AG505" s="13"/>
    </row>
    <row r="506">
      <c r="A506" s="41">
        <v>504.0</v>
      </c>
      <c r="B506" s="55" t="str">
        <f t="shared" si="1"/>
        <v>#N/A</v>
      </c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F506" s="13"/>
      <c r="AG506" s="13"/>
    </row>
    <row r="507">
      <c r="A507" s="41">
        <v>505.0</v>
      </c>
      <c r="B507" s="55" t="str">
        <f t="shared" si="1"/>
        <v>#N/A</v>
      </c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F507" s="13"/>
      <c r="AG507" s="13"/>
    </row>
    <row r="508">
      <c r="A508" s="41">
        <v>506.0</v>
      </c>
      <c r="B508" s="55" t="str">
        <f t="shared" si="1"/>
        <v>#N/A</v>
      </c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F508" s="13"/>
      <c r="AG508" s="13"/>
    </row>
    <row r="509">
      <c r="A509" s="41">
        <v>507.0</v>
      </c>
      <c r="B509" s="55" t="str">
        <f t="shared" si="1"/>
        <v>#N/A</v>
      </c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F509" s="13"/>
      <c r="AG509" s="13"/>
    </row>
    <row r="510">
      <c r="A510" s="41">
        <v>508.0</v>
      </c>
      <c r="B510" s="55" t="str">
        <f t="shared" si="1"/>
        <v>#N/A</v>
      </c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F510" s="13"/>
      <c r="AG510" s="13"/>
    </row>
    <row r="511">
      <c r="A511" s="41">
        <v>509.0</v>
      </c>
      <c r="B511" s="55" t="str">
        <f t="shared" si="1"/>
        <v>#N/A</v>
      </c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F511" s="13"/>
      <c r="AG511" s="13"/>
    </row>
    <row r="512">
      <c r="A512" s="41">
        <v>510.0</v>
      </c>
      <c r="B512" s="55" t="str">
        <f t="shared" si="1"/>
        <v>#N/A</v>
      </c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F512" s="13"/>
      <c r="AG512" s="13"/>
    </row>
    <row r="513">
      <c r="A513" s="41">
        <v>511.0</v>
      </c>
      <c r="B513" s="55" t="str">
        <f t="shared" si="1"/>
        <v>#N/A</v>
      </c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F513" s="13"/>
      <c r="AG513" s="13"/>
    </row>
    <row r="514">
      <c r="A514" s="41">
        <v>512.0</v>
      </c>
      <c r="B514" s="55" t="str">
        <f t="shared" si="1"/>
        <v>#N/A</v>
      </c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F514" s="13"/>
      <c r="AG514" s="13"/>
    </row>
    <row r="515">
      <c r="A515" s="41">
        <v>513.0</v>
      </c>
      <c r="B515" s="55" t="str">
        <f t="shared" si="1"/>
        <v>#N/A</v>
      </c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F515" s="13"/>
      <c r="AG515" s="13"/>
    </row>
    <row r="516">
      <c r="A516" s="41">
        <v>514.0</v>
      </c>
      <c r="B516" s="55" t="str">
        <f t="shared" si="1"/>
        <v>#N/A</v>
      </c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F516" s="13"/>
      <c r="AG516" s="13"/>
    </row>
    <row r="517">
      <c r="A517" s="41">
        <v>515.0</v>
      </c>
      <c r="B517" s="55" t="str">
        <f t="shared" si="1"/>
        <v>#N/A</v>
      </c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F517" s="13"/>
      <c r="AG517" s="13"/>
    </row>
    <row r="518">
      <c r="A518" s="41">
        <v>516.0</v>
      </c>
      <c r="B518" s="55" t="str">
        <f t="shared" si="1"/>
        <v>#N/A</v>
      </c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F518" s="13"/>
      <c r="AG518" s="13"/>
    </row>
    <row r="519">
      <c r="A519" s="41">
        <v>517.0</v>
      </c>
      <c r="B519" s="55" t="str">
        <f t="shared" si="1"/>
        <v>#N/A</v>
      </c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F519" s="13"/>
      <c r="AG519" s="13"/>
    </row>
    <row r="520">
      <c r="A520" s="41">
        <v>518.0</v>
      </c>
      <c r="B520" s="55" t="str">
        <f t="shared" si="1"/>
        <v>#N/A</v>
      </c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F520" s="13"/>
      <c r="AG520" s="13"/>
    </row>
    <row r="521">
      <c r="A521" s="41">
        <v>519.0</v>
      </c>
      <c r="B521" s="55" t="str">
        <f t="shared" si="1"/>
        <v>#N/A</v>
      </c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F521" s="13"/>
      <c r="AG521" s="13"/>
    </row>
    <row r="522">
      <c r="A522" s="41">
        <v>520.0</v>
      </c>
      <c r="B522" s="55" t="str">
        <f t="shared" si="1"/>
        <v>#N/A</v>
      </c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F522" s="13"/>
      <c r="AG522" s="13"/>
    </row>
    <row r="523">
      <c r="A523" s="41">
        <v>521.0</v>
      </c>
      <c r="B523" s="55" t="str">
        <f t="shared" si="1"/>
        <v>#N/A</v>
      </c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F523" s="13"/>
      <c r="AG523" s="13"/>
    </row>
    <row r="524">
      <c r="A524" s="41">
        <v>522.0</v>
      </c>
      <c r="B524" s="55" t="str">
        <f t="shared" si="1"/>
        <v>#N/A</v>
      </c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F524" s="13"/>
      <c r="AG524" s="13"/>
    </row>
    <row r="525">
      <c r="A525" s="41">
        <v>523.0</v>
      </c>
      <c r="B525" s="55" t="str">
        <f t="shared" si="1"/>
        <v>#N/A</v>
      </c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F525" s="13"/>
      <c r="AG525" s="13"/>
    </row>
    <row r="526">
      <c r="A526" s="41">
        <v>524.0</v>
      </c>
      <c r="B526" s="55" t="str">
        <f t="shared" si="1"/>
        <v>#N/A</v>
      </c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F526" s="13"/>
      <c r="AG526" s="13"/>
    </row>
    <row r="527">
      <c r="A527" s="41">
        <v>525.0</v>
      </c>
      <c r="B527" s="55" t="str">
        <f t="shared" si="1"/>
        <v>#N/A</v>
      </c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F527" s="13"/>
      <c r="AG527" s="13"/>
    </row>
    <row r="528">
      <c r="A528" s="41">
        <v>526.0</v>
      </c>
      <c r="B528" s="55" t="str">
        <f t="shared" si="1"/>
        <v>#N/A</v>
      </c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F528" s="13"/>
      <c r="AG528" s="13"/>
    </row>
    <row r="529">
      <c r="A529" s="41">
        <v>527.0</v>
      </c>
      <c r="B529" s="55" t="str">
        <f t="shared" si="1"/>
        <v>#N/A</v>
      </c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F529" s="13"/>
      <c r="AG529" s="13"/>
    </row>
    <row r="530">
      <c r="A530" s="41">
        <v>528.0</v>
      </c>
      <c r="B530" s="55" t="str">
        <f t="shared" si="1"/>
        <v>#N/A</v>
      </c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F530" s="13"/>
      <c r="AG530" s="13"/>
    </row>
    <row r="531">
      <c r="A531" s="41">
        <v>529.0</v>
      </c>
      <c r="B531" s="55" t="str">
        <f t="shared" si="1"/>
        <v>#N/A</v>
      </c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F531" s="13"/>
      <c r="AG531" s="13"/>
    </row>
    <row r="532">
      <c r="A532" s="41">
        <v>530.0</v>
      </c>
      <c r="B532" s="55" t="str">
        <f t="shared" si="1"/>
        <v>#N/A</v>
      </c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F532" s="13"/>
      <c r="AG532" s="13"/>
    </row>
    <row r="533">
      <c r="A533" s="41">
        <v>531.0</v>
      </c>
      <c r="B533" s="55" t="str">
        <f t="shared" si="1"/>
        <v>#N/A</v>
      </c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F533" s="13"/>
      <c r="AG533" s="13"/>
    </row>
    <row r="534">
      <c r="A534" s="41">
        <v>532.0</v>
      </c>
      <c r="B534" s="55" t="str">
        <f t="shared" si="1"/>
        <v>#N/A</v>
      </c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F534" s="13"/>
      <c r="AG534" s="13"/>
    </row>
    <row r="535">
      <c r="A535" s="41">
        <v>533.0</v>
      </c>
      <c r="B535" s="55" t="str">
        <f t="shared" si="1"/>
        <v>#N/A</v>
      </c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F535" s="13"/>
      <c r="AG535" s="13"/>
    </row>
    <row r="536">
      <c r="A536" s="41">
        <v>534.0</v>
      </c>
      <c r="B536" s="55" t="str">
        <f t="shared" si="1"/>
        <v>#N/A</v>
      </c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F536" s="13"/>
      <c r="AG536" s="13"/>
    </row>
    <row r="537">
      <c r="A537" s="41">
        <v>535.0</v>
      </c>
      <c r="B537" s="55" t="str">
        <f t="shared" si="1"/>
        <v>#N/A</v>
      </c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F537" s="13"/>
      <c r="AG537" s="13"/>
    </row>
    <row r="538">
      <c r="A538" s="41">
        <v>536.0</v>
      </c>
      <c r="B538" s="55" t="str">
        <f t="shared" si="1"/>
        <v>#N/A</v>
      </c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F538" s="13"/>
      <c r="AG538" s="13"/>
    </row>
    <row r="539">
      <c r="A539" s="41">
        <v>537.0</v>
      </c>
      <c r="B539" s="55" t="str">
        <f t="shared" si="1"/>
        <v>#N/A</v>
      </c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F539" s="13"/>
      <c r="AG539" s="13"/>
    </row>
    <row r="540">
      <c r="A540" s="41">
        <v>538.0</v>
      </c>
      <c r="B540" s="55" t="str">
        <f t="shared" si="1"/>
        <v>#N/A</v>
      </c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F540" s="13"/>
      <c r="AG540" s="13"/>
    </row>
    <row r="541">
      <c r="A541" s="41">
        <v>539.0</v>
      </c>
      <c r="B541" s="55" t="str">
        <f t="shared" si="1"/>
        <v>#N/A</v>
      </c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F541" s="13"/>
      <c r="AG541" s="13"/>
    </row>
    <row r="542">
      <c r="A542" s="41">
        <v>540.0</v>
      </c>
      <c r="B542" s="55" t="str">
        <f t="shared" si="1"/>
        <v>#N/A</v>
      </c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  <c r="AA542" s="13"/>
      <c r="AB542" s="13"/>
      <c r="AC542" s="13"/>
      <c r="AD542" s="13"/>
      <c r="AE542" s="13"/>
      <c r="AF542" s="13"/>
      <c r="AG542" s="13"/>
    </row>
    <row r="543">
      <c r="A543" s="41">
        <v>541.0</v>
      </c>
      <c r="B543" s="55" t="str">
        <f t="shared" si="1"/>
        <v>#N/A</v>
      </c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F543" s="13"/>
      <c r="AG543" s="13"/>
    </row>
    <row r="544">
      <c r="A544" s="41">
        <v>542.0</v>
      </c>
      <c r="B544" s="55" t="str">
        <f t="shared" si="1"/>
        <v>#N/A</v>
      </c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F544" s="13"/>
      <c r="AG544" s="13"/>
    </row>
    <row r="545">
      <c r="A545" s="41">
        <v>543.0</v>
      </c>
      <c r="B545" s="55" t="str">
        <f t="shared" si="1"/>
        <v>#N/A</v>
      </c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F545" s="13"/>
      <c r="AG545" s="13"/>
    </row>
    <row r="546">
      <c r="A546" s="41">
        <v>544.0</v>
      </c>
      <c r="B546" s="55" t="str">
        <f t="shared" si="1"/>
        <v>#N/A</v>
      </c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F546" s="13"/>
      <c r="AG546" s="13"/>
    </row>
    <row r="547">
      <c r="A547" s="41">
        <v>545.0</v>
      </c>
      <c r="B547" s="55" t="str">
        <f t="shared" si="1"/>
        <v>#N/A</v>
      </c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  <c r="AA547" s="13"/>
      <c r="AB547" s="13"/>
      <c r="AC547" s="13"/>
      <c r="AD547" s="13"/>
      <c r="AE547" s="13"/>
      <c r="AF547" s="13"/>
      <c r="AG547" s="13"/>
    </row>
    <row r="548">
      <c r="A548" s="41">
        <v>546.0</v>
      </c>
      <c r="B548" s="55" t="str">
        <f t="shared" si="1"/>
        <v>#N/A</v>
      </c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F548" s="13"/>
      <c r="AG548" s="13"/>
    </row>
    <row r="549">
      <c r="A549" s="41">
        <v>547.0</v>
      </c>
      <c r="B549" s="55" t="str">
        <f t="shared" si="1"/>
        <v>#N/A</v>
      </c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  <c r="AA549" s="13"/>
      <c r="AB549" s="13"/>
      <c r="AC549" s="13"/>
      <c r="AD549" s="13"/>
      <c r="AE549" s="13"/>
      <c r="AF549" s="13"/>
      <c r="AG549" s="13"/>
    </row>
    <row r="550">
      <c r="A550" s="41">
        <v>548.0</v>
      </c>
      <c r="B550" s="55" t="str">
        <f t="shared" si="1"/>
        <v>#N/A</v>
      </c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F550" s="13"/>
      <c r="AG550" s="13"/>
    </row>
    <row r="551">
      <c r="A551" s="41">
        <v>549.0</v>
      </c>
      <c r="B551" s="55" t="str">
        <f t="shared" si="1"/>
        <v>#N/A</v>
      </c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F551" s="13"/>
      <c r="AG551" s="13"/>
    </row>
    <row r="552">
      <c r="A552" s="41">
        <v>550.0</v>
      </c>
      <c r="B552" s="55" t="str">
        <f t="shared" si="1"/>
        <v>#N/A</v>
      </c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F552" s="13"/>
      <c r="AG552" s="13"/>
    </row>
    <row r="553">
      <c r="A553" s="41">
        <v>551.0</v>
      </c>
      <c r="B553" s="55" t="str">
        <f t="shared" si="1"/>
        <v>#N/A</v>
      </c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F553" s="13"/>
      <c r="AG553" s="13"/>
    </row>
    <row r="554">
      <c r="A554" s="41">
        <v>552.0</v>
      </c>
      <c r="B554" s="55" t="str">
        <f t="shared" si="1"/>
        <v>#N/A</v>
      </c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F554" s="13"/>
      <c r="AG554" s="13"/>
    </row>
    <row r="555">
      <c r="A555" s="41">
        <v>553.0</v>
      </c>
      <c r="B555" s="55" t="str">
        <f t="shared" si="1"/>
        <v>#N/A</v>
      </c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F555" s="13"/>
      <c r="AG555" s="13"/>
    </row>
    <row r="556">
      <c r="A556" s="41">
        <v>554.0</v>
      </c>
      <c r="B556" s="55" t="str">
        <f t="shared" si="1"/>
        <v>#N/A</v>
      </c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F556" s="13"/>
      <c r="AG556" s="13"/>
    </row>
    <row r="557">
      <c r="A557" s="41">
        <v>555.0</v>
      </c>
      <c r="B557" s="55" t="str">
        <f t="shared" si="1"/>
        <v>#N/A</v>
      </c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F557" s="13"/>
      <c r="AG557" s="13"/>
    </row>
    <row r="558">
      <c r="A558" s="41">
        <v>556.0</v>
      </c>
      <c r="B558" s="55" t="str">
        <f t="shared" si="1"/>
        <v>#N/A</v>
      </c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F558" s="13"/>
      <c r="AG558" s="13"/>
    </row>
    <row r="559">
      <c r="A559" s="41">
        <v>557.0</v>
      </c>
      <c r="B559" s="55" t="str">
        <f t="shared" si="1"/>
        <v>#N/A</v>
      </c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F559" s="13"/>
      <c r="AG559" s="13"/>
    </row>
    <row r="560">
      <c r="A560" s="41">
        <v>558.0</v>
      </c>
      <c r="B560" s="55" t="str">
        <f t="shared" si="1"/>
        <v>#N/A</v>
      </c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F560" s="13"/>
      <c r="AG560" s="13"/>
    </row>
    <row r="561">
      <c r="A561" s="41">
        <v>559.0</v>
      </c>
      <c r="B561" s="55" t="str">
        <f t="shared" si="1"/>
        <v>#N/A</v>
      </c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F561" s="13"/>
      <c r="AG561" s="13"/>
    </row>
    <row r="562">
      <c r="A562" s="41">
        <v>560.0</v>
      </c>
      <c r="B562" s="55" t="str">
        <f t="shared" si="1"/>
        <v>#N/A</v>
      </c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F562" s="13"/>
      <c r="AG562" s="13"/>
    </row>
    <row r="563">
      <c r="A563" s="41">
        <v>561.0</v>
      </c>
      <c r="B563" s="55" t="str">
        <f t="shared" si="1"/>
        <v>#N/A</v>
      </c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F563" s="13"/>
      <c r="AG563" s="13"/>
    </row>
    <row r="564">
      <c r="A564" s="41">
        <v>562.0</v>
      </c>
      <c r="B564" s="55" t="str">
        <f t="shared" si="1"/>
        <v>#N/A</v>
      </c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F564" s="13"/>
      <c r="AG564" s="13"/>
    </row>
    <row r="565">
      <c r="A565" s="41">
        <v>563.0</v>
      </c>
      <c r="B565" s="55" t="str">
        <f t="shared" si="1"/>
        <v>#N/A</v>
      </c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F565" s="13"/>
      <c r="AG565" s="13"/>
    </row>
    <row r="566">
      <c r="A566" s="41">
        <v>564.0</v>
      </c>
      <c r="B566" s="55" t="str">
        <f t="shared" si="1"/>
        <v>#N/A</v>
      </c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F566" s="13"/>
      <c r="AG566" s="13"/>
    </row>
    <row r="567">
      <c r="A567" s="41">
        <v>565.0</v>
      </c>
      <c r="B567" s="55" t="str">
        <f t="shared" si="1"/>
        <v>#N/A</v>
      </c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F567" s="13"/>
      <c r="AG567" s="13"/>
    </row>
    <row r="568">
      <c r="A568" s="41">
        <v>566.0</v>
      </c>
      <c r="B568" s="55" t="str">
        <f t="shared" si="1"/>
        <v>#N/A</v>
      </c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F568" s="13"/>
      <c r="AG568" s="13"/>
    </row>
    <row r="569">
      <c r="A569" s="41">
        <v>567.0</v>
      </c>
      <c r="B569" s="55" t="str">
        <f t="shared" si="1"/>
        <v>#N/A</v>
      </c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F569" s="13"/>
      <c r="AG569" s="13"/>
    </row>
    <row r="570">
      <c r="A570" s="41">
        <v>568.0</v>
      </c>
      <c r="B570" s="55" t="str">
        <f t="shared" si="1"/>
        <v>#N/A</v>
      </c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F570" s="13"/>
      <c r="AG570" s="13"/>
    </row>
    <row r="571">
      <c r="A571" s="41">
        <v>569.0</v>
      </c>
      <c r="B571" s="55" t="str">
        <f t="shared" si="1"/>
        <v>#N/A</v>
      </c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F571" s="13"/>
      <c r="AG571" s="13"/>
    </row>
    <row r="572">
      <c r="A572" s="41">
        <v>570.0</v>
      </c>
      <c r="B572" s="55" t="str">
        <f t="shared" si="1"/>
        <v>#N/A</v>
      </c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F572" s="13"/>
      <c r="AG572" s="13"/>
    </row>
    <row r="573">
      <c r="A573" s="41">
        <v>571.0</v>
      </c>
      <c r="B573" s="55" t="str">
        <f t="shared" si="1"/>
        <v>#N/A</v>
      </c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F573" s="13"/>
      <c r="AG573" s="13"/>
    </row>
    <row r="574">
      <c r="A574" s="41">
        <v>572.0</v>
      </c>
      <c r="B574" s="55" t="str">
        <f t="shared" si="1"/>
        <v>#N/A</v>
      </c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F574" s="13"/>
      <c r="AG574" s="13"/>
    </row>
    <row r="575">
      <c r="A575" s="41">
        <v>573.0</v>
      </c>
      <c r="B575" s="55" t="str">
        <f t="shared" si="1"/>
        <v>#N/A</v>
      </c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F575" s="13"/>
      <c r="AG575" s="13"/>
    </row>
    <row r="576">
      <c r="A576" s="41">
        <v>574.0</v>
      </c>
      <c r="B576" s="55" t="str">
        <f t="shared" si="1"/>
        <v>#N/A</v>
      </c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F576" s="13"/>
      <c r="AG576" s="13"/>
    </row>
    <row r="577">
      <c r="A577" s="41">
        <v>575.0</v>
      </c>
      <c r="B577" s="55" t="str">
        <f t="shared" si="1"/>
        <v>#N/A</v>
      </c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F577" s="13"/>
      <c r="AG577" s="13"/>
    </row>
    <row r="578">
      <c r="A578" s="41">
        <v>576.0</v>
      </c>
      <c r="B578" s="55" t="str">
        <f t="shared" si="1"/>
        <v>#N/A</v>
      </c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F578" s="13"/>
      <c r="AG578" s="13"/>
    </row>
    <row r="579">
      <c r="A579" s="41">
        <v>577.0</v>
      </c>
      <c r="B579" s="55" t="str">
        <f t="shared" si="1"/>
        <v>#N/A</v>
      </c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F579" s="13"/>
      <c r="AG579" s="13"/>
    </row>
    <row r="580">
      <c r="A580" s="41">
        <v>578.0</v>
      </c>
      <c r="B580" s="55" t="str">
        <f t="shared" si="1"/>
        <v>#N/A</v>
      </c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F580" s="13"/>
      <c r="AG580" s="13"/>
    </row>
    <row r="581">
      <c r="A581" s="41">
        <v>579.0</v>
      </c>
      <c r="B581" s="55" t="str">
        <f t="shared" si="1"/>
        <v>#N/A</v>
      </c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F581" s="13"/>
      <c r="AG581" s="13"/>
    </row>
    <row r="582">
      <c r="A582" s="41">
        <v>580.0</v>
      </c>
      <c r="B582" s="55" t="str">
        <f t="shared" si="1"/>
        <v>#N/A</v>
      </c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  <c r="AA582" s="13"/>
      <c r="AB582" s="13"/>
      <c r="AC582" s="13"/>
      <c r="AD582" s="13"/>
      <c r="AE582" s="13"/>
      <c r="AF582" s="13"/>
      <c r="AG582" s="13"/>
    </row>
    <row r="583">
      <c r="A583" s="41">
        <v>581.0</v>
      </c>
      <c r="B583" s="55" t="str">
        <f t="shared" si="1"/>
        <v>#N/A</v>
      </c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F583" s="13"/>
      <c r="AG583" s="13"/>
    </row>
    <row r="584">
      <c r="A584" s="41">
        <v>582.0</v>
      </c>
      <c r="B584" s="55" t="str">
        <f t="shared" si="1"/>
        <v>#N/A</v>
      </c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F584" s="13"/>
      <c r="AG584" s="13"/>
    </row>
    <row r="585">
      <c r="A585" s="41">
        <v>583.0</v>
      </c>
      <c r="B585" s="55" t="str">
        <f t="shared" si="1"/>
        <v>#N/A</v>
      </c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F585" s="13"/>
      <c r="AG585" s="13"/>
    </row>
    <row r="586">
      <c r="A586" s="41">
        <v>584.0</v>
      </c>
      <c r="B586" s="55" t="str">
        <f t="shared" si="1"/>
        <v>#N/A</v>
      </c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F586" s="13"/>
      <c r="AG586" s="13"/>
    </row>
    <row r="587">
      <c r="A587" s="41">
        <v>585.0</v>
      </c>
      <c r="B587" s="55" t="str">
        <f t="shared" si="1"/>
        <v>#N/A</v>
      </c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F587" s="13"/>
      <c r="AG587" s="13"/>
    </row>
    <row r="588">
      <c r="A588" s="41">
        <v>586.0</v>
      </c>
      <c r="B588" s="55" t="str">
        <f t="shared" si="1"/>
        <v>#N/A</v>
      </c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F588" s="13"/>
      <c r="AG588" s="13"/>
    </row>
    <row r="589">
      <c r="A589" s="41">
        <v>587.0</v>
      </c>
      <c r="B589" s="55" t="str">
        <f t="shared" si="1"/>
        <v>#N/A</v>
      </c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F589" s="13"/>
      <c r="AG589" s="13"/>
    </row>
    <row r="590">
      <c r="A590" s="41">
        <v>588.0</v>
      </c>
      <c r="B590" s="55" t="str">
        <f t="shared" si="1"/>
        <v>#N/A</v>
      </c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F590" s="13"/>
      <c r="AG590" s="13"/>
    </row>
    <row r="591">
      <c r="A591" s="41">
        <v>589.0</v>
      </c>
      <c r="B591" s="55" t="str">
        <f t="shared" si="1"/>
        <v>#N/A</v>
      </c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F591" s="13"/>
      <c r="AG591" s="13"/>
    </row>
    <row r="592">
      <c r="A592" s="41">
        <v>590.0</v>
      </c>
      <c r="B592" s="55" t="str">
        <f t="shared" si="1"/>
        <v>#N/A</v>
      </c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F592" s="13"/>
      <c r="AG592" s="13"/>
    </row>
    <row r="593">
      <c r="A593" s="41">
        <v>591.0</v>
      </c>
      <c r="B593" s="55" t="str">
        <f t="shared" si="1"/>
        <v>#N/A</v>
      </c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F593" s="13"/>
      <c r="AG593" s="13"/>
    </row>
    <row r="594">
      <c r="A594" s="41">
        <v>592.0</v>
      </c>
      <c r="B594" s="55" t="str">
        <f t="shared" si="1"/>
        <v>#N/A</v>
      </c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F594" s="13"/>
      <c r="AG594" s="13"/>
    </row>
    <row r="595">
      <c r="A595" s="41">
        <v>593.0</v>
      </c>
      <c r="B595" s="55" t="str">
        <f t="shared" si="1"/>
        <v>#N/A</v>
      </c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  <c r="AA595" s="13"/>
      <c r="AB595" s="13"/>
      <c r="AC595" s="13"/>
      <c r="AD595" s="13"/>
      <c r="AE595" s="13"/>
      <c r="AF595" s="13"/>
      <c r="AG595" s="13"/>
    </row>
    <row r="596">
      <c r="A596" s="41">
        <v>594.0</v>
      </c>
      <c r="B596" s="55" t="str">
        <f t="shared" si="1"/>
        <v>#N/A</v>
      </c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  <c r="AA596" s="13"/>
      <c r="AB596" s="13"/>
      <c r="AC596" s="13"/>
      <c r="AD596" s="13"/>
      <c r="AE596" s="13"/>
      <c r="AF596" s="13"/>
      <c r="AG596" s="13"/>
    </row>
    <row r="597">
      <c r="A597" s="41">
        <v>595.0</v>
      </c>
      <c r="B597" s="55" t="str">
        <f t="shared" si="1"/>
        <v>#N/A</v>
      </c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F597" s="13"/>
      <c r="AG597" s="13"/>
    </row>
    <row r="598">
      <c r="A598" s="41">
        <v>596.0</v>
      </c>
      <c r="B598" s="55" t="str">
        <f t="shared" si="1"/>
        <v>#N/A</v>
      </c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F598" s="13"/>
      <c r="AG598" s="13"/>
    </row>
    <row r="599">
      <c r="A599" s="41">
        <v>597.0</v>
      </c>
      <c r="B599" s="55" t="str">
        <f t="shared" si="1"/>
        <v>#N/A</v>
      </c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F599" s="13"/>
      <c r="AG599" s="13"/>
    </row>
    <row r="600">
      <c r="A600" s="41">
        <v>598.0</v>
      </c>
      <c r="B600" s="55" t="str">
        <f t="shared" si="1"/>
        <v>#N/A</v>
      </c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F600" s="13"/>
      <c r="AG600" s="13"/>
    </row>
    <row r="601">
      <c r="A601" s="41">
        <v>599.0</v>
      </c>
      <c r="B601" s="55" t="str">
        <f t="shared" si="1"/>
        <v>#N/A</v>
      </c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F601" s="13"/>
      <c r="AG601" s="13"/>
    </row>
    <row r="602">
      <c r="A602" s="41">
        <v>600.0</v>
      </c>
      <c r="B602" s="55" t="str">
        <f t="shared" si="1"/>
        <v>#N/A</v>
      </c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F602" s="13"/>
      <c r="AG602" s="13"/>
    </row>
  </sheetData>
  <mergeCells count="9">
    <mergeCell ref="H1:J1"/>
    <mergeCell ref="D1:G1"/>
    <mergeCell ref="L1:Q1"/>
    <mergeCell ref="V1:W1"/>
    <mergeCell ref="Y1:Z1"/>
    <mergeCell ref="AB1:AC1"/>
    <mergeCell ref="AF1:AG1"/>
    <mergeCell ref="S1:T1"/>
    <mergeCell ref="S22:T22"/>
  </mergeCells>
  <dataValidations>
    <dataValidation type="list" allowBlank="1" showErrorMessage="1" sqref="C3:C602">
      <formula1>Entry!$K$16:$K$19</formula1>
    </dataValidation>
  </dataValidation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tabColor rgb="FF000000"/>
    <outlinePr summaryBelow="0" summaryRight="0"/>
  </sheetPr>
  <sheetViews>
    <sheetView workbookViewId="0">
      <pane xSplit="6.0" ySplit="2.0" topLeftCell="G3" activePane="bottomRight" state="frozen"/>
      <selection activeCell="G1" sqref="G1" pane="topRight"/>
      <selection activeCell="A3" sqref="A3" pane="bottomLeft"/>
      <selection activeCell="G3" sqref="G3" pane="bottomRight"/>
    </sheetView>
  </sheetViews>
  <sheetFormatPr customHeight="1" defaultColWidth="14.43" defaultRowHeight="15.75"/>
  <cols>
    <col customWidth="1" min="1" max="1" width="3.57"/>
    <col customWidth="1" min="2" max="2" width="10.29"/>
    <col customWidth="1" min="3" max="3" width="6.86"/>
    <col customWidth="1" min="4" max="4" width="14.71"/>
    <col customWidth="1" min="5" max="5" width="7.57"/>
    <col customWidth="1" min="6" max="6" width="18.29"/>
    <col customWidth="1" min="7" max="18" width="5.71"/>
    <col customWidth="1" min="19" max="19" width="9.86"/>
    <col customWidth="1" min="20" max="20" width="11.0"/>
    <col customWidth="1" hidden="1" min="21" max="21" width="11.0"/>
  </cols>
  <sheetData>
    <row r="1">
      <c r="A1" s="14"/>
      <c r="B1" s="16" t="s">
        <v>19</v>
      </c>
      <c r="C1" s="16" t="s">
        <v>135</v>
      </c>
      <c r="D1" s="57" t="s">
        <v>22</v>
      </c>
      <c r="E1" s="57" t="s">
        <v>23</v>
      </c>
      <c r="F1" s="57" t="s">
        <v>25</v>
      </c>
      <c r="G1" s="57" t="s">
        <v>115</v>
      </c>
      <c r="K1" s="57" t="s">
        <v>116</v>
      </c>
      <c r="O1" s="57" t="s">
        <v>117</v>
      </c>
      <c r="S1" s="57" t="s">
        <v>118</v>
      </c>
      <c r="T1" s="57" t="s">
        <v>119</v>
      </c>
      <c r="U1" s="57"/>
    </row>
    <row r="2">
      <c r="A2" s="81"/>
      <c r="B2" s="83" t="s">
        <v>19</v>
      </c>
      <c r="C2" s="83" t="s">
        <v>135</v>
      </c>
      <c r="D2" s="83" t="s">
        <v>22</v>
      </c>
      <c r="E2" s="84" t="s">
        <v>23</v>
      </c>
      <c r="F2" s="83" t="s">
        <v>25</v>
      </c>
      <c r="G2" s="83" t="s">
        <v>136</v>
      </c>
      <c r="H2" s="83" t="s">
        <v>137</v>
      </c>
      <c r="I2" s="83" t="s">
        <v>138</v>
      </c>
      <c r="J2" s="83" t="s">
        <v>139</v>
      </c>
      <c r="K2" s="83" t="s">
        <v>140</v>
      </c>
      <c r="L2" s="83" t="s">
        <v>141</v>
      </c>
      <c r="M2" s="83" t="s">
        <v>142</v>
      </c>
      <c r="N2" s="83" t="s">
        <v>143</v>
      </c>
      <c r="O2" s="83" t="s">
        <v>144</v>
      </c>
      <c r="P2" s="83" t="s">
        <v>145</v>
      </c>
      <c r="Q2" s="83" t="s">
        <v>146</v>
      </c>
      <c r="R2" s="83" t="s">
        <v>147</v>
      </c>
      <c r="S2" s="83"/>
      <c r="T2" s="84" t="s">
        <v>119</v>
      </c>
      <c r="U2" s="84"/>
    </row>
    <row r="3">
      <c r="A3" s="85">
        <v>1.0</v>
      </c>
      <c r="B3" s="35"/>
      <c r="C3" s="35"/>
      <c r="D3" s="86"/>
      <c r="E3" s="35"/>
      <c r="F3" s="86"/>
      <c r="G3" s="35"/>
      <c r="H3" s="85"/>
      <c r="I3" s="85"/>
      <c r="J3" s="87" t="str">
        <f t="shared" ref="J3:J77" si="1">IFERROR(__xludf.DUMMYFUNCTION("if(isblank(B3),,Max(if(right(G3,1)=""g"",split(G3,""g""),),if(right(H3,1)=""g"",split(H3,""g""),),if(right(I3,1)=""g"",split(I3,""g""),)))"),"")</f>
        <v/>
      </c>
      <c r="K3" s="35"/>
      <c r="L3" s="88"/>
      <c r="M3" s="88"/>
      <c r="N3" s="87" t="str">
        <f t="shared" ref="N3:N77" si="2">IFERROR(__xludf.DUMMYFUNCTION("if(isblank($B3),,Max(if(right(K3,1)=""g"",split(K3,""g""),),if(right(L3,1)=""g"",split(L3,""g""),),if(right(M3,1)=""g"",split(M3,""g""),)))"),"")</f>
        <v/>
      </c>
      <c r="O3" s="35"/>
      <c r="P3" s="88"/>
      <c r="Q3" s="88"/>
      <c r="R3" s="87" t="str">
        <f t="shared" ref="R3:R77" si="3">IFERROR(__xludf.DUMMYFUNCTION("if(isblank($B3),,Max(if(right(O3,1)=""g"",split(O3,""g""),),if(right(P3,1)=""g"",split(P3,""g""),),if(right(Q3,1)=""g"",split(Q3,""g""),)))"),"")</f>
        <v/>
      </c>
      <c r="S3" s="90" t="str">
        <f t="shared" ref="S3:S77" si="4">if(isblank(F3),,if(or(and(right(G3,1)="x",right(H3,1)="x",right(I3,1)="x"),and(right(K3,1)="x",right(L3,1)="x",right(M3,1)="x"),and(right(O3,1)="x",right(P3,1)="x",right(Q3,1)="x")),0,J3+N3+R3))</f>
        <v/>
      </c>
      <c r="T3" s="91" t="str">
        <f t="shared" ref="T3:T77" si="5">if(isblank(E3),,S3/E3)</f>
        <v/>
      </c>
      <c r="U3" s="85">
        <f t="shared" ref="U3:U77" si="6">countif(G3:Q3,"*g")</f>
        <v>0</v>
      </c>
    </row>
    <row r="4">
      <c r="A4" s="85">
        <v>2.0</v>
      </c>
      <c r="B4" s="35"/>
      <c r="C4" s="35"/>
      <c r="D4" s="86"/>
      <c r="E4" s="35"/>
      <c r="F4" s="86"/>
      <c r="G4" s="35"/>
      <c r="H4" s="85"/>
      <c r="I4" s="85"/>
      <c r="J4" s="87" t="str">
        <f t="shared" si="1"/>
        <v/>
      </c>
      <c r="K4" s="35"/>
      <c r="L4" s="88"/>
      <c r="M4" s="88"/>
      <c r="N4" s="87" t="str">
        <f t="shared" si="2"/>
        <v/>
      </c>
      <c r="O4" s="35"/>
      <c r="P4" s="88"/>
      <c r="Q4" s="88"/>
      <c r="R4" s="87" t="str">
        <f t="shared" si="3"/>
        <v/>
      </c>
      <c r="S4" s="90" t="str">
        <f t="shared" si="4"/>
        <v/>
      </c>
      <c r="T4" s="91" t="str">
        <f t="shared" si="5"/>
        <v/>
      </c>
      <c r="U4" s="85">
        <f t="shared" si="6"/>
        <v>0</v>
      </c>
    </row>
    <row r="5">
      <c r="A5" s="85">
        <v>3.0</v>
      </c>
      <c r="B5" s="35"/>
      <c r="C5" s="35"/>
      <c r="D5" s="86"/>
      <c r="E5" s="35"/>
      <c r="F5" s="86"/>
      <c r="G5" s="35"/>
      <c r="H5" s="85"/>
      <c r="I5" s="85"/>
      <c r="J5" s="87" t="str">
        <f t="shared" si="1"/>
        <v/>
      </c>
      <c r="K5" s="35"/>
      <c r="L5" s="88"/>
      <c r="M5" s="88"/>
      <c r="N5" s="87" t="str">
        <f t="shared" si="2"/>
        <v/>
      </c>
      <c r="O5" s="35"/>
      <c r="P5" s="88"/>
      <c r="Q5" s="88"/>
      <c r="R5" s="87" t="str">
        <f t="shared" si="3"/>
        <v/>
      </c>
      <c r="S5" s="90" t="str">
        <f t="shared" si="4"/>
        <v/>
      </c>
      <c r="T5" s="91" t="str">
        <f t="shared" si="5"/>
        <v/>
      </c>
      <c r="U5" s="85">
        <f t="shared" si="6"/>
        <v>0</v>
      </c>
    </row>
    <row r="6" ht="16.5" customHeight="1">
      <c r="A6" s="85">
        <v>4.0</v>
      </c>
      <c r="B6" s="35"/>
      <c r="C6" s="35"/>
      <c r="D6" s="86"/>
      <c r="E6" s="35"/>
      <c r="F6" s="86"/>
      <c r="G6" s="35"/>
      <c r="H6" s="85"/>
      <c r="I6" s="85"/>
      <c r="J6" s="87" t="str">
        <f t="shared" si="1"/>
        <v/>
      </c>
      <c r="K6" s="35"/>
      <c r="L6" s="88"/>
      <c r="M6" s="88"/>
      <c r="N6" s="87" t="str">
        <f t="shared" si="2"/>
        <v/>
      </c>
      <c r="O6" s="35"/>
      <c r="P6" s="88"/>
      <c r="Q6" s="88"/>
      <c r="R6" s="87" t="str">
        <f t="shared" si="3"/>
        <v/>
      </c>
      <c r="S6" s="90" t="str">
        <f t="shared" si="4"/>
        <v/>
      </c>
      <c r="T6" s="91" t="str">
        <f t="shared" si="5"/>
        <v/>
      </c>
      <c r="U6" s="85">
        <f t="shared" si="6"/>
        <v>0</v>
      </c>
    </row>
    <row r="7">
      <c r="A7" s="85">
        <v>5.0</v>
      </c>
      <c r="B7" s="35"/>
      <c r="C7" s="35"/>
      <c r="D7" s="86"/>
      <c r="E7" s="35"/>
      <c r="F7" s="86"/>
      <c r="G7" s="35"/>
      <c r="H7" s="85"/>
      <c r="I7" s="85"/>
      <c r="J7" s="87" t="str">
        <f t="shared" si="1"/>
        <v/>
      </c>
      <c r="K7" s="35"/>
      <c r="L7" s="88"/>
      <c r="M7" s="88"/>
      <c r="N7" s="87" t="str">
        <f t="shared" si="2"/>
        <v/>
      </c>
      <c r="O7" s="35"/>
      <c r="P7" s="88"/>
      <c r="Q7" s="88"/>
      <c r="R7" s="87" t="str">
        <f t="shared" si="3"/>
        <v/>
      </c>
      <c r="S7" s="90" t="str">
        <f t="shared" si="4"/>
        <v/>
      </c>
      <c r="T7" s="91" t="str">
        <f t="shared" si="5"/>
        <v/>
      </c>
      <c r="U7" s="85">
        <f t="shared" si="6"/>
        <v>0</v>
      </c>
    </row>
    <row r="8">
      <c r="A8" s="85">
        <v>6.0</v>
      </c>
      <c r="B8" s="35"/>
      <c r="C8" s="35"/>
      <c r="D8" s="86"/>
      <c r="E8" s="35"/>
      <c r="F8" s="86"/>
      <c r="G8" s="35"/>
      <c r="H8" s="85"/>
      <c r="I8" s="89"/>
      <c r="J8" s="87" t="str">
        <f t="shared" si="1"/>
        <v/>
      </c>
      <c r="K8" s="35"/>
      <c r="L8" s="88"/>
      <c r="M8" s="88"/>
      <c r="N8" s="87" t="str">
        <f t="shared" si="2"/>
        <v/>
      </c>
      <c r="O8" s="35"/>
      <c r="P8" s="88"/>
      <c r="Q8" s="88"/>
      <c r="R8" s="87" t="str">
        <f t="shared" si="3"/>
        <v/>
      </c>
      <c r="S8" s="90" t="str">
        <f t="shared" si="4"/>
        <v/>
      </c>
      <c r="T8" s="91" t="str">
        <f t="shared" si="5"/>
        <v/>
      </c>
      <c r="U8" s="85">
        <f t="shared" si="6"/>
        <v>0</v>
      </c>
    </row>
    <row r="9">
      <c r="A9" s="85">
        <v>7.0</v>
      </c>
      <c r="B9" s="35"/>
      <c r="C9" s="35"/>
      <c r="D9" s="86"/>
      <c r="E9" s="35"/>
      <c r="F9" s="86"/>
      <c r="G9" s="35"/>
      <c r="H9" s="85"/>
      <c r="I9" s="85"/>
      <c r="J9" s="87" t="str">
        <f t="shared" si="1"/>
        <v/>
      </c>
      <c r="K9" s="35"/>
      <c r="L9" s="88"/>
      <c r="M9" s="88"/>
      <c r="N9" s="87" t="str">
        <f t="shared" si="2"/>
        <v/>
      </c>
      <c r="O9" s="35"/>
      <c r="P9" s="88"/>
      <c r="Q9" s="88"/>
      <c r="R9" s="87" t="str">
        <f t="shared" si="3"/>
        <v/>
      </c>
      <c r="S9" s="90" t="str">
        <f t="shared" si="4"/>
        <v/>
      </c>
      <c r="T9" s="91" t="str">
        <f t="shared" si="5"/>
        <v/>
      </c>
      <c r="U9" s="85">
        <f t="shared" si="6"/>
        <v>0</v>
      </c>
    </row>
    <row r="10">
      <c r="A10" s="85">
        <v>8.0</v>
      </c>
      <c r="B10" s="35"/>
      <c r="C10" s="35"/>
      <c r="D10" s="86"/>
      <c r="E10" s="35"/>
      <c r="F10" s="86"/>
      <c r="G10" s="35"/>
      <c r="H10" s="85"/>
      <c r="I10" s="85"/>
      <c r="J10" s="87" t="str">
        <f t="shared" si="1"/>
        <v/>
      </c>
      <c r="K10" s="35"/>
      <c r="L10" s="88"/>
      <c r="M10" s="88"/>
      <c r="N10" s="87" t="str">
        <f t="shared" si="2"/>
        <v/>
      </c>
      <c r="O10" s="35"/>
      <c r="P10" s="88"/>
      <c r="Q10" s="88"/>
      <c r="R10" s="87" t="str">
        <f t="shared" si="3"/>
        <v/>
      </c>
      <c r="S10" s="90" t="str">
        <f t="shared" si="4"/>
        <v/>
      </c>
      <c r="T10" s="91" t="str">
        <f t="shared" si="5"/>
        <v/>
      </c>
      <c r="U10" s="85">
        <f t="shared" si="6"/>
        <v>0</v>
      </c>
    </row>
    <row r="11">
      <c r="A11" s="85">
        <v>9.0</v>
      </c>
      <c r="B11" s="35"/>
      <c r="C11" s="35"/>
      <c r="D11" s="86"/>
      <c r="E11" s="35"/>
      <c r="F11" s="86"/>
      <c r="G11" s="35"/>
      <c r="H11" s="85"/>
      <c r="I11" s="85"/>
      <c r="J11" s="87" t="str">
        <f t="shared" si="1"/>
        <v/>
      </c>
      <c r="K11" s="35"/>
      <c r="L11" s="88"/>
      <c r="M11" s="88"/>
      <c r="N11" s="87" t="str">
        <f t="shared" si="2"/>
        <v/>
      </c>
      <c r="O11" s="35"/>
      <c r="P11" s="88"/>
      <c r="Q11" s="88"/>
      <c r="R11" s="87" t="str">
        <f t="shared" si="3"/>
        <v/>
      </c>
      <c r="S11" s="90" t="str">
        <f t="shared" si="4"/>
        <v/>
      </c>
      <c r="T11" s="91" t="str">
        <f t="shared" si="5"/>
        <v/>
      </c>
      <c r="U11" s="85">
        <f t="shared" si="6"/>
        <v>0</v>
      </c>
    </row>
    <row r="12">
      <c r="A12" s="85">
        <v>10.0</v>
      </c>
      <c r="B12" s="35"/>
      <c r="C12" s="35"/>
      <c r="D12" s="86"/>
      <c r="E12" s="35"/>
      <c r="F12" s="86"/>
      <c r="G12" s="35"/>
      <c r="H12" s="85"/>
      <c r="I12" s="85"/>
      <c r="J12" s="87" t="str">
        <f t="shared" si="1"/>
        <v/>
      </c>
      <c r="K12" s="35"/>
      <c r="L12" s="88"/>
      <c r="M12" s="85"/>
      <c r="N12" s="87" t="str">
        <f t="shared" si="2"/>
        <v/>
      </c>
      <c r="O12" s="35"/>
      <c r="P12" s="88"/>
      <c r="Q12" s="85"/>
      <c r="R12" s="87" t="str">
        <f t="shared" si="3"/>
        <v/>
      </c>
      <c r="S12" s="90" t="str">
        <f t="shared" si="4"/>
        <v/>
      </c>
      <c r="T12" s="91" t="str">
        <f t="shared" si="5"/>
        <v/>
      </c>
      <c r="U12" s="85">
        <f t="shared" si="6"/>
        <v>0</v>
      </c>
    </row>
    <row r="13">
      <c r="A13" s="85">
        <v>11.0</v>
      </c>
      <c r="B13" s="35"/>
      <c r="C13" s="35"/>
      <c r="D13" s="86"/>
      <c r="E13" s="35"/>
      <c r="F13" s="86"/>
      <c r="G13" s="35"/>
      <c r="H13" s="85"/>
      <c r="I13" s="85"/>
      <c r="J13" s="87" t="str">
        <f t="shared" si="1"/>
        <v/>
      </c>
      <c r="K13" s="35"/>
      <c r="L13" s="88"/>
      <c r="M13" s="88"/>
      <c r="N13" s="87" t="str">
        <f t="shared" si="2"/>
        <v/>
      </c>
      <c r="O13" s="35"/>
      <c r="P13" s="88"/>
      <c r="Q13" s="88"/>
      <c r="R13" s="87" t="str">
        <f t="shared" si="3"/>
        <v/>
      </c>
      <c r="S13" s="90" t="str">
        <f t="shared" si="4"/>
        <v/>
      </c>
      <c r="T13" s="91" t="str">
        <f t="shared" si="5"/>
        <v/>
      </c>
      <c r="U13" s="85">
        <f t="shared" si="6"/>
        <v>0</v>
      </c>
    </row>
    <row r="14">
      <c r="A14" s="85">
        <v>12.0</v>
      </c>
      <c r="B14" s="35"/>
      <c r="C14" s="35"/>
      <c r="D14" s="86"/>
      <c r="E14" s="35"/>
      <c r="F14" s="86"/>
      <c r="G14" s="35"/>
      <c r="H14" s="85"/>
      <c r="I14" s="85"/>
      <c r="J14" s="87" t="str">
        <f t="shared" si="1"/>
        <v/>
      </c>
      <c r="K14" s="35"/>
      <c r="L14" s="88"/>
      <c r="M14" s="88"/>
      <c r="N14" s="87" t="str">
        <f t="shared" si="2"/>
        <v/>
      </c>
      <c r="O14" s="35"/>
      <c r="P14" s="88"/>
      <c r="Q14" s="88"/>
      <c r="R14" s="87" t="str">
        <f t="shared" si="3"/>
        <v/>
      </c>
      <c r="S14" s="90" t="str">
        <f t="shared" si="4"/>
        <v/>
      </c>
      <c r="T14" s="91" t="str">
        <f t="shared" si="5"/>
        <v/>
      </c>
      <c r="U14" s="85">
        <f t="shared" si="6"/>
        <v>0</v>
      </c>
    </row>
    <row r="15">
      <c r="A15" s="85">
        <v>13.0</v>
      </c>
      <c r="B15" s="35"/>
      <c r="C15" s="35"/>
      <c r="D15" s="86"/>
      <c r="E15" s="35"/>
      <c r="F15" s="86"/>
      <c r="G15" s="35"/>
      <c r="H15" s="85"/>
      <c r="I15" s="85"/>
      <c r="J15" s="87" t="str">
        <f t="shared" si="1"/>
        <v/>
      </c>
      <c r="K15" s="35"/>
      <c r="L15" s="88"/>
      <c r="M15" s="88"/>
      <c r="N15" s="87" t="str">
        <f t="shared" si="2"/>
        <v/>
      </c>
      <c r="O15" s="35"/>
      <c r="P15" s="88"/>
      <c r="Q15" s="88"/>
      <c r="R15" s="87" t="str">
        <f t="shared" si="3"/>
        <v/>
      </c>
      <c r="S15" s="90" t="str">
        <f t="shared" si="4"/>
        <v/>
      </c>
      <c r="T15" s="91" t="str">
        <f t="shared" si="5"/>
        <v/>
      </c>
      <c r="U15" s="85">
        <f t="shared" si="6"/>
        <v>0</v>
      </c>
    </row>
    <row r="16">
      <c r="A16" s="85">
        <v>14.0</v>
      </c>
      <c r="B16" s="35"/>
      <c r="C16" s="35"/>
      <c r="D16" s="86"/>
      <c r="E16" s="35"/>
      <c r="F16" s="86"/>
      <c r="G16" s="35"/>
      <c r="H16" s="85"/>
      <c r="I16" s="85"/>
      <c r="J16" s="87" t="str">
        <f t="shared" si="1"/>
        <v/>
      </c>
      <c r="K16" s="35"/>
      <c r="L16" s="88"/>
      <c r="M16" s="88"/>
      <c r="N16" s="87" t="str">
        <f t="shared" si="2"/>
        <v/>
      </c>
      <c r="O16" s="35"/>
      <c r="P16" s="88"/>
      <c r="Q16" s="88"/>
      <c r="R16" s="87" t="str">
        <f t="shared" si="3"/>
        <v/>
      </c>
      <c r="S16" s="90" t="str">
        <f t="shared" si="4"/>
        <v/>
      </c>
      <c r="T16" s="91" t="str">
        <f t="shared" si="5"/>
        <v/>
      </c>
      <c r="U16" s="85">
        <f t="shared" si="6"/>
        <v>0</v>
      </c>
    </row>
    <row r="17">
      <c r="A17" s="85">
        <v>15.0</v>
      </c>
      <c r="B17" s="35"/>
      <c r="C17" s="35"/>
      <c r="D17" s="86"/>
      <c r="E17" s="35"/>
      <c r="F17" s="86"/>
      <c r="G17" s="35"/>
      <c r="H17" s="85"/>
      <c r="I17" s="85"/>
      <c r="J17" s="87" t="str">
        <f t="shared" si="1"/>
        <v/>
      </c>
      <c r="K17" s="35"/>
      <c r="L17" s="88"/>
      <c r="M17" s="88"/>
      <c r="N17" s="87" t="str">
        <f t="shared" si="2"/>
        <v/>
      </c>
      <c r="O17" s="35"/>
      <c r="P17" s="88"/>
      <c r="Q17" s="88"/>
      <c r="R17" s="87" t="str">
        <f t="shared" si="3"/>
        <v/>
      </c>
      <c r="S17" s="90" t="str">
        <f t="shared" si="4"/>
        <v/>
      </c>
      <c r="T17" s="91" t="str">
        <f t="shared" si="5"/>
        <v/>
      </c>
      <c r="U17" s="85">
        <f t="shared" si="6"/>
        <v>0</v>
      </c>
    </row>
    <row r="18">
      <c r="A18" s="85">
        <v>16.0</v>
      </c>
      <c r="B18" s="35"/>
      <c r="C18" s="35"/>
      <c r="D18" s="86"/>
      <c r="E18" s="35"/>
      <c r="F18" s="86"/>
      <c r="G18" s="35"/>
      <c r="H18" s="85"/>
      <c r="I18" s="85"/>
      <c r="J18" s="87" t="str">
        <f t="shared" si="1"/>
        <v/>
      </c>
      <c r="K18" s="35"/>
      <c r="L18" s="88"/>
      <c r="M18" s="88"/>
      <c r="N18" s="87" t="str">
        <f t="shared" si="2"/>
        <v/>
      </c>
      <c r="O18" s="35"/>
      <c r="P18" s="88"/>
      <c r="Q18" s="88"/>
      <c r="R18" s="87" t="str">
        <f t="shared" si="3"/>
        <v/>
      </c>
      <c r="S18" s="90" t="str">
        <f t="shared" si="4"/>
        <v/>
      </c>
      <c r="T18" s="91" t="str">
        <f t="shared" si="5"/>
        <v/>
      </c>
      <c r="U18" s="85">
        <f t="shared" si="6"/>
        <v>0</v>
      </c>
    </row>
    <row r="19">
      <c r="A19" s="85">
        <v>17.0</v>
      </c>
      <c r="B19" s="35"/>
      <c r="C19" s="35"/>
      <c r="D19" s="86"/>
      <c r="E19" s="35"/>
      <c r="F19" s="86"/>
      <c r="G19" s="35"/>
      <c r="H19" s="85"/>
      <c r="I19" s="85"/>
      <c r="J19" s="87" t="str">
        <f t="shared" si="1"/>
        <v/>
      </c>
      <c r="K19" s="35"/>
      <c r="L19" s="88"/>
      <c r="M19" s="85"/>
      <c r="N19" s="87" t="str">
        <f t="shared" si="2"/>
        <v/>
      </c>
      <c r="O19" s="35"/>
      <c r="P19" s="88"/>
      <c r="Q19" s="85"/>
      <c r="R19" s="87" t="str">
        <f t="shared" si="3"/>
        <v/>
      </c>
      <c r="S19" s="90" t="str">
        <f t="shared" si="4"/>
        <v/>
      </c>
      <c r="T19" s="91" t="str">
        <f t="shared" si="5"/>
        <v/>
      </c>
      <c r="U19" s="85">
        <f t="shared" si="6"/>
        <v>0</v>
      </c>
    </row>
    <row r="20">
      <c r="A20" s="85">
        <v>18.0</v>
      </c>
      <c r="B20" s="35"/>
      <c r="C20" s="35"/>
      <c r="D20" s="86"/>
      <c r="E20" s="35"/>
      <c r="F20" s="86"/>
      <c r="G20" s="35"/>
      <c r="H20" s="85"/>
      <c r="I20" s="85"/>
      <c r="J20" s="87" t="str">
        <f t="shared" si="1"/>
        <v/>
      </c>
      <c r="K20" s="35"/>
      <c r="L20" s="88"/>
      <c r="M20" s="89"/>
      <c r="N20" s="87" t="str">
        <f t="shared" si="2"/>
        <v/>
      </c>
      <c r="O20" s="35"/>
      <c r="P20" s="88"/>
      <c r="Q20" s="88"/>
      <c r="R20" s="87" t="str">
        <f t="shared" si="3"/>
        <v/>
      </c>
      <c r="S20" s="90" t="str">
        <f t="shared" si="4"/>
        <v/>
      </c>
      <c r="T20" s="91" t="str">
        <f t="shared" si="5"/>
        <v/>
      </c>
      <c r="U20" s="85">
        <f t="shared" si="6"/>
        <v>0</v>
      </c>
    </row>
    <row r="21">
      <c r="A21" s="85">
        <v>19.0</v>
      </c>
      <c r="B21" s="35"/>
      <c r="C21" s="35"/>
      <c r="D21" s="86"/>
      <c r="E21" s="35"/>
      <c r="F21" s="86"/>
      <c r="G21" s="35"/>
      <c r="H21" s="85"/>
      <c r="I21" s="85"/>
      <c r="J21" s="87" t="str">
        <f t="shared" si="1"/>
        <v/>
      </c>
      <c r="K21" s="35"/>
      <c r="L21" s="88"/>
      <c r="M21" s="85"/>
      <c r="N21" s="87" t="str">
        <f t="shared" si="2"/>
        <v/>
      </c>
      <c r="O21" s="35"/>
      <c r="P21" s="88"/>
      <c r="Q21" s="85"/>
      <c r="R21" s="87" t="str">
        <f t="shared" si="3"/>
        <v/>
      </c>
      <c r="S21" s="90" t="str">
        <f t="shared" si="4"/>
        <v/>
      </c>
      <c r="T21" s="91" t="str">
        <f t="shared" si="5"/>
        <v/>
      </c>
      <c r="U21" s="85">
        <f t="shared" si="6"/>
        <v>0</v>
      </c>
    </row>
    <row r="22">
      <c r="A22" s="85">
        <v>20.0</v>
      </c>
      <c r="B22" s="35"/>
      <c r="C22" s="35"/>
      <c r="D22" s="86"/>
      <c r="E22" s="35"/>
      <c r="F22" s="86"/>
      <c r="G22" s="35"/>
      <c r="H22" s="85"/>
      <c r="I22" s="85"/>
      <c r="J22" s="87" t="str">
        <f t="shared" si="1"/>
        <v/>
      </c>
      <c r="K22" s="35"/>
      <c r="L22" s="88"/>
      <c r="M22" s="88"/>
      <c r="N22" s="87" t="str">
        <f t="shared" si="2"/>
        <v/>
      </c>
      <c r="O22" s="35"/>
      <c r="P22" s="88"/>
      <c r="Q22" s="88"/>
      <c r="R22" s="87" t="str">
        <f t="shared" si="3"/>
        <v/>
      </c>
      <c r="S22" s="90" t="str">
        <f t="shared" si="4"/>
        <v/>
      </c>
      <c r="T22" s="91" t="str">
        <f t="shared" si="5"/>
        <v/>
      </c>
      <c r="U22" s="85">
        <f t="shared" si="6"/>
        <v>0</v>
      </c>
    </row>
    <row r="23">
      <c r="A23" s="85">
        <v>21.0</v>
      </c>
      <c r="B23" s="35"/>
      <c r="C23" s="35"/>
      <c r="D23" s="86"/>
      <c r="E23" s="35"/>
      <c r="F23" s="86"/>
      <c r="G23" s="35"/>
      <c r="H23" s="85"/>
      <c r="I23" s="85"/>
      <c r="J23" s="87" t="str">
        <f t="shared" si="1"/>
        <v/>
      </c>
      <c r="K23" s="35"/>
      <c r="L23" s="88"/>
      <c r="M23" s="88"/>
      <c r="N23" s="87" t="str">
        <f t="shared" si="2"/>
        <v/>
      </c>
      <c r="O23" s="35"/>
      <c r="P23" s="88"/>
      <c r="Q23" s="88"/>
      <c r="R23" s="87" t="str">
        <f t="shared" si="3"/>
        <v/>
      </c>
      <c r="S23" s="90" t="str">
        <f t="shared" si="4"/>
        <v/>
      </c>
      <c r="T23" s="91" t="str">
        <f t="shared" si="5"/>
        <v/>
      </c>
      <c r="U23" s="85">
        <f t="shared" si="6"/>
        <v>0</v>
      </c>
    </row>
    <row r="24">
      <c r="A24" s="85">
        <v>22.0</v>
      </c>
      <c r="B24" s="35"/>
      <c r="C24" s="35"/>
      <c r="D24" s="86"/>
      <c r="E24" s="35"/>
      <c r="F24" s="86"/>
      <c r="G24" s="35"/>
      <c r="H24" s="85"/>
      <c r="I24" s="85"/>
      <c r="J24" s="87" t="str">
        <f t="shared" si="1"/>
        <v/>
      </c>
      <c r="K24" s="35"/>
      <c r="L24" s="88"/>
      <c r="M24" s="88"/>
      <c r="N24" s="87" t="str">
        <f t="shared" si="2"/>
        <v/>
      </c>
      <c r="O24" s="35"/>
      <c r="P24" s="88"/>
      <c r="Q24" s="88"/>
      <c r="R24" s="87" t="str">
        <f t="shared" si="3"/>
        <v/>
      </c>
      <c r="S24" s="90" t="str">
        <f t="shared" si="4"/>
        <v/>
      </c>
      <c r="T24" s="91" t="str">
        <f t="shared" si="5"/>
        <v/>
      </c>
      <c r="U24" s="85">
        <f t="shared" si="6"/>
        <v>0</v>
      </c>
    </row>
    <row r="25">
      <c r="A25" s="85">
        <v>23.0</v>
      </c>
      <c r="B25" s="35"/>
      <c r="C25" s="35"/>
      <c r="D25" s="86"/>
      <c r="E25" s="35"/>
      <c r="F25" s="86"/>
      <c r="G25" s="35"/>
      <c r="H25" s="85"/>
      <c r="I25" s="85"/>
      <c r="J25" s="87" t="str">
        <f t="shared" si="1"/>
        <v/>
      </c>
      <c r="K25" s="35"/>
      <c r="L25" s="88"/>
      <c r="M25" s="88"/>
      <c r="N25" s="87" t="str">
        <f t="shared" si="2"/>
        <v/>
      </c>
      <c r="O25" s="35"/>
      <c r="P25" s="88"/>
      <c r="Q25" s="88"/>
      <c r="R25" s="87" t="str">
        <f t="shared" si="3"/>
        <v/>
      </c>
      <c r="S25" s="90" t="str">
        <f t="shared" si="4"/>
        <v/>
      </c>
      <c r="T25" s="91" t="str">
        <f t="shared" si="5"/>
        <v/>
      </c>
      <c r="U25" s="85">
        <f t="shared" si="6"/>
        <v>0</v>
      </c>
    </row>
    <row r="26">
      <c r="A26" s="85">
        <v>24.0</v>
      </c>
      <c r="B26" s="35"/>
      <c r="C26" s="35"/>
      <c r="D26" s="86"/>
      <c r="E26" s="35"/>
      <c r="F26" s="86"/>
      <c r="G26" s="35"/>
      <c r="H26" s="93"/>
      <c r="I26" s="93"/>
      <c r="J26" s="87" t="str">
        <f t="shared" si="1"/>
        <v/>
      </c>
      <c r="K26" s="93"/>
      <c r="L26" s="93"/>
      <c r="M26" s="93"/>
      <c r="N26" s="87" t="str">
        <f t="shared" si="2"/>
        <v/>
      </c>
      <c r="O26" s="93"/>
      <c r="P26" s="93"/>
      <c r="Q26" s="93"/>
      <c r="R26" s="87" t="str">
        <f t="shared" si="3"/>
        <v/>
      </c>
      <c r="S26" s="90" t="str">
        <f t="shared" si="4"/>
        <v/>
      </c>
      <c r="T26" s="91" t="str">
        <f t="shared" si="5"/>
        <v/>
      </c>
      <c r="U26" s="85">
        <f t="shared" si="6"/>
        <v>0</v>
      </c>
    </row>
    <row r="27">
      <c r="A27" s="85">
        <v>25.0</v>
      </c>
      <c r="B27" s="35"/>
      <c r="C27" s="35"/>
      <c r="D27" s="86"/>
      <c r="E27" s="35"/>
      <c r="F27" s="86"/>
      <c r="G27" s="35"/>
      <c r="H27" s="93"/>
      <c r="I27" s="93"/>
      <c r="J27" s="87" t="str">
        <f t="shared" si="1"/>
        <v/>
      </c>
      <c r="K27" s="93"/>
      <c r="L27" s="93"/>
      <c r="M27" s="93"/>
      <c r="N27" s="87" t="str">
        <f t="shared" si="2"/>
        <v/>
      </c>
      <c r="O27" s="93"/>
      <c r="P27" s="93"/>
      <c r="Q27" s="93"/>
      <c r="R27" s="87" t="str">
        <f t="shared" si="3"/>
        <v/>
      </c>
      <c r="S27" s="90" t="str">
        <f t="shared" si="4"/>
        <v/>
      </c>
      <c r="T27" s="91" t="str">
        <f t="shared" si="5"/>
        <v/>
      </c>
      <c r="U27" s="85">
        <f t="shared" si="6"/>
        <v>0</v>
      </c>
    </row>
    <row r="28">
      <c r="A28" s="85">
        <v>26.0</v>
      </c>
      <c r="B28" s="35"/>
      <c r="C28" s="35"/>
      <c r="D28" s="86"/>
      <c r="E28" s="35"/>
      <c r="F28" s="86"/>
      <c r="G28" s="35"/>
      <c r="H28" s="93"/>
      <c r="I28" s="93"/>
      <c r="J28" s="87" t="str">
        <f t="shared" si="1"/>
        <v/>
      </c>
      <c r="K28" s="93"/>
      <c r="L28" s="93"/>
      <c r="M28" s="93"/>
      <c r="N28" s="87" t="str">
        <f t="shared" si="2"/>
        <v/>
      </c>
      <c r="O28" s="93"/>
      <c r="P28" s="93"/>
      <c r="Q28" s="93"/>
      <c r="R28" s="87" t="str">
        <f t="shared" si="3"/>
        <v/>
      </c>
      <c r="S28" s="90" t="str">
        <f t="shared" si="4"/>
        <v/>
      </c>
      <c r="T28" s="91" t="str">
        <f t="shared" si="5"/>
        <v/>
      </c>
      <c r="U28" s="85">
        <f t="shared" si="6"/>
        <v>0</v>
      </c>
    </row>
    <row r="29">
      <c r="A29" s="85">
        <v>27.0</v>
      </c>
      <c r="B29" s="35"/>
      <c r="C29" s="35"/>
      <c r="D29" s="86"/>
      <c r="E29" s="35"/>
      <c r="F29" s="86"/>
      <c r="G29" s="35"/>
      <c r="H29" s="93"/>
      <c r="I29" s="93"/>
      <c r="J29" s="87" t="str">
        <f t="shared" si="1"/>
        <v/>
      </c>
      <c r="K29" s="93"/>
      <c r="L29" s="93"/>
      <c r="M29" s="93"/>
      <c r="N29" s="87" t="str">
        <f t="shared" si="2"/>
        <v/>
      </c>
      <c r="O29" s="93"/>
      <c r="P29" s="93"/>
      <c r="Q29" s="93"/>
      <c r="R29" s="87" t="str">
        <f t="shared" si="3"/>
        <v/>
      </c>
      <c r="S29" s="90" t="str">
        <f t="shared" si="4"/>
        <v/>
      </c>
      <c r="T29" s="91" t="str">
        <f t="shared" si="5"/>
        <v/>
      </c>
      <c r="U29" s="85">
        <f t="shared" si="6"/>
        <v>0</v>
      </c>
    </row>
    <row r="30">
      <c r="A30" s="85">
        <v>28.0</v>
      </c>
      <c r="B30" s="35"/>
      <c r="C30" s="35"/>
      <c r="D30" s="86"/>
      <c r="E30" s="35"/>
      <c r="F30" s="86"/>
      <c r="G30" s="35"/>
      <c r="H30" s="93"/>
      <c r="I30" s="93"/>
      <c r="J30" s="87" t="str">
        <f t="shared" si="1"/>
        <v/>
      </c>
      <c r="K30" s="93"/>
      <c r="L30" s="93"/>
      <c r="M30" s="93"/>
      <c r="N30" s="87" t="str">
        <f t="shared" si="2"/>
        <v/>
      </c>
      <c r="O30" s="93"/>
      <c r="P30" s="93"/>
      <c r="Q30" s="93"/>
      <c r="R30" s="87" t="str">
        <f t="shared" si="3"/>
        <v/>
      </c>
      <c r="S30" s="90" t="str">
        <f t="shared" si="4"/>
        <v/>
      </c>
      <c r="T30" s="91" t="str">
        <f t="shared" si="5"/>
        <v/>
      </c>
      <c r="U30" s="85">
        <f t="shared" si="6"/>
        <v>0</v>
      </c>
    </row>
    <row r="31">
      <c r="A31" s="85">
        <v>29.0</v>
      </c>
      <c r="B31" s="35"/>
      <c r="C31" s="35"/>
      <c r="D31" s="86"/>
      <c r="E31" s="35"/>
      <c r="F31" s="86"/>
      <c r="G31" s="35"/>
      <c r="H31" s="93"/>
      <c r="I31" s="93"/>
      <c r="J31" s="87" t="str">
        <f t="shared" si="1"/>
        <v/>
      </c>
      <c r="K31" s="93"/>
      <c r="L31" s="93"/>
      <c r="M31" s="93"/>
      <c r="N31" s="87" t="str">
        <f t="shared" si="2"/>
        <v/>
      </c>
      <c r="O31" s="93"/>
      <c r="P31" s="93"/>
      <c r="Q31" s="93"/>
      <c r="R31" s="87" t="str">
        <f t="shared" si="3"/>
        <v/>
      </c>
      <c r="S31" s="90" t="str">
        <f t="shared" si="4"/>
        <v/>
      </c>
      <c r="T31" s="91" t="str">
        <f t="shared" si="5"/>
        <v/>
      </c>
      <c r="U31" s="85">
        <f t="shared" si="6"/>
        <v>0</v>
      </c>
    </row>
    <row r="32">
      <c r="A32" s="85">
        <v>30.0</v>
      </c>
      <c r="B32" s="35"/>
      <c r="C32" s="35"/>
      <c r="D32" s="86"/>
      <c r="E32" s="35"/>
      <c r="F32" s="86"/>
      <c r="G32" s="35"/>
      <c r="H32" s="93"/>
      <c r="I32" s="93"/>
      <c r="J32" s="87" t="str">
        <f t="shared" si="1"/>
        <v/>
      </c>
      <c r="K32" s="93"/>
      <c r="L32" s="93"/>
      <c r="M32" s="93"/>
      <c r="N32" s="87" t="str">
        <f t="shared" si="2"/>
        <v/>
      </c>
      <c r="O32" s="93"/>
      <c r="P32" s="93"/>
      <c r="Q32" s="93"/>
      <c r="R32" s="87" t="str">
        <f t="shared" si="3"/>
        <v/>
      </c>
      <c r="S32" s="90" t="str">
        <f t="shared" si="4"/>
        <v/>
      </c>
      <c r="T32" s="91" t="str">
        <f t="shared" si="5"/>
        <v/>
      </c>
      <c r="U32" s="85">
        <f t="shared" si="6"/>
        <v>0</v>
      </c>
    </row>
    <row r="33">
      <c r="A33" s="85">
        <v>31.0</v>
      </c>
      <c r="B33" s="35"/>
      <c r="C33" s="35"/>
      <c r="D33" s="86"/>
      <c r="E33" s="35"/>
      <c r="F33" s="86"/>
      <c r="G33" s="35"/>
      <c r="H33" s="93"/>
      <c r="I33" s="93"/>
      <c r="J33" s="87" t="str">
        <f t="shared" si="1"/>
        <v/>
      </c>
      <c r="K33" s="93"/>
      <c r="L33" s="93"/>
      <c r="M33" s="93"/>
      <c r="N33" s="87" t="str">
        <f t="shared" si="2"/>
        <v/>
      </c>
      <c r="O33" s="93"/>
      <c r="P33" s="93"/>
      <c r="Q33" s="93"/>
      <c r="R33" s="87" t="str">
        <f t="shared" si="3"/>
        <v/>
      </c>
      <c r="S33" s="90" t="str">
        <f t="shared" si="4"/>
        <v/>
      </c>
      <c r="T33" s="91" t="str">
        <f t="shared" si="5"/>
        <v/>
      </c>
      <c r="U33" s="85">
        <f t="shared" si="6"/>
        <v>0</v>
      </c>
    </row>
    <row r="34">
      <c r="A34" s="85">
        <v>32.0</v>
      </c>
      <c r="B34" s="35"/>
      <c r="C34" s="35"/>
      <c r="D34" s="86"/>
      <c r="E34" s="35"/>
      <c r="F34" s="86"/>
      <c r="G34" s="35"/>
      <c r="H34" s="93"/>
      <c r="I34" s="93"/>
      <c r="J34" s="87" t="str">
        <f t="shared" si="1"/>
        <v/>
      </c>
      <c r="K34" s="93"/>
      <c r="L34" s="93"/>
      <c r="M34" s="93"/>
      <c r="N34" s="87" t="str">
        <f t="shared" si="2"/>
        <v/>
      </c>
      <c r="O34" s="93"/>
      <c r="P34" s="93"/>
      <c r="Q34" s="93"/>
      <c r="R34" s="87" t="str">
        <f t="shared" si="3"/>
        <v/>
      </c>
      <c r="S34" s="90" t="str">
        <f t="shared" si="4"/>
        <v/>
      </c>
      <c r="T34" s="91" t="str">
        <f t="shared" si="5"/>
        <v/>
      </c>
      <c r="U34" s="85">
        <f t="shared" si="6"/>
        <v>0</v>
      </c>
    </row>
    <row r="35">
      <c r="A35" s="85">
        <v>33.0</v>
      </c>
      <c r="B35" s="35"/>
      <c r="C35" s="65"/>
      <c r="D35" s="76"/>
      <c r="E35" s="93"/>
      <c r="F35" s="76"/>
      <c r="G35" s="93"/>
      <c r="H35" s="93"/>
      <c r="I35" s="93"/>
      <c r="J35" s="87" t="str">
        <f t="shared" si="1"/>
        <v/>
      </c>
      <c r="K35" s="93"/>
      <c r="L35" s="93"/>
      <c r="M35" s="93"/>
      <c r="N35" s="87" t="str">
        <f t="shared" si="2"/>
        <v/>
      </c>
      <c r="O35" s="93"/>
      <c r="P35" s="93"/>
      <c r="Q35" s="93"/>
      <c r="R35" s="87" t="str">
        <f t="shared" si="3"/>
        <v/>
      </c>
      <c r="S35" s="90" t="str">
        <f t="shared" si="4"/>
        <v/>
      </c>
      <c r="T35" s="91" t="str">
        <f t="shared" si="5"/>
        <v/>
      </c>
      <c r="U35" s="85">
        <f t="shared" si="6"/>
        <v>0</v>
      </c>
    </row>
    <row r="36">
      <c r="A36" s="85">
        <v>34.0</v>
      </c>
      <c r="B36" s="35"/>
      <c r="C36" s="65"/>
      <c r="D36" s="76"/>
      <c r="E36" s="93"/>
      <c r="F36" s="76"/>
      <c r="G36" s="93"/>
      <c r="H36" s="93"/>
      <c r="I36" s="93"/>
      <c r="J36" s="87" t="str">
        <f t="shared" si="1"/>
        <v/>
      </c>
      <c r="K36" s="93"/>
      <c r="L36" s="93"/>
      <c r="M36" s="93"/>
      <c r="N36" s="87" t="str">
        <f t="shared" si="2"/>
        <v/>
      </c>
      <c r="O36" s="93"/>
      <c r="P36" s="93"/>
      <c r="Q36" s="93"/>
      <c r="R36" s="87" t="str">
        <f t="shared" si="3"/>
        <v/>
      </c>
      <c r="S36" s="90" t="str">
        <f t="shared" si="4"/>
        <v/>
      </c>
      <c r="T36" s="91" t="str">
        <f t="shared" si="5"/>
        <v/>
      </c>
      <c r="U36" s="85">
        <f t="shared" si="6"/>
        <v>0</v>
      </c>
    </row>
    <row r="37">
      <c r="A37" s="85">
        <v>35.0</v>
      </c>
      <c r="B37" s="35"/>
      <c r="C37" s="65"/>
      <c r="D37" s="76"/>
      <c r="E37" s="93"/>
      <c r="F37" s="76"/>
      <c r="G37" s="93"/>
      <c r="H37" s="93"/>
      <c r="I37" s="93"/>
      <c r="J37" s="87" t="str">
        <f t="shared" si="1"/>
        <v/>
      </c>
      <c r="K37" s="93"/>
      <c r="L37" s="93"/>
      <c r="M37" s="93"/>
      <c r="N37" s="87" t="str">
        <f t="shared" si="2"/>
        <v/>
      </c>
      <c r="O37" s="93"/>
      <c r="P37" s="93"/>
      <c r="Q37" s="93"/>
      <c r="R37" s="87" t="str">
        <f t="shared" si="3"/>
        <v/>
      </c>
      <c r="S37" s="90" t="str">
        <f t="shared" si="4"/>
        <v/>
      </c>
      <c r="T37" s="91" t="str">
        <f t="shared" si="5"/>
        <v/>
      </c>
      <c r="U37" s="85">
        <f t="shared" si="6"/>
        <v>0</v>
      </c>
    </row>
    <row r="38">
      <c r="A38" s="85">
        <v>36.0</v>
      </c>
      <c r="B38" s="35"/>
      <c r="C38" s="65"/>
      <c r="D38" s="76"/>
      <c r="E38" s="93"/>
      <c r="F38" s="76"/>
      <c r="G38" s="93"/>
      <c r="H38" s="93"/>
      <c r="I38" s="93"/>
      <c r="J38" s="87" t="str">
        <f t="shared" si="1"/>
        <v/>
      </c>
      <c r="K38" s="93"/>
      <c r="L38" s="93"/>
      <c r="M38" s="93"/>
      <c r="N38" s="87" t="str">
        <f t="shared" si="2"/>
        <v/>
      </c>
      <c r="O38" s="93"/>
      <c r="P38" s="93"/>
      <c r="Q38" s="93"/>
      <c r="R38" s="87" t="str">
        <f t="shared" si="3"/>
        <v/>
      </c>
      <c r="S38" s="90" t="str">
        <f t="shared" si="4"/>
        <v/>
      </c>
      <c r="T38" s="91" t="str">
        <f t="shared" si="5"/>
        <v/>
      </c>
      <c r="U38" s="85">
        <f t="shared" si="6"/>
        <v>0</v>
      </c>
    </row>
    <row r="39">
      <c r="A39" s="85">
        <v>37.0</v>
      </c>
      <c r="B39" s="35"/>
      <c r="C39" s="65"/>
      <c r="D39" s="76"/>
      <c r="E39" s="93"/>
      <c r="F39" s="76"/>
      <c r="G39" s="93"/>
      <c r="H39" s="93"/>
      <c r="I39" s="93"/>
      <c r="J39" s="87" t="str">
        <f t="shared" si="1"/>
        <v/>
      </c>
      <c r="K39" s="93"/>
      <c r="L39" s="93"/>
      <c r="M39" s="93"/>
      <c r="N39" s="87" t="str">
        <f t="shared" si="2"/>
        <v/>
      </c>
      <c r="O39" s="93"/>
      <c r="P39" s="93"/>
      <c r="Q39" s="93"/>
      <c r="R39" s="87" t="str">
        <f t="shared" si="3"/>
        <v/>
      </c>
      <c r="S39" s="90" t="str">
        <f t="shared" si="4"/>
        <v/>
      </c>
      <c r="T39" s="91" t="str">
        <f t="shared" si="5"/>
        <v/>
      </c>
      <c r="U39" s="85">
        <f t="shared" si="6"/>
        <v>0</v>
      </c>
    </row>
    <row r="40">
      <c r="A40" s="85">
        <v>38.0</v>
      </c>
      <c r="B40" s="35"/>
      <c r="C40" s="65"/>
      <c r="D40" s="76"/>
      <c r="E40" s="93"/>
      <c r="F40" s="76"/>
      <c r="G40" s="93"/>
      <c r="H40" s="93"/>
      <c r="I40" s="93"/>
      <c r="J40" s="87" t="str">
        <f t="shared" si="1"/>
        <v/>
      </c>
      <c r="K40" s="93"/>
      <c r="L40" s="93"/>
      <c r="M40" s="93"/>
      <c r="N40" s="87" t="str">
        <f t="shared" si="2"/>
        <v/>
      </c>
      <c r="O40" s="93"/>
      <c r="P40" s="93"/>
      <c r="Q40" s="93"/>
      <c r="R40" s="87" t="str">
        <f t="shared" si="3"/>
        <v/>
      </c>
      <c r="S40" s="90" t="str">
        <f t="shared" si="4"/>
        <v/>
      </c>
      <c r="T40" s="91" t="str">
        <f t="shared" si="5"/>
        <v/>
      </c>
      <c r="U40" s="85">
        <f t="shared" si="6"/>
        <v>0</v>
      </c>
    </row>
    <row r="41">
      <c r="A41" s="85">
        <v>39.0</v>
      </c>
      <c r="B41" s="35"/>
      <c r="C41" s="65"/>
      <c r="D41" s="76"/>
      <c r="E41" s="93"/>
      <c r="F41" s="76"/>
      <c r="G41" s="93"/>
      <c r="H41" s="93"/>
      <c r="I41" s="93"/>
      <c r="J41" s="87" t="str">
        <f t="shared" si="1"/>
        <v/>
      </c>
      <c r="K41" s="93"/>
      <c r="L41" s="93"/>
      <c r="M41" s="93"/>
      <c r="N41" s="87" t="str">
        <f t="shared" si="2"/>
        <v/>
      </c>
      <c r="O41" s="93"/>
      <c r="P41" s="93"/>
      <c r="Q41" s="93"/>
      <c r="R41" s="87" t="str">
        <f t="shared" si="3"/>
        <v/>
      </c>
      <c r="S41" s="90" t="str">
        <f t="shared" si="4"/>
        <v/>
      </c>
      <c r="T41" s="91" t="str">
        <f t="shared" si="5"/>
        <v/>
      </c>
      <c r="U41" s="85">
        <f t="shared" si="6"/>
        <v>0</v>
      </c>
    </row>
    <row r="42">
      <c r="A42" s="85">
        <v>40.0</v>
      </c>
      <c r="B42" s="35"/>
      <c r="C42" s="65"/>
      <c r="D42" s="76"/>
      <c r="E42" s="93"/>
      <c r="F42" s="76"/>
      <c r="G42" s="93"/>
      <c r="H42" s="93"/>
      <c r="I42" s="93"/>
      <c r="J42" s="87" t="str">
        <f t="shared" si="1"/>
        <v/>
      </c>
      <c r="K42" s="93"/>
      <c r="L42" s="93"/>
      <c r="M42" s="93"/>
      <c r="N42" s="87" t="str">
        <f t="shared" si="2"/>
        <v/>
      </c>
      <c r="O42" s="93"/>
      <c r="P42" s="93"/>
      <c r="Q42" s="93"/>
      <c r="R42" s="87" t="str">
        <f t="shared" si="3"/>
        <v/>
      </c>
      <c r="S42" s="90" t="str">
        <f t="shared" si="4"/>
        <v/>
      </c>
      <c r="T42" s="91" t="str">
        <f t="shared" si="5"/>
        <v/>
      </c>
      <c r="U42" s="85">
        <f t="shared" si="6"/>
        <v>0</v>
      </c>
    </row>
    <row r="43">
      <c r="A43" s="85">
        <v>41.0</v>
      </c>
      <c r="B43" s="35"/>
      <c r="C43" s="65"/>
      <c r="D43" s="76"/>
      <c r="E43" s="93"/>
      <c r="F43" s="76"/>
      <c r="G43" s="93"/>
      <c r="H43" s="93"/>
      <c r="I43" s="93"/>
      <c r="J43" s="87" t="str">
        <f t="shared" si="1"/>
        <v/>
      </c>
      <c r="K43" s="93"/>
      <c r="L43" s="93"/>
      <c r="M43" s="93"/>
      <c r="N43" s="87" t="str">
        <f t="shared" si="2"/>
        <v/>
      </c>
      <c r="O43" s="93"/>
      <c r="P43" s="93"/>
      <c r="Q43" s="93"/>
      <c r="R43" s="87" t="str">
        <f t="shared" si="3"/>
        <v/>
      </c>
      <c r="S43" s="90" t="str">
        <f t="shared" si="4"/>
        <v/>
      </c>
      <c r="T43" s="91" t="str">
        <f t="shared" si="5"/>
        <v/>
      </c>
      <c r="U43" s="85">
        <f t="shared" si="6"/>
        <v>0</v>
      </c>
    </row>
    <row r="44">
      <c r="A44" s="85">
        <v>42.0</v>
      </c>
      <c r="B44" s="35"/>
      <c r="C44" s="65"/>
      <c r="D44" s="76"/>
      <c r="E44" s="93"/>
      <c r="F44" s="76"/>
      <c r="G44" s="93"/>
      <c r="H44" s="93"/>
      <c r="I44" s="93"/>
      <c r="J44" s="87" t="str">
        <f t="shared" si="1"/>
        <v/>
      </c>
      <c r="K44" s="93"/>
      <c r="L44" s="93"/>
      <c r="M44" s="93"/>
      <c r="N44" s="87" t="str">
        <f t="shared" si="2"/>
        <v/>
      </c>
      <c r="O44" s="93"/>
      <c r="P44" s="93"/>
      <c r="Q44" s="93"/>
      <c r="R44" s="87" t="str">
        <f t="shared" si="3"/>
        <v/>
      </c>
      <c r="S44" s="90" t="str">
        <f t="shared" si="4"/>
        <v/>
      </c>
      <c r="T44" s="91" t="str">
        <f t="shared" si="5"/>
        <v/>
      </c>
      <c r="U44" s="85">
        <f t="shared" si="6"/>
        <v>0</v>
      </c>
    </row>
    <row r="45">
      <c r="A45" s="85">
        <v>43.0</v>
      </c>
      <c r="B45" s="35"/>
      <c r="C45" s="65"/>
      <c r="D45" s="76"/>
      <c r="E45" s="93"/>
      <c r="F45" s="76"/>
      <c r="G45" s="93"/>
      <c r="H45" s="93"/>
      <c r="I45" s="93"/>
      <c r="J45" s="87" t="str">
        <f t="shared" si="1"/>
        <v/>
      </c>
      <c r="K45" s="93"/>
      <c r="L45" s="93"/>
      <c r="M45" s="93"/>
      <c r="N45" s="87" t="str">
        <f t="shared" si="2"/>
        <v/>
      </c>
      <c r="O45" s="93"/>
      <c r="P45" s="93"/>
      <c r="Q45" s="93"/>
      <c r="R45" s="87" t="str">
        <f t="shared" si="3"/>
        <v/>
      </c>
      <c r="S45" s="90" t="str">
        <f t="shared" si="4"/>
        <v/>
      </c>
      <c r="T45" s="91" t="str">
        <f t="shared" si="5"/>
        <v/>
      </c>
      <c r="U45" s="85">
        <f t="shared" si="6"/>
        <v>0</v>
      </c>
    </row>
    <row r="46">
      <c r="A46" s="85">
        <v>44.0</v>
      </c>
      <c r="B46" s="35"/>
      <c r="C46" s="65"/>
      <c r="D46" s="76"/>
      <c r="E46" s="93"/>
      <c r="F46" s="76"/>
      <c r="G46" s="93"/>
      <c r="H46" s="93"/>
      <c r="I46" s="93"/>
      <c r="J46" s="87" t="str">
        <f t="shared" si="1"/>
        <v/>
      </c>
      <c r="K46" s="93"/>
      <c r="L46" s="93"/>
      <c r="M46" s="93"/>
      <c r="N46" s="87" t="str">
        <f t="shared" si="2"/>
        <v/>
      </c>
      <c r="O46" s="93"/>
      <c r="P46" s="93"/>
      <c r="Q46" s="93"/>
      <c r="R46" s="87" t="str">
        <f t="shared" si="3"/>
        <v/>
      </c>
      <c r="S46" s="90" t="str">
        <f t="shared" si="4"/>
        <v/>
      </c>
      <c r="T46" s="91" t="str">
        <f t="shared" si="5"/>
        <v/>
      </c>
      <c r="U46" s="85">
        <f t="shared" si="6"/>
        <v>0</v>
      </c>
    </row>
    <row r="47">
      <c r="A47" s="85">
        <v>45.0</v>
      </c>
      <c r="B47" s="35"/>
      <c r="C47" s="65"/>
      <c r="D47" s="76"/>
      <c r="E47" s="93"/>
      <c r="F47" s="76"/>
      <c r="G47" s="93"/>
      <c r="H47" s="93"/>
      <c r="I47" s="93"/>
      <c r="J47" s="87" t="str">
        <f t="shared" si="1"/>
        <v/>
      </c>
      <c r="K47" s="93"/>
      <c r="L47" s="93"/>
      <c r="M47" s="93"/>
      <c r="N47" s="87" t="str">
        <f t="shared" si="2"/>
        <v/>
      </c>
      <c r="O47" s="93"/>
      <c r="P47" s="93"/>
      <c r="Q47" s="93"/>
      <c r="R47" s="87" t="str">
        <f t="shared" si="3"/>
        <v/>
      </c>
      <c r="S47" s="90" t="str">
        <f t="shared" si="4"/>
        <v/>
      </c>
      <c r="T47" s="91" t="str">
        <f t="shared" si="5"/>
        <v/>
      </c>
      <c r="U47" s="85">
        <f t="shared" si="6"/>
        <v>0</v>
      </c>
    </row>
    <row r="48">
      <c r="A48" s="85">
        <v>46.0</v>
      </c>
      <c r="B48" s="35"/>
      <c r="C48" s="65"/>
      <c r="D48" s="76"/>
      <c r="E48" s="93"/>
      <c r="F48" s="76"/>
      <c r="G48" s="93"/>
      <c r="H48" s="93"/>
      <c r="I48" s="93"/>
      <c r="J48" s="87" t="str">
        <f t="shared" si="1"/>
        <v/>
      </c>
      <c r="K48" s="93"/>
      <c r="L48" s="93"/>
      <c r="M48" s="93"/>
      <c r="N48" s="87" t="str">
        <f t="shared" si="2"/>
        <v/>
      </c>
      <c r="O48" s="93"/>
      <c r="P48" s="93"/>
      <c r="Q48" s="93"/>
      <c r="R48" s="87" t="str">
        <f t="shared" si="3"/>
        <v/>
      </c>
      <c r="S48" s="90" t="str">
        <f t="shared" si="4"/>
        <v/>
      </c>
      <c r="T48" s="91" t="str">
        <f t="shared" si="5"/>
        <v/>
      </c>
      <c r="U48" s="85">
        <f t="shared" si="6"/>
        <v>0</v>
      </c>
    </row>
    <row r="49">
      <c r="A49" s="85">
        <v>47.0</v>
      </c>
      <c r="B49" s="35"/>
      <c r="C49" s="65"/>
      <c r="D49" s="76"/>
      <c r="E49" s="93"/>
      <c r="F49" s="76"/>
      <c r="G49" s="93"/>
      <c r="H49" s="93"/>
      <c r="I49" s="93"/>
      <c r="J49" s="87" t="str">
        <f t="shared" si="1"/>
        <v/>
      </c>
      <c r="K49" s="93"/>
      <c r="L49" s="93"/>
      <c r="M49" s="93"/>
      <c r="N49" s="87" t="str">
        <f t="shared" si="2"/>
        <v/>
      </c>
      <c r="O49" s="93"/>
      <c r="P49" s="93"/>
      <c r="Q49" s="93"/>
      <c r="R49" s="87" t="str">
        <f t="shared" si="3"/>
        <v/>
      </c>
      <c r="S49" s="90" t="str">
        <f t="shared" si="4"/>
        <v/>
      </c>
      <c r="T49" s="91" t="str">
        <f t="shared" si="5"/>
        <v/>
      </c>
      <c r="U49" s="85">
        <f t="shared" si="6"/>
        <v>0</v>
      </c>
    </row>
    <row r="50">
      <c r="A50" s="85">
        <v>48.0</v>
      </c>
      <c r="B50" s="35"/>
      <c r="C50" s="65"/>
      <c r="D50" s="76"/>
      <c r="E50" s="93"/>
      <c r="F50" s="76"/>
      <c r="G50" s="93"/>
      <c r="H50" s="93"/>
      <c r="I50" s="93"/>
      <c r="J50" s="87" t="str">
        <f t="shared" si="1"/>
        <v/>
      </c>
      <c r="K50" s="93"/>
      <c r="L50" s="93"/>
      <c r="M50" s="93"/>
      <c r="N50" s="87" t="str">
        <f t="shared" si="2"/>
        <v/>
      </c>
      <c r="O50" s="93"/>
      <c r="P50" s="93"/>
      <c r="Q50" s="93"/>
      <c r="R50" s="87" t="str">
        <f t="shared" si="3"/>
        <v/>
      </c>
      <c r="S50" s="90" t="str">
        <f t="shared" si="4"/>
        <v/>
      </c>
      <c r="T50" s="91" t="str">
        <f t="shared" si="5"/>
        <v/>
      </c>
      <c r="U50" s="85">
        <f t="shared" si="6"/>
        <v>0</v>
      </c>
    </row>
    <row r="51">
      <c r="A51" s="85">
        <v>49.0</v>
      </c>
      <c r="B51" s="35"/>
      <c r="C51" s="65"/>
      <c r="D51" s="76"/>
      <c r="E51" s="93"/>
      <c r="F51" s="76"/>
      <c r="G51" s="93"/>
      <c r="H51" s="93"/>
      <c r="I51" s="93"/>
      <c r="J51" s="87" t="str">
        <f t="shared" si="1"/>
        <v/>
      </c>
      <c r="K51" s="93"/>
      <c r="L51" s="93"/>
      <c r="M51" s="93"/>
      <c r="N51" s="87" t="str">
        <f t="shared" si="2"/>
        <v/>
      </c>
      <c r="O51" s="93"/>
      <c r="P51" s="93"/>
      <c r="Q51" s="93"/>
      <c r="R51" s="87" t="str">
        <f t="shared" si="3"/>
        <v/>
      </c>
      <c r="S51" s="90" t="str">
        <f t="shared" si="4"/>
        <v/>
      </c>
      <c r="T51" s="91" t="str">
        <f t="shared" si="5"/>
        <v/>
      </c>
      <c r="U51" s="85">
        <f t="shared" si="6"/>
        <v>0</v>
      </c>
    </row>
    <row r="52">
      <c r="A52" s="85">
        <v>50.0</v>
      </c>
      <c r="B52" s="35"/>
      <c r="C52" s="65"/>
      <c r="D52" s="76"/>
      <c r="E52" s="93"/>
      <c r="F52" s="76"/>
      <c r="G52" s="93"/>
      <c r="H52" s="93"/>
      <c r="I52" s="93"/>
      <c r="J52" s="87" t="str">
        <f t="shared" si="1"/>
        <v/>
      </c>
      <c r="K52" s="93"/>
      <c r="L52" s="93"/>
      <c r="M52" s="93"/>
      <c r="N52" s="87" t="str">
        <f t="shared" si="2"/>
        <v/>
      </c>
      <c r="O52" s="93"/>
      <c r="P52" s="93"/>
      <c r="Q52" s="93"/>
      <c r="R52" s="87" t="str">
        <f t="shared" si="3"/>
        <v/>
      </c>
      <c r="S52" s="90" t="str">
        <f t="shared" si="4"/>
        <v/>
      </c>
      <c r="T52" s="91" t="str">
        <f t="shared" si="5"/>
        <v/>
      </c>
      <c r="U52" s="85">
        <f t="shared" si="6"/>
        <v>0</v>
      </c>
    </row>
    <row r="53">
      <c r="A53" s="85">
        <v>51.0</v>
      </c>
      <c r="B53" s="35"/>
      <c r="C53" s="65"/>
      <c r="D53" s="76"/>
      <c r="E53" s="93"/>
      <c r="F53" s="76"/>
      <c r="G53" s="93"/>
      <c r="H53" s="93"/>
      <c r="I53" s="93"/>
      <c r="J53" s="87" t="str">
        <f t="shared" si="1"/>
        <v/>
      </c>
      <c r="K53" s="93"/>
      <c r="L53" s="93"/>
      <c r="M53" s="93"/>
      <c r="N53" s="87" t="str">
        <f t="shared" si="2"/>
        <v/>
      </c>
      <c r="O53" s="93"/>
      <c r="P53" s="93"/>
      <c r="Q53" s="93"/>
      <c r="R53" s="87" t="str">
        <f t="shared" si="3"/>
        <v/>
      </c>
      <c r="S53" s="90" t="str">
        <f t="shared" si="4"/>
        <v/>
      </c>
      <c r="T53" s="91" t="str">
        <f t="shared" si="5"/>
        <v/>
      </c>
      <c r="U53" s="85">
        <f t="shared" si="6"/>
        <v>0</v>
      </c>
    </row>
    <row r="54">
      <c r="A54" s="85">
        <v>52.0</v>
      </c>
      <c r="B54" s="35"/>
      <c r="C54" s="65"/>
      <c r="D54" s="76"/>
      <c r="E54" s="93"/>
      <c r="F54" s="76"/>
      <c r="G54" s="93"/>
      <c r="H54" s="93"/>
      <c r="I54" s="93"/>
      <c r="J54" s="87" t="str">
        <f t="shared" si="1"/>
        <v/>
      </c>
      <c r="K54" s="93"/>
      <c r="L54" s="93"/>
      <c r="M54" s="93"/>
      <c r="N54" s="87" t="str">
        <f t="shared" si="2"/>
        <v/>
      </c>
      <c r="O54" s="93"/>
      <c r="P54" s="93"/>
      <c r="Q54" s="93"/>
      <c r="R54" s="87" t="str">
        <f t="shared" si="3"/>
        <v/>
      </c>
      <c r="S54" s="90" t="str">
        <f t="shared" si="4"/>
        <v/>
      </c>
      <c r="T54" s="91" t="str">
        <f t="shared" si="5"/>
        <v/>
      </c>
      <c r="U54" s="85">
        <f t="shared" si="6"/>
        <v>0</v>
      </c>
    </row>
    <row r="55">
      <c r="A55" s="85">
        <v>53.0</v>
      </c>
      <c r="B55" s="35"/>
      <c r="C55" s="65"/>
      <c r="D55" s="76"/>
      <c r="E55" s="93"/>
      <c r="F55" s="76"/>
      <c r="G55" s="93"/>
      <c r="H55" s="93"/>
      <c r="I55" s="93"/>
      <c r="J55" s="87" t="str">
        <f t="shared" si="1"/>
        <v/>
      </c>
      <c r="K55" s="93"/>
      <c r="L55" s="93"/>
      <c r="M55" s="93"/>
      <c r="N55" s="87" t="str">
        <f t="shared" si="2"/>
        <v/>
      </c>
      <c r="O55" s="93"/>
      <c r="P55" s="93"/>
      <c r="Q55" s="93"/>
      <c r="R55" s="87" t="str">
        <f t="shared" si="3"/>
        <v/>
      </c>
      <c r="S55" s="90" t="str">
        <f t="shared" si="4"/>
        <v/>
      </c>
      <c r="T55" s="91" t="str">
        <f t="shared" si="5"/>
        <v/>
      </c>
      <c r="U55" s="85">
        <f t="shared" si="6"/>
        <v>0</v>
      </c>
    </row>
    <row r="56">
      <c r="A56" s="85">
        <v>54.0</v>
      </c>
      <c r="B56" s="35"/>
      <c r="C56" s="65"/>
      <c r="D56" s="76"/>
      <c r="E56" s="93"/>
      <c r="F56" s="76"/>
      <c r="G56" s="93"/>
      <c r="H56" s="93"/>
      <c r="I56" s="93"/>
      <c r="J56" s="87" t="str">
        <f t="shared" si="1"/>
        <v/>
      </c>
      <c r="K56" s="93"/>
      <c r="L56" s="93"/>
      <c r="M56" s="93"/>
      <c r="N56" s="87" t="str">
        <f t="shared" si="2"/>
        <v/>
      </c>
      <c r="O56" s="93"/>
      <c r="P56" s="93"/>
      <c r="Q56" s="93"/>
      <c r="R56" s="87" t="str">
        <f t="shared" si="3"/>
        <v/>
      </c>
      <c r="S56" s="90" t="str">
        <f t="shared" si="4"/>
        <v/>
      </c>
      <c r="T56" s="91" t="str">
        <f t="shared" si="5"/>
        <v/>
      </c>
      <c r="U56" s="85">
        <f t="shared" si="6"/>
        <v>0</v>
      </c>
    </row>
    <row r="57">
      <c r="A57" s="85">
        <v>55.0</v>
      </c>
      <c r="B57" s="35"/>
      <c r="C57" s="65"/>
      <c r="D57" s="76"/>
      <c r="E57" s="93"/>
      <c r="F57" s="76"/>
      <c r="G57" s="93"/>
      <c r="H57" s="93"/>
      <c r="I57" s="93"/>
      <c r="J57" s="87" t="str">
        <f t="shared" si="1"/>
        <v/>
      </c>
      <c r="K57" s="93"/>
      <c r="L57" s="93"/>
      <c r="M57" s="93"/>
      <c r="N57" s="87" t="str">
        <f t="shared" si="2"/>
        <v/>
      </c>
      <c r="O57" s="93"/>
      <c r="P57" s="93"/>
      <c r="Q57" s="93"/>
      <c r="R57" s="87" t="str">
        <f t="shared" si="3"/>
        <v/>
      </c>
      <c r="S57" s="90" t="str">
        <f t="shared" si="4"/>
        <v/>
      </c>
      <c r="T57" s="91" t="str">
        <f t="shared" si="5"/>
        <v/>
      </c>
      <c r="U57" s="85">
        <f t="shared" si="6"/>
        <v>0</v>
      </c>
    </row>
    <row r="58">
      <c r="A58" s="85">
        <v>56.0</v>
      </c>
      <c r="B58" s="35"/>
      <c r="C58" s="65"/>
      <c r="D58" s="76"/>
      <c r="E58" s="93"/>
      <c r="F58" s="76"/>
      <c r="G58" s="93"/>
      <c r="H58" s="93"/>
      <c r="I58" s="93"/>
      <c r="J58" s="87" t="str">
        <f t="shared" si="1"/>
        <v/>
      </c>
      <c r="K58" s="93"/>
      <c r="L58" s="93"/>
      <c r="M58" s="93"/>
      <c r="N58" s="87" t="str">
        <f t="shared" si="2"/>
        <v/>
      </c>
      <c r="O58" s="93"/>
      <c r="P58" s="93"/>
      <c r="Q58" s="93"/>
      <c r="R58" s="87" t="str">
        <f t="shared" si="3"/>
        <v/>
      </c>
      <c r="S58" s="90" t="str">
        <f t="shared" si="4"/>
        <v/>
      </c>
      <c r="T58" s="91" t="str">
        <f t="shared" si="5"/>
        <v/>
      </c>
      <c r="U58" s="85">
        <f t="shared" si="6"/>
        <v>0</v>
      </c>
    </row>
    <row r="59">
      <c r="A59" s="85">
        <v>57.0</v>
      </c>
      <c r="B59" s="35"/>
      <c r="C59" s="65"/>
      <c r="D59" s="76"/>
      <c r="E59" s="93"/>
      <c r="F59" s="76"/>
      <c r="G59" s="93"/>
      <c r="H59" s="93"/>
      <c r="I59" s="93"/>
      <c r="J59" s="87" t="str">
        <f t="shared" si="1"/>
        <v/>
      </c>
      <c r="K59" s="93"/>
      <c r="L59" s="93"/>
      <c r="M59" s="93"/>
      <c r="N59" s="87" t="str">
        <f t="shared" si="2"/>
        <v/>
      </c>
      <c r="O59" s="93"/>
      <c r="P59" s="93"/>
      <c r="Q59" s="93"/>
      <c r="R59" s="87" t="str">
        <f t="shared" si="3"/>
        <v/>
      </c>
      <c r="S59" s="90" t="str">
        <f t="shared" si="4"/>
        <v/>
      </c>
      <c r="T59" s="91" t="str">
        <f t="shared" si="5"/>
        <v/>
      </c>
      <c r="U59" s="85">
        <f t="shared" si="6"/>
        <v>0</v>
      </c>
    </row>
    <row r="60">
      <c r="A60" s="85">
        <v>58.0</v>
      </c>
      <c r="B60" s="35"/>
      <c r="C60" s="65"/>
      <c r="D60" s="76"/>
      <c r="E60" s="93"/>
      <c r="F60" s="76"/>
      <c r="G60" s="93"/>
      <c r="H60" s="93"/>
      <c r="I60" s="93"/>
      <c r="J60" s="87" t="str">
        <f t="shared" si="1"/>
        <v/>
      </c>
      <c r="K60" s="93"/>
      <c r="L60" s="93"/>
      <c r="M60" s="93"/>
      <c r="N60" s="87" t="str">
        <f t="shared" si="2"/>
        <v/>
      </c>
      <c r="O60" s="93"/>
      <c r="P60" s="93"/>
      <c r="Q60" s="93"/>
      <c r="R60" s="87" t="str">
        <f t="shared" si="3"/>
        <v/>
      </c>
      <c r="S60" s="90" t="str">
        <f t="shared" si="4"/>
        <v/>
      </c>
      <c r="T60" s="91" t="str">
        <f t="shared" si="5"/>
        <v/>
      </c>
      <c r="U60" s="85">
        <f t="shared" si="6"/>
        <v>0</v>
      </c>
    </row>
    <row r="61">
      <c r="A61" s="85">
        <v>59.0</v>
      </c>
      <c r="B61" s="35"/>
      <c r="C61" s="65"/>
      <c r="D61" s="76"/>
      <c r="E61" s="93"/>
      <c r="F61" s="76"/>
      <c r="G61" s="93"/>
      <c r="H61" s="93"/>
      <c r="I61" s="93"/>
      <c r="J61" s="87" t="str">
        <f t="shared" si="1"/>
        <v/>
      </c>
      <c r="K61" s="93"/>
      <c r="L61" s="93"/>
      <c r="M61" s="93"/>
      <c r="N61" s="87" t="str">
        <f t="shared" si="2"/>
        <v/>
      </c>
      <c r="O61" s="93"/>
      <c r="P61" s="93"/>
      <c r="Q61" s="93"/>
      <c r="R61" s="87" t="str">
        <f t="shared" si="3"/>
        <v/>
      </c>
      <c r="S61" s="90" t="str">
        <f t="shared" si="4"/>
        <v/>
      </c>
      <c r="T61" s="91" t="str">
        <f t="shared" si="5"/>
        <v/>
      </c>
      <c r="U61" s="85">
        <f t="shared" si="6"/>
        <v>0</v>
      </c>
    </row>
    <row r="62">
      <c r="A62" s="85">
        <v>60.0</v>
      </c>
      <c r="B62" s="35"/>
      <c r="C62" s="65"/>
      <c r="D62" s="76"/>
      <c r="E62" s="93"/>
      <c r="F62" s="76"/>
      <c r="G62" s="93"/>
      <c r="H62" s="93"/>
      <c r="I62" s="93"/>
      <c r="J62" s="87" t="str">
        <f t="shared" si="1"/>
        <v/>
      </c>
      <c r="K62" s="93"/>
      <c r="L62" s="93"/>
      <c r="M62" s="93"/>
      <c r="N62" s="87" t="str">
        <f t="shared" si="2"/>
        <v/>
      </c>
      <c r="O62" s="93"/>
      <c r="P62" s="93"/>
      <c r="Q62" s="93"/>
      <c r="R62" s="87" t="str">
        <f t="shared" si="3"/>
        <v/>
      </c>
      <c r="S62" s="90" t="str">
        <f t="shared" si="4"/>
        <v/>
      </c>
      <c r="T62" s="91" t="str">
        <f t="shared" si="5"/>
        <v/>
      </c>
      <c r="U62" s="85">
        <f t="shared" si="6"/>
        <v>0</v>
      </c>
    </row>
    <row r="63">
      <c r="A63" s="85">
        <v>61.0</v>
      </c>
      <c r="B63" s="35"/>
      <c r="C63" s="65"/>
      <c r="D63" s="76"/>
      <c r="E63" s="93"/>
      <c r="F63" s="76"/>
      <c r="G63" s="93"/>
      <c r="H63" s="93"/>
      <c r="I63" s="93"/>
      <c r="J63" s="87" t="str">
        <f t="shared" si="1"/>
        <v/>
      </c>
      <c r="K63" s="93"/>
      <c r="L63" s="93"/>
      <c r="M63" s="93"/>
      <c r="N63" s="87" t="str">
        <f t="shared" si="2"/>
        <v/>
      </c>
      <c r="O63" s="93"/>
      <c r="P63" s="93"/>
      <c r="Q63" s="93"/>
      <c r="R63" s="87" t="str">
        <f t="shared" si="3"/>
        <v/>
      </c>
      <c r="S63" s="90" t="str">
        <f t="shared" si="4"/>
        <v/>
      </c>
      <c r="T63" s="91" t="str">
        <f t="shared" si="5"/>
        <v/>
      </c>
      <c r="U63" s="85">
        <f t="shared" si="6"/>
        <v>0</v>
      </c>
    </row>
    <row r="64">
      <c r="A64" s="85">
        <v>62.0</v>
      </c>
      <c r="B64" s="35"/>
      <c r="C64" s="65"/>
      <c r="D64" s="76"/>
      <c r="E64" s="93"/>
      <c r="F64" s="76"/>
      <c r="G64" s="93"/>
      <c r="H64" s="93"/>
      <c r="I64" s="93"/>
      <c r="J64" s="87" t="str">
        <f t="shared" si="1"/>
        <v/>
      </c>
      <c r="K64" s="93"/>
      <c r="L64" s="93"/>
      <c r="M64" s="93"/>
      <c r="N64" s="87" t="str">
        <f t="shared" si="2"/>
        <v/>
      </c>
      <c r="O64" s="93"/>
      <c r="P64" s="93"/>
      <c r="Q64" s="93"/>
      <c r="R64" s="87" t="str">
        <f t="shared" si="3"/>
        <v/>
      </c>
      <c r="S64" s="90" t="str">
        <f t="shared" si="4"/>
        <v/>
      </c>
      <c r="T64" s="91" t="str">
        <f t="shared" si="5"/>
        <v/>
      </c>
      <c r="U64" s="85">
        <f t="shared" si="6"/>
        <v>0</v>
      </c>
    </row>
    <row r="65">
      <c r="A65" s="85">
        <v>63.0</v>
      </c>
      <c r="B65" s="35"/>
      <c r="C65" s="65"/>
      <c r="D65" s="76"/>
      <c r="E65" s="93"/>
      <c r="F65" s="76"/>
      <c r="G65" s="93"/>
      <c r="H65" s="93"/>
      <c r="I65" s="93"/>
      <c r="J65" s="87" t="str">
        <f t="shared" si="1"/>
        <v/>
      </c>
      <c r="K65" s="93"/>
      <c r="L65" s="93"/>
      <c r="M65" s="93"/>
      <c r="N65" s="87" t="str">
        <f t="shared" si="2"/>
        <v/>
      </c>
      <c r="O65" s="93"/>
      <c r="P65" s="93"/>
      <c r="Q65" s="93"/>
      <c r="R65" s="87" t="str">
        <f t="shared" si="3"/>
        <v/>
      </c>
      <c r="S65" s="90" t="str">
        <f t="shared" si="4"/>
        <v/>
      </c>
      <c r="T65" s="91" t="str">
        <f t="shared" si="5"/>
        <v/>
      </c>
      <c r="U65" s="85">
        <f t="shared" si="6"/>
        <v>0</v>
      </c>
    </row>
    <row r="66">
      <c r="A66" s="85">
        <v>64.0</v>
      </c>
      <c r="B66" s="35"/>
      <c r="C66" s="65"/>
      <c r="D66" s="76"/>
      <c r="E66" s="93"/>
      <c r="F66" s="76"/>
      <c r="G66" s="93"/>
      <c r="H66" s="93"/>
      <c r="I66" s="93"/>
      <c r="J66" s="87" t="str">
        <f t="shared" si="1"/>
        <v/>
      </c>
      <c r="K66" s="93"/>
      <c r="L66" s="93"/>
      <c r="M66" s="93"/>
      <c r="N66" s="87" t="str">
        <f t="shared" si="2"/>
        <v/>
      </c>
      <c r="O66" s="93"/>
      <c r="P66" s="93"/>
      <c r="Q66" s="93"/>
      <c r="R66" s="87" t="str">
        <f t="shared" si="3"/>
        <v/>
      </c>
      <c r="S66" s="90" t="str">
        <f t="shared" si="4"/>
        <v/>
      </c>
      <c r="T66" s="91" t="str">
        <f t="shared" si="5"/>
        <v/>
      </c>
      <c r="U66" s="85">
        <f t="shared" si="6"/>
        <v>0</v>
      </c>
    </row>
    <row r="67">
      <c r="A67" s="85">
        <v>65.0</v>
      </c>
      <c r="B67" s="35"/>
      <c r="C67" s="65"/>
      <c r="D67" s="76"/>
      <c r="E67" s="93"/>
      <c r="F67" s="76"/>
      <c r="G67" s="93"/>
      <c r="H67" s="93"/>
      <c r="I67" s="93"/>
      <c r="J67" s="87" t="str">
        <f t="shared" si="1"/>
        <v/>
      </c>
      <c r="K67" s="93"/>
      <c r="L67" s="93"/>
      <c r="M67" s="93"/>
      <c r="N67" s="87" t="str">
        <f t="shared" si="2"/>
        <v/>
      </c>
      <c r="O67" s="93"/>
      <c r="P67" s="93"/>
      <c r="Q67" s="93"/>
      <c r="R67" s="87" t="str">
        <f t="shared" si="3"/>
        <v/>
      </c>
      <c r="S67" s="90" t="str">
        <f t="shared" si="4"/>
        <v/>
      </c>
      <c r="T67" s="91" t="str">
        <f t="shared" si="5"/>
        <v/>
      </c>
      <c r="U67" s="85">
        <f t="shared" si="6"/>
        <v>0</v>
      </c>
    </row>
    <row r="68">
      <c r="A68" s="85">
        <v>66.0</v>
      </c>
      <c r="B68" s="35"/>
      <c r="C68" s="65"/>
      <c r="D68" s="76"/>
      <c r="E68" s="93"/>
      <c r="F68" s="76"/>
      <c r="G68" s="93"/>
      <c r="H68" s="93"/>
      <c r="I68" s="93"/>
      <c r="J68" s="87" t="str">
        <f t="shared" si="1"/>
        <v/>
      </c>
      <c r="K68" s="93"/>
      <c r="L68" s="93"/>
      <c r="M68" s="93"/>
      <c r="N68" s="87" t="str">
        <f t="shared" si="2"/>
        <v/>
      </c>
      <c r="O68" s="93"/>
      <c r="P68" s="93"/>
      <c r="Q68" s="93"/>
      <c r="R68" s="87" t="str">
        <f t="shared" si="3"/>
        <v/>
      </c>
      <c r="S68" s="90" t="str">
        <f t="shared" si="4"/>
        <v/>
      </c>
      <c r="T68" s="91" t="str">
        <f t="shared" si="5"/>
        <v/>
      </c>
      <c r="U68" s="85">
        <f t="shared" si="6"/>
        <v>0</v>
      </c>
    </row>
    <row r="69">
      <c r="A69" s="85">
        <v>67.0</v>
      </c>
      <c r="B69" s="35"/>
      <c r="C69" s="65"/>
      <c r="D69" s="76"/>
      <c r="E69" s="93"/>
      <c r="F69" s="76"/>
      <c r="G69" s="93"/>
      <c r="H69" s="93"/>
      <c r="I69" s="93"/>
      <c r="J69" s="87" t="str">
        <f t="shared" si="1"/>
        <v/>
      </c>
      <c r="K69" s="93"/>
      <c r="L69" s="93"/>
      <c r="M69" s="93"/>
      <c r="N69" s="87" t="str">
        <f t="shared" si="2"/>
        <v/>
      </c>
      <c r="O69" s="93"/>
      <c r="P69" s="93"/>
      <c r="Q69" s="93"/>
      <c r="R69" s="87" t="str">
        <f t="shared" si="3"/>
        <v/>
      </c>
      <c r="S69" s="90" t="str">
        <f t="shared" si="4"/>
        <v/>
      </c>
      <c r="T69" s="91" t="str">
        <f t="shared" si="5"/>
        <v/>
      </c>
      <c r="U69" s="85">
        <f t="shared" si="6"/>
        <v>0</v>
      </c>
    </row>
    <row r="70">
      <c r="A70" s="85">
        <v>68.0</v>
      </c>
      <c r="B70" s="35"/>
      <c r="C70" s="65"/>
      <c r="D70" s="76"/>
      <c r="E70" s="93"/>
      <c r="F70" s="76"/>
      <c r="G70" s="93"/>
      <c r="H70" s="93"/>
      <c r="I70" s="93"/>
      <c r="J70" s="87" t="str">
        <f t="shared" si="1"/>
        <v/>
      </c>
      <c r="K70" s="93"/>
      <c r="L70" s="93"/>
      <c r="M70" s="93"/>
      <c r="N70" s="87" t="str">
        <f t="shared" si="2"/>
        <v/>
      </c>
      <c r="O70" s="93"/>
      <c r="P70" s="93"/>
      <c r="Q70" s="93"/>
      <c r="R70" s="87" t="str">
        <f t="shared" si="3"/>
        <v/>
      </c>
      <c r="S70" s="90" t="str">
        <f t="shared" si="4"/>
        <v/>
      </c>
      <c r="T70" s="91" t="str">
        <f t="shared" si="5"/>
        <v/>
      </c>
      <c r="U70" s="85">
        <f t="shared" si="6"/>
        <v>0</v>
      </c>
    </row>
    <row r="71">
      <c r="A71" s="85">
        <v>69.0</v>
      </c>
      <c r="B71" s="35"/>
      <c r="C71" s="65"/>
      <c r="D71" s="76"/>
      <c r="E71" s="93"/>
      <c r="F71" s="76"/>
      <c r="G71" s="93"/>
      <c r="H71" s="93"/>
      <c r="I71" s="93"/>
      <c r="J71" s="87" t="str">
        <f t="shared" si="1"/>
        <v/>
      </c>
      <c r="K71" s="93"/>
      <c r="L71" s="93"/>
      <c r="M71" s="93"/>
      <c r="N71" s="87" t="str">
        <f t="shared" si="2"/>
        <v/>
      </c>
      <c r="O71" s="93"/>
      <c r="P71" s="93"/>
      <c r="Q71" s="93"/>
      <c r="R71" s="87" t="str">
        <f t="shared" si="3"/>
        <v/>
      </c>
      <c r="S71" s="90" t="str">
        <f t="shared" si="4"/>
        <v/>
      </c>
      <c r="T71" s="91" t="str">
        <f t="shared" si="5"/>
        <v/>
      </c>
      <c r="U71" s="85">
        <f t="shared" si="6"/>
        <v>0</v>
      </c>
    </row>
    <row r="72">
      <c r="A72" s="85">
        <v>70.0</v>
      </c>
      <c r="B72" s="35"/>
      <c r="C72" s="65"/>
      <c r="D72" s="76"/>
      <c r="E72" s="93"/>
      <c r="F72" s="76"/>
      <c r="G72" s="93"/>
      <c r="H72" s="93"/>
      <c r="I72" s="93"/>
      <c r="J72" s="87" t="str">
        <f t="shared" si="1"/>
        <v/>
      </c>
      <c r="K72" s="93"/>
      <c r="L72" s="93"/>
      <c r="M72" s="93"/>
      <c r="N72" s="87" t="str">
        <f t="shared" si="2"/>
        <v/>
      </c>
      <c r="O72" s="93"/>
      <c r="P72" s="93"/>
      <c r="Q72" s="93"/>
      <c r="R72" s="87" t="str">
        <f t="shared" si="3"/>
        <v/>
      </c>
      <c r="S72" s="90" t="str">
        <f t="shared" si="4"/>
        <v/>
      </c>
      <c r="T72" s="91" t="str">
        <f t="shared" si="5"/>
        <v/>
      </c>
      <c r="U72" s="85">
        <f t="shared" si="6"/>
        <v>0</v>
      </c>
    </row>
    <row r="73">
      <c r="A73" s="85">
        <v>71.0</v>
      </c>
      <c r="B73" s="35"/>
      <c r="C73" s="65"/>
      <c r="D73" s="76"/>
      <c r="E73" s="93"/>
      <c r="F73" s="76"/>
      <c r="G73" s="93"/>
      <c r="H73" s="93"/>
      <c r="I73" s="93"/>
      <c r="J73" s="87" t="str">
        <f t="shared" si="1"/>
        <v/>
      </c>
      <c r="K73" s="93"/>
      <c r="L73" s="93"/>
      <c r="M73" s="93"/>
      <c r="N73" s="87" t="str">
        <f t="shared" si="2"/>
        <v/>
      </c>
      <c r="O73" s="93"/>
      <c r="P73" s="93"/>
      <c r="Q73" s="93"/>
      <c r="R73" s="87" t="str">
        <f t="shared" si="3"/>
        <v/>
      </c>
      <c r="S73" s="90" t="str">
        <f t="shared" si="4"/>
        <v/>
      </c>
      <c r="T73" s="91" t="str">
        <f t="shared" si="5"/>
        <v/>
      </c>
      <c r="U73" s="85">
        <f t="shared" si="6"/>
        <v>0</v>
      </c>
    </row>
    <row r="74">
      <c r="A74" s="85">
        <v>72.0</v>
      </c>
      <c r="B74" s="35"/>
      <c r="C74" s="65"/>
      <c r="D74" s="76"/>
      <c r="E74" s="93"/>
      <c r="F74" s="76"/>
      <c r="G74" s="93"/>
      <c r="H74" s="93"/>
      <c r="I74" s="93"/>
      <c r="J74" s="87" t="str">
        <f t="shared" si="1"/>
        <v/>
      </c>
      <c r="K74" s="93"/>
      <c r="L74" s="93"/>
      <c r="M74" s="93"/>
      <c r="N74" s="87" t="str">
        <f t="shared" si="2"/>
        <v/>
      </c>
      <c r="O74" s="93"/>
      <c r="P74" s="93"/>
      <c r="Q74" s="93"/>
      <c r="R74" s="87" t="str">
        <f t="shared" si="3"/>
        <v/>
      </c>
      <c r="S74" s="90" t="str">
        <f t="shared" si="4"/>
        <v/>
      </c>
      <c r="T74" s="91" t="str">
        <f t="shared" si="5"/>
        <v/>
      </c>
      <c r="U74" s="85">
        <f t="shared" si="6"/>
        <v>0</v>
      </c>
    </row>
    <row r="75">
      <c r="A75" s="85">
        <v>73.0</v>
      </c>
      <c r="B75" s="35"/>
      <c r="C75" s="65"/>
      <c r="D75" s="76"/>
      <c r="E75" s="93"/>
      <c r="F75" s="76"/>
      <c r="G75" s="93"/>
      <c r="H75" s="93"/>
      <c r="I75" s="93"/>
      <c r="J75" s="87" t="str">
        <f t="shared" si="1"/>
        <v/>
      </c>
      <c r="K75" s="93"/>
      <c r="L75" s="93"/>
      <c r="M75" s="93"/>
      <c r="N75" s="87" t="str">
        <f t="shared" si="2"/>
        <v/>
      </c>
      <c r="O75" s="93"/>
      <c r="P75" s="93"/>
      <c r="Q75" s="93"/>
      <c r="R75" s="87" t="str">
        <f t="shared" si="3"/>
        <v/>
      </c>
      <c r="S75" s="90" t="str">
        <f t="shared" si="4"/>
        <v/>
      </c>
      <c r="T75" s="91" t="str">
        <f t="shared" si="5"/>
        <v/>
      </c>
      <c r="U75" s="85">
        <f t="shared" si="6"/>
        <v>0</v>
      </c>
    </row>
    <row r="76">
      <c r="A76" s="85">
        <v>74.0</v>
      </c>
      <c r="B76" s="35"/>
      <c r="C76" s="65"/>
      <c r="D76" s="76"/>
      <c r="E76" s="93"/>
      <c r="F76" s="76"/>
      <c r="G76" s="93"/>
      <c r="H76" s="93"/>
      <c r="I76" s="93"/>
      <c r="J76" s="87" t="str">
        <f t="shared" si="1"/>
        <v/>
      </c>
      <c r="K76" s="93"/>
      <c r="L76" s="93"/>
      <c r="M76" s="93"/>
      <c r="N76" s="87" t="str">
        <f t="shared" si="2"/>
        <v/>
      </c>
      <c r="O76" s="93"/>
      <c r="P76" s="93"/>
      <c r="Q76" s="93"/>
      <c r="R76" s="87" t="str">
        <f t="shared" si="3"/>
        <v/>
      </c>
      <c r="S76" s="90" t="str">
        <f t="shared" si="4"/>
        <v/>
      </c>
      <c r="T76" s="91" t="str">
        <f t="shared" si="5"/>
        <v/>
      </c>
      <c r="U76" s="85">
        <f t="shared" si="6"/>
        <v>0</v>
      </c>
    </row>
    <row r="77">
      <c r="A77" s="85">
        <v>75.0</v>
      </c>
      <c r="B77" s="35"/>
      <c r="C77" s="65"/>
      <c r="D77" s="76"/>
      <c r="E77" s="93"/>
      <c r="F77" s="76"/>
      <c r="G77" s="93"/>
      <c r="H77" s="93"/>
      <c r="I77" s="93"/>
      <c r="J77" s="87" t="str">
        <f t="shared" si="1"/>
        <v/>
      </c>
      <c r="K77" s="93"/>
      <c r="L77" s="93"/>
      <c r="M77" s="93"/>
      <c r="N77" s="87" t="str">
        <f t="shared" si="2"/>
        <v/>
      </c>
      <c r="O77" s="93"/>
      <c r="P77" s="93"/>
      <c r="Q77" s="93"/>
      <c r="R77" s="87" t="str">
        <f t="shared" si="3"/>
        <v/>
      </c>
      <c r="S77" s="90" t="str">
        <f t="shared" si="4"/>
        <v/>
      </c>
      <c r="T77" s="91" t="str">
        <f t="shared" si="5"/>
        <v/>
      </c>
      <c r="U77" s="85">
        <f t="shared" si="6"/>
        <v>0</v>
      </c>
    </row>
  </sheetData>
  <autoFilter ref="$B$2:$T$77"/>
  <customSheetViews>
    <customSheetView guid="{B0C17AAF-6872-48F8-A58E-565BF6C8DB27}" filter="1" showAutoFilter="1">
      <autoFilter ref="$C$2:$T$52"/>
    </customSheetView>
  </customSheetViews>
  <mergeCells count="3">
    <mergeCell ref="K1:N1"/>
    <mergeCell ref="O1:R1"/>
    <mergeCell ref="G1:J1"/>
  </mergeCells>
  <conditionalFormatting sqref="G3:I77 K3:M77 O3:Q77">
    <cfRule type="endsWith" dxfId="2" priority="1" operator="endsWith" text="g">
      <formula>RIGHT((G3),LEN("g"))=("g")</formula>
    </cfRule>
  </conditionalFormatting>
  <conditionalFormatting sqref="G3:I77 K3:M77 O3:Q77">
    <cfRule type="endsWith" dxfId="1" priority="2" operator="endsWith" text="x">
      <formula>RIGHT((G3),LEN("x"))=("x")</formula>
    </cfRule>
  </conditionalFormatting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tabColor rgb="FF000000"/>
    <outlinePr summaryBelow="0" summaryRight="0"/>
  </sheetPr>
  <sheetViews>
    <sheetView workbookViewId="0">
      <pane xSplit="6.0" ySplit="2.0" topLeftCell="G3" activePane="bottomRight" state="frozen"/>
      <selection activeCell="G1" sqref="G1" pane="topRight"/>
      <selection activeCell="A3" sqref="A3" pane="bottomLeft"/>
      <selection activeCell="G3" sqref="G3" pane="bottomRight"/>
    </sheetView>
  </sheetViews>
  <sheetFormatPr customHeight="1" defaultColWidth="14.43" defaultRowHeight="15.75"/>
  <cols>
    <col customWidth="1" min="1" max="1" width="3.57"/>
    <col customWidth="1" min="2" max="2" width="10.29"/>
    <col customWidth="1" min="3" max="3" width="6.86"/>
    <col customWidth="1" min="4" max="4" width="14.71"/>
    <col customWidth="1" min="5" max="5" width="7.57"/>
    <col customWidth="1" min="6" max="6" width="18.29"/>
    <col customWidth="1" min="7" max="18" width="5.71"/>
    <col customWidth="1" min="19" max="19" width="9.86"/>
    <col customWidth="1" min="20" max="20" width="11.0"/>
    <col customWidth="1" hidden="1" min="21" max="21" width="11.0"/>
  </cols>
  <sheetData>
    <row r="1">
      <c r="A1" s="14"/>
      <c r="B1" s="16" t="s">
        <v>19</v>
      </c>
      <c r="C1" s="16" t="s">
        <v>135</v>
      </c>
      <c r="D1" s="57" t="s">
        <v>22</v>
      </c>
      <c r="E1" s="57" t="s">
        <v>23</v>
      </c>
      <c r="F1" s="57" t="s">
        <v>25</v>
      </c>
      <c r="G1" s="57" t="s">
        <v>115</v>
      </c>
      <c r="K1" s="57" t="s">
        <v>116</v>
      </c>
      <c r="O1" s="57" t="s">
        <v>117</v>
      </c>
      <c r="S1" s="57" t="s">
        <v>118</v>
      </c>
      <c r="T1" s="57" t="s">
        <v>119</v>
      </c>
      <c r="U1" s="57"/>
    </row>
    <row r="2">
      <c r="A2" s="81"/>
      <c r="B2" s="83" t="s">
        <v>19</v>
      </c>
      <c r="C2" s="83" t="s">
        <v>135</v>
      </c>
      <c r="D2" s="83" t="s">
        <v>22</v>
      </c>
      <c r="E2" s="84" t="s">
        <v>23</v>
      </c>
      <c r="F2" s="83" t="s">
        <v>25</v>
      </c>
      <c r="G2" s="83" t="s">
        <v>136</v>
      </c>
      <c r="H2" s="83" t="s">
        <v>137</v>
      </c>
      <c r="I2" s="83" t="s">
        <v>138</v>
      </c>
      <c r="J2" s="83" t="s">
        <v>139</v>
      </c>
      <c r="K2" s="83" t="s">
        <v>140</v>
      </c>
      <c r="L2" s="83" t="s">
        <v>141</v>
      </c>
      <c r="M2" s="83" t="s">
        <v>142</v>
      </c>
      <c r="N2" s="83" t="s">
        <v>143</v>
      </c>
      <c r="O2" s="83" t="s">
        <v>144</v>
      </c>
      <c r="P2" s="83" t="s">
        <v>145</v>
      </c>
      <c r="Q2" s="83" t="s">
        <v>146</v>
      </c>
      <c r="R2" s="83" t="s">
        <v>147</v>
      </c>
      <c r="S2" s="83"/>
      <c r="T2" s="84" t="s">
        <v>119</v>
      </c>
      <c r="U2" s="84"/>
    </row>
    <row r="3">
      <c r="A3" s="85">
        <v>1.0</v>
      </c>
      <c r="B3" s="35"/>
      <c r="C3" s="35"/>
      <c r="D3" s="86"/>
      <c r="E3" s="35"/>
      <c r="F3" s="86"/>
      <c r="G3" s="35"/>
      <c r="H3" s="85"/>
      <c r="I3" s="85"/>
      <c r="J3" s="87" t="str">
        <f t="shared" ref="J3:J77" si="1">IFERROR(__xludf.DUMMYFUNCTION("if(isblank(B3),,Max(if(right(G3,1)=""g"",split(G3,""g""),),if(right(H3,1)=""g"",split(H3,""g""),),if(right(I3,1)=""g"",split(I3,""g""),)))"),"")</f>
        <v/>
      </c>
      <c r="K3" s="35"/>
      <c r="L3" s="88"/>
      <c r="M3" s="88"/>
      <c r="N3" s="87" t="str">
        <f t="shared" ref="N3:N77" si="2">IFERROR(__xludf.DUMMYFUNCTION("if(isblank($B3),,Max(if(right(K3,1)=""g"",split(K3,""g""),),if(right(L3,1)=""g"",split(L3,""g""),),if(right(M3,1)=""g"",split(M3,""g""),)))"),"")</f>
        <v/>
      </c>
      <c r="O3" s="35"/>
      <c r="P3" s="88"/>
      <c r="Q3" s="88"/>
      <c r="R3" s="87" t="str">
        <f t="shared" ref="R3:R77" si="3">IFERROR(__xludf.DUMMYFUNCTION("if(isblank($B3),,Max(if(right(O3,1)=""g"",split(O3,""g""),),if(right(P3,1)=""g"",split(P3,""g""),),if(right(Q3,1)=""g"",split(Q3,""g""),)))"),"")</f>
        <v/>
      </c>
      <c r="S3" s="90" t="str">
        <f t="shared" ref="S3:S77" si="4">if(isblank(F3),,if(or(and(right(G3,1)="x",right(H3,1)="x",right(I3,1)="x"),and(right(K3,1)="x",right(L3,1)="x",right(M3,1)="x"),and(right(O3,1)="x",right(P3,1)="x",right(Q3,1)="x")),0,J3+N3+R3))</f>
        <v/>
      </c>
      <c r="T3" s="91" t="str">
        <f t="shared" ref="T3:T77" si="5">if(isblank(E3),,S3/E3)</f>
        <v/>
      </c>
      <c r="U3" s="85">
        <f t="shared" ref="U3:U77" si="6">countif(G3:Q3,"*g")</f>
        <v>0</v>
      </c>
    </row>
    <row r="4">
      <c r="A4" s="85">
        <v>2.0</v>
      </c>
      <c r="B4" s="35"/>
      <c r="C4" s="35"/>
      <c r="D4" s="86"/>
      <c r="E4" s="35"/>
      <c r="F4" s="86"/>
      <c r="G4" s="35"/>
      <c r="H4" s="85"/>
      <c r="I4" s="85"/>
      <c r="J4" s="87" t="str">
        <f t="shared" si="1"/>
        <v/>
      </c>
      <c r="K4" s="35"/>
      <c r="L4" s="88"/>
      <c r="M4" s="88"/>
      <c r="N4" s="87" t="str">
        <f t="shared" si="2"/>
        <v/>
      </c>
      <c r="O4" s="35"/>
      <c r="P4" s="88"/>
      <c r="Q4" s="88"/>
      <c r="R4" s="87" t="str">
        <f t="shared" si="3"/>
        <v/>
      </c>
      <c r="S4" s="90" t="str">
        <f t="shared" si="4"/>
        <v/>
      </c>
      <c r="T4" s="91" t="str">
        <f t="shared" si="5"/>
        <v/>
      </c>
      <c r="U4" s="85">
        <f t="shared" si="6"/>
        <v>0</v>
      </c>
    </row>
    <row r="5">
      <c r="A5" s="85">
        <v>3.0</v>
      </c>
      <c r="B5" s="35"/>
      <c r="C5" s="35"/>
      <c r="D5" s="86"/>
      <c r="E5" s="35"/>
      <c r="F5" s="86"/>
      <c r="G5" s="35"/>
      <c r="H5" s="85"/>
      <c r="I5" s="85"/>
      <c r="J5" s="87" t="str">
        <f t="shared" si="1"/>
        <v/>
      </c>
      <c r="K5" s="35"/>
      <c r="L5" s="88"/>
      <c r="M5" s="88"/>
      <c r="N5" s="87" t="str">
        <f t="shared" si="2"/>
        <v/>
      </c>
      <c r="O5" s="35"/>
      <c r="P5" s="88"/>
      <c r="Q5" s="88"/>
      <c r="R5" s="87" t="str">
        <f t="shared" si="3"/>
        <v/>
      </c>
      <c r="S5" s="90" t="str">
        <f t="shared" si="4"/>
        <v/>
      </c>
      <c r="T5" s="91" t="str">
        <f t="shared" si="5"/>
        <v/>
      </c>
      <c r="U5" s="85">
        <f t="shared" si="6"/>
        <v>0</v>
      </c>
    </row>
    <row r="6" ht="16.5" customHeight="1">
      <c r="A6" s="85">
        <v>4.0</v>
      </c>
      <c r="B6" s="35"/>
      <c r="C6" s="35"/>
      <c r="D6" s="86"/>
      <c r="E6" s="35"/>
      <c r="F6" s="86"/>
      <c r="G6" s="35"/>
      <c r="H6" s="85"/>
      <c r="I6" s="85"/>
      <c r="J6" s="87" t="str">
        <f t="shared" si="1"/>
        <v/>
      </c>
      <c r="K6" s="35"/>
      <c r="L6" s="88"/>
      <c r="M6" s="88"/>
      <c r="N6" s="87" t="str">
        <f t="shared" si="2"/>
        <v/>
      </c>
      <c r="O6" s="35"/>
      <c r="P6" s="88"/>
      <c r="Q6" s="88"/>
      <c r="R6" s="87" t="str">
        <f t="shared" si="3"/>
        <v/>
      </c>
      <c r="S6" s="90" t="str">
        <f t="shared" si="4"/>
        <v/>
      </c>
      <c r="T6" s="91" t="str">
        <f t="shared" si="5"/>
        <v/>
      </c>
      <c r="U6" s="85">
        <f t="shared" si="6"/>
        <v>0</v>
      </c>
    </row>
    <row r="7">
      <c r="A7" s="85">
        <v>5.0</v>
      </c>
      <c r="B7" s="35"/>
      <c r="C7" s="35"/>
      <c r="D7" s="86"/>
      <c r="E7" s="35"/>
      <c r="F7" s="86"/>
      <c r="G7" s="35"/>
      <c r="H7" s="85"/>
      <c r="I7" s="85"/>
      <c r="J7" s="87" t="str">
        <f t="shared" si="1"/>
        <v/>
      </c>
      <c r="K7" s="35"/>
      <c r="L7" s="88"/>
      <c r="M7" s="88"/>
      <c r="N7" s="87" t="str">
        <f t="shared" si="2"/>
        <v/>
      </c>
      <c r="O7" s="35"/>
      <c r="P7" s="88"/>
      <c r="Q7" s="88"/>
      <c r="R7" s="87" t="str">
        <f t="shared" si="3"/>
        <v/>
      </c>
      <c r="S7" s="90" t="str">
        <f t="shared" si="4"/>
        <v/>
      </c>
      <c r="T7" s="91" t="str">
        <f t="shared" si="5"/>
        <v/>
      </c>
      <c r="U7" s="85">
        <f t="shared" si="6"/>
        <v>0</v>
      </c>
    </row>
    <row r="8">
      <c r="A8" s="85">
        <v>6.0</v>
      </c>
      <c r="B8" s="35"/>
      <c r="C8" s="35"/>
      <c r="D8" s="86"/>
      <c r="E8" s="35"/>
      <c r="F8" s="86"/>
      <c r="G8" s="35"/>
      <c r="H8" s="85"/>
      <c r="I8" s="89"/>
      <c r="J8" s="87" t="str">
        <f t="shared" si="1"/>
        <v/>
      </c>
      <c r="K8" s="35"/>
      <c r="L8" s="88"/>
      <c r="M8" s="88"/>
      <c r="N8" s="87" t="str">
        <f t="shared" si="2"/>
        <v/>
      </c>
      <c r="O8" s="35"/>
      <c r="P8" s="88"/>
      <c r="Q8" s="88"/>
      <c r="R8" s="87" t="str">
        <f t="shared" si="3"/>
        <v/>
      </c>
      <c r="S8" s="90" t="str">
        <f t="shared" si="4"/>
        <v/>
      </c>
      <c r="T8" s="91" t="str">
        <f t="shared" si="5"/>
        <v/>
      </c>
      <c r="U8" s="85">
        <f t="shared" si="6"/>
        <v>0</v>
      </c>
    </row>
    <row r="9">
      <c r="A9" s="85">
        <v>7.0</v>
      </c>
      <c r="B9" s="35"/>
      <c r="C9" s="35"/>
      <c r="D9" s="86"/>
      <c r="E9" s="35"/>
      <c r="F9" s="86"/>
      <c r="G9" s="35"/>
      <c r="H9" s="85"/>
      <c r="I9" s="85"/>
      <c r="J9" s="87" t="str">
        <f t="shared" si="1"/>
        <v/>
      </c>
      <c r="K9" s="35"/>
      <c r="L9" s="88"/>
      <c r="M9" s="88"/>
      <c r="N9" s="87" t="str">
        <f t="shared" si="2"/>
        <v/>
      </c>
      <c r="O9" s="35"/>
      <c r="P9" s="88"/>
      <c r="Q9" s="88"/>
      <c r="R9" s="87" t="str">
        <f t="shared" si="3"/>
        <v/>
      </c>
      <c r="S9" s="90" t="str">
        <f t="shared" si="4"/>
        <v/>
      </c>
      <c r="T9" s="91" t="str">
        <f t="shared" si="5"/>
        <v/>
      </c>
      <c r="U9" s="85">
        <f t="shared" si="6"/>
        <v>0</v>
      </c>
    </row>
    <row r="10">
      <c r="A10" s="85">
        <v>8.0</v>
      </c>
      <c r="B10" s="35"/>
      <c r="C10" s="35"/>
      <c r="D10" s="86"/>
      <c r="E10" s="35"/>
      <c r="F10" s="86"/>
      <c r="G10" s="35"/>
      <c r="H10" s="85"/>
      <c r="I10" s="85"/>
      <c r="J10" s="87" t="str">
        <f t="shared" si="1"/>
        <v/>
      </c>
      <c r="K10" s="35"/>
      <c r="L10" s="88"/>
      <c r="M10" s="88"/>
      <c r="N10" s="87" t="str">
        <f t="shared" si="2"/>
        <v/>
      </c>
      <c r="O10" s="35"/>
      <c r="P10" s="88"/>
      <c r="Q10" s="88"/>
      <c r="R10" s="87" t="str">
        <f t="shared" si="3"/>
        <v/>
      </c>
      <c r="S10" s="90" t="str">
        <f t="shared" si="4"/>
        <v/>
      </c>
      <c r="T10" s="91" t="str">
        <f t="shared" si="5"/>
        <v/>
      </c>
      <c r="U10" s="85">
        <f t="shared" si="6"/>
        <v>0</v>
      </c>
    </row>
    <row r="11">
      <c r="A11" s="85">
        <v>9.0</v>
      </c>
      <c r="B11" s="35"/>
      <c r="C11" s="35"/>
      <c r="D11" s="86"/>
      <c r="E11" s="35"/>
      <c r="F11" s="86"/>
      <c r="G11" s="35"/>
      <c r="H11" s="85"/>
      <c r="I11" s="85"/>
      <c r="J11" s="87" t="str">
        <f t="shared" si="1"/>
        <v/>
      </c>
      <c r="K11" s="35"/>
      <c r="L11" s="88"/>
      <c r="M11" s="88"/>
      <c r="N11" s="87" t="str">
        <f t="shared" si="2"/>
        <v/>
      </c>
      <c r="O11" s="35"/>
      <c r="P11" s="88"/>
      <c r="Q11" s="88"/>
      <c r="R11" s="87" t="str">
        <f t="shared" si="3"/>
        <v/>
      </c>
      <c r="S11" s="90" t="str">
        <f t="shared" si="4"/>
        <v/>
      </c>
      <c r="T11" s="91" t="str">
        <f t="shared" si="5"/>
        <v/>
      </c>
      <c r="U11" s="85">
        <f t="shared" si="6"/>
        <v>0</v>
      </c>
    </row>
    <row r="12">
      <c r="A12" s="85">
        <v>10.0</v>
      </c>
      <c r="B12" s="35"/>
      <c r="C12" s="35"/>
      <c r="D12" s="86"/>
      <c r="E12" s="35"/>
      <c r="F12" s="86"/>
      <c r="G12" s="35"/>
      <c r="H12" s="85"/>
      <c r="I12" s="85"/>
      <c r="J12" s="87" t="str">
        <f t="shared" si="1"/>
        <v/>
      </c>
      <c r="K12" s="35"/>
      <c r="L12" s="88"/>
      <c r="M12" s="85"/>
      <c r="N12" s="87" t="str">
        <f t="shared" si="2"/>
        <v/>
      </c>
      <c r="O12" s="35"/>
      <c r="P12" s="88"/>
      <c r="Q12" s="85"/>
      <c r="R12" s="87" t="str">
        <f t="shared" si="3"/>
        <v/>
      </c>
      <c r="S12" s="90" t="str">
        <f t="shared" si="4"/>
        <v/>
      </c>
      <c r="T12" s="91" t="str">
        <f t="shared" si="5"/>
        <v/>
      </c>
      <c r="U12" s="85">
        <f t="shared" si="6"/>
        <v>0</v>
      </c>
    </row>
    <row r="13">
      <c r="A13" s="85">
        <v>11.0</v>
      </c>
      <c r="B13" s="35"/>
      <c r="C13" s="35"/>
      <c r="D13" s="86"/>
      <c r="E13" s="35"/>
      <c r="F13" s="86"/>
      <c r="G13" s="35"/>
      <c r="H13" s="85"/>
      <c r="I13" s="85"/>
      <c r="J13" s="87" t="str">
        <f t="shared" si="1"/>
        <v/>
      </c>
      <c r="K13" s="35"/>
      <c r="L13" s="88"/>
      <c r="M13" s="88"/>
      <c r="N13" s="87" t="str">
        <f t="shared" si="2"/>
        <v/>
      </c>
      <c r="O13" s="35"/>
      <c r="P13" s="88"/>
      <c r="Q13" s="88"/>
      <c r="R13" s="87" t="str">
        <f t="shared" si="3"/>
        <v/>
      </c>
      <c r="S13" s="90" t="str">
        <f t="shared" si="4"/>
        <v/>
      </c>
      <c r="T13" s="91" t="str">
        <f t="shared" si="5"/>
        <v/>
      </c>
      <c r="U13" s="85">
        <f t="shared" si="6"/>
        <v>0</v>
      </c>
    </row>
    <row r="14">
      <c r="A14" s="85">
        <v>12.0</v>
      </c>
      <c r="B14" s="35"/>
      <c r="C14" s="35"/>
      <c r="D14" s="86"/>
      <c r="E14" s="35"/>
      <c r="F14" s="86"/>
      <c r="G14" s="35"/>
      <c r="H14" s="85"/>
      <c r="I14" s="85"/>
      <c r="J14" s="87" t="str">
        <f t="shared" si="1"/>
        <v/>
      </c>
      <c r="K14" s="35"/>
      <c r="L14" s="88"/>
      <c r="M14" s="88"/>
      <c r="N14" s="87" t="str">
        <f t="shared" si="2"/>
        <v/>
      </c>
      <c r="O14" s="35"/>
      <c r="P14" s="88"/>
      <c r="Q14" s="88"/>
      <c r="R14" s="87" t="str">
        <f t="shared" si="3"/>
        <v/>
      </c>
      <c r="S14" s="90" t="str">
        <f t="shared" si="4"/>
        <v/>
      </c>
      <c r="T14" s="91" t="str">
        <f t="shared" si="5"/>
        <v/>
      </c>
      <c r="U14" s="85">
        <f t="shared" si="6"/>
        <v>0</v>
      </c>
    </row>
    <row r="15">
      <c r="A15" s="85">
        <v>13.0</v>
      </c>
      <c r="B15" s="35"/>
      <c r="C15" s="35"/>
      <c r="D15" s="86"/>
      <c r="E15" s="35"/>
      <c r="F15" s="86"/>
      <c r="G15" s="35"/>
      <c r="H15" s="85"/>
      <c r="I15" s="85"/>
      <c r="J15" s="87" t="str">
        <f t="shared" si="1"/>
        <v/>
      </c>
      <c r="K15" s="35"/>
      <c r="L15" s="88"/>
      <c r="M15" s="88"/>
      <c r="N15" s="87" t="str">
        <f t="shared" si="2"/>
        <v/>
      </c>
      <c r="O15" s="35"/>
      <c r="P15" s="88"/>
      <c r="Q15" s="88"/>
      <c r="R15" s="87" t="str">
        <f t="shared" si="3"/>
        <v/>
      </c>
      <c r="S15" s="90" t="str">
        <f t="shared" si="4"/>
        <v/>
      </c>
      <c r="T15" s="91" t="str">
        <f t="shared" si="5"/>
        <v/>
      </c>
      <c r="U15" s="85">
        <f t="shared" si="6"/>
        <v>0</v>
      </c>
    </row>
    <row r="16">
      <c r="A16" s="85">
        <v>14.0</v>
      </c>
      <c r="B16" s="35"/>
      <c r="C16" s="35"/>
      <c r="D16" s="86"/>
      <c r="E16" s="35"/>
      <c r="F16" s="86"/>
      <c r="G16" s="35"/>
      <c r="H16" s="85"/>
      <c r="I16" s="85"/>
      <c r="J16" s="87" t="str">
        <f t="shared" si="1"/>
        <v/>
      </c>
      <c r="K16" s="35"/>
      <c r="L16" s="88"/>
      <c r="M16" s="88"/>
      <c r="N16" s="87" t="str">
        <f t="shared" si="2"/>
        <v/>
      </c>
      <c r="O16" s="35"/>
      <c r="P16" s="88"/>
      <c r="Q16" s="88"/>
      <c r="R16" s="87" t="str">
        <f t="shared" si="3"/>
        <v/>
      </c>
      <c r="S16" s="90" t="str">
        <f t="shared" si="4"/>
        <v/>
      </c>
      <c r="T16" s="91" t="str">
        <f t="shared" si="5"/>
        <v/>
      </c>
      <c r="U16" s="85">
        <f t="shared" si="6"/>
        <v>0</v>
      </c>
    </row>
    <row r="17">
      <c r="A17" s="85">
        <v>15.0</v>
      </c>
      <c r="B17" s="35"/>
      <c r="C17" s="35"/>
      <c r="D17" s="86"/>
      <c r="E17" s="35"/>
      <c r="F17" s="86"/>
      <c r="G17" s="35"/>
      <c r="H17" s="85"/>
      <c r="I17" s="85"/>
      <c r="J17" s="87" t="str">
        <f t="shared" si="1"/>
        <v/>
      </c>
      <c r="K17" s="35"/>
      <c r="L17" s="88"/>
      <c r="M17" s="88"/>
      <c r="N17" s="87" t="str">
        <f t="shared" si="2"/>
        <v/>
      </c>
      <c r="O17" s="35"/>
      <c r="P17" s="88"/>
      <c r="Q17" s="88"/>
      <c r="R17" s="87" t="str">
        <f t="shared" si="3"/>
        <v/>
      </c>
      <c r="S17" s="90" t="str">
        <f t="shared" si="4"/>
        <v/>
      </c>
      <c r="T17" s="91" t="str">
        <f t="shared" si="5"/>
        <v/>
      </c>
      <c r="U17" s="85">
        <f t="shared" si="6"/>
        <v>0</v>
      </c>
    </row>
    <row r="18">
      <c r="A18" s="85">
        <v>16.0</v>
      </c>
      <c r="B18" s="35"/>
      <c r="C18" s="35"/>
      <c r="D18" s="86"/>
      <c r="E18" s="35"/>
      <c r="F18" s="86"/>
      <c r="G18" s="35"/>
      <c r="H18" s="85"/>
      <c r="I18" s="85"/>
      <c r="J18" s="87" t="str">
        <f t="shared" si="1"/>
        <v/>
      </c>
      <c r="K18" s="35"/>
      <c r="L18" s="88"/>
      <c r="M18" s="88"/>
      <c r="N18" s="87" t="str">
        <f t="shared" si="2"/>
        <v/>
      </c>
      <c r="O18" s="35"/>
      <c r="P18" s="88"/>
      <c r="Q18" s="88"/>
      <c r="R18" s="87" t="str">
        <f t="shared" si="3"/>
        <v/>
      </c>
      <c r="S18" s="90" t="str">
        <f t="shared" si="4"/>
        <v/>
      </c>
      <c r="T18" s="91" t="str">
        <f t="shared" si="5"/>
        <v/>
      </c>
      <c r="U18" s="85">
        <f t="shared" si="6"/>
        <v>0</v>
      </c>
    </row>
    <row r="19">
      <c r="A19" s="85">
        <v>17.0</v>
      </c>
      <c r="B19" s="35"/>
      <c r="C19" s="35"/>
      <c r="D19" s="86"/>
      <c r="E19" s="35"/>
      <c r="F19" s="86"/>
      <c r="G19" s="35"/>
      <c r="H19" s="85"/>
      <c r="I19" s="85"/>
      <c r="J19" s="87" t="str">
        <f t="shared" si="1"/>
        <v/>
      </c>
      <c r="K19" s="35"/>
      <c r="L19" s="88"/>
      <c r="M19" s="85"/>
      <c r="N19" s="87" t="str">
        <f t="shared" si="2"/>
        <v/>
      </c>
      <c r="O19" s="35"/>
      <c r="P19" s="88"/>
      <c r="Q19" s="85"/>
      <c r="R19" s="87" t="str">
        <f t="shared" si="3"/>
        <v/>
      </c>
      <c r="S19" s="90" t="str">
        <f t="shared" si="4"/>
        <v/>
      </c>
      <c r="T19" s="91" t="str">
        <f t="shared" si="5"/>
        <v/>
      </c>
      <c r="U19" s="85">
        <f t="shared" si="6"/>
        <v>0</v>
      </c>
    </row>
    <row r="20">
      <c r="A20" s="85">
        <v>18.0</v>
      </c>
      <c r="B20" s="35"/>
      <c r="C20" s="35"/>
      <c r="D20" s="86"/>
      <c r="E20" s="35"/>
      <c r="F20" s="86"/>
      <c r="G20" s="35"/>
      <c r="H20" s="85"/>
      <c r="I20" s="85"/>
      <c r="J20" s="87" t="str">
        <f t="shared" si="1"/>
        <v/>
      </c>
      <c r="K20" s="35"/>
      <c r="L20" s="88"/>
      <c r="M20" s="89"/>
      <c r="N20" s="87" t="str">
        <f t="shared" si="2"/>
        <v/>
      </c>
      <c r="O20" s="35"/>
      <c r="P20" s="88"/>
      <c r="Q20" s="88"/>
      <c r="R20" s="87" t="str">
        <f t="shared" si="3"/>
        <v/>
      </c>
      <c r="S20" s="90" t="str">
        <f t="shared" si="4"/>
        <v/>
      </c>
      <c r="T20" s="91" t="str">
        <f t="shared" si="5"/>
        <v/>
      </c>
      <c r="U20" s="85">
        <f t="shared" si="6"/>
        <v>0</v>
      </c>
    </row>
    <row r="21">
      <c r="A21" s="85">
        <v>19.0</v>
      </c>
      <c r="B21" s="35"/>
      <c r="C21" s="35"/>
      <c r="D21" s="86"/>
      <c r="E21" s="35"/>
      <c r="F21" s="86"/>
      <c r="G21" s="35"/>
      <c r="H21" s="85"/>
      <c r="I21" s="85"/>
      <c r="J21" s="87" t="str">
        <f t="shared" si="1"/>
        <v/>
      </c>
      <c r="K21" s="35"/>
      <c r="L21" s="88"/>
      <c r="M21" s="85"/>
      <c r="N21" s="87" t="str">
        <f t="shared" si="2"/>
        <v/>
      </c>
      <c r="O21" s="35"/>
      <c r="P21" s="88"/>
      <c r="Q21" s="85"/>
      <c r="R21" s="87" t="str">
        <f t="shared" si="3"/>
        <v/>
      </c>
      <c r="S21" s="90" t="str">
        <f t="shared" si="4"/>
        <v/>
      </c>
      <c r="T21" s="91" t="str">
        <f t="shared" si="5"/>
        <v/>
      </c>
      <c r="U21" s="85">
        <f t="shared" si="6"/>
        <v>0</v>
      </c>
    </row>
    <row r="22">
      <c r="A22" s="85">
        <v>20.0</v>
      </c>
      <c r="B22" s="35"/>
      <c r="C22" s="35"/>
      <c r="D22" s="86"/>
      <c r="E22" s="35"/>
      <c r="F22" s="86"/>
      <c r="G22" s="35"/>
      <c r="H22" s="85"/>
      <c r="I22" s="85"/>
      <c r="J22" s="87" t="str">
        <f t="shared" si="1"/>
        <v/>
      </c>
      <c r="K22" s="35"/>
      <c r="L22" s="88"/>
      <c r="M22" s="88"/>
      <c r="N22" s="87" t="str">
        <f t="shared" si="2"/>
        <v/>
      </c>
      <c r="O22" s="35"/>
      <c r="P22" s="88"/>
      <c r="Q22" s="88"/>
      <c r="R22" s="87" t="str">
        <f t="shared" si="3"/>
        <v/>
      </c>
      <c r="S22" s="90" t="str">
        <f t="shared" si="4"/>
        <v/>
      </c>
      <c r="T22" s="91" t="str">
        <f t="shared" si="5"/>
        <v/>
      </c>
      <c r="U22" s="85">
        <f t="shared" si="6"/>
        <v>0</v>
      </c>
    </row>
    <row r="23">
      <c r="A23" s="85">
        <v>21.0</v>
      </c>
      <c r="B23" s="35"/>
      <c r="C23" s="35"/>
      <c r="D23" s="86"/>
      <c r="E23" s="35"/>
      <c r="F23" s="86"/>
      <c r="G23" s="35"/>
      <c r="H23" s="85"/>
      <c r="I23" s="85"/>
      <c r="J23" s="87" t="str">
        <f t="shared" si="1"/>
        <v/>
      </c>
      <c r="K23" s="35"/>
      <c r="L23" s="88"/>
      <c r="M23" s="88"/>
      <c r="N23" s="87" t="str">
        <f t="shared" si="2"/>
        <v/>
      </c>
      <c r="O23" s="35"/>
      <c r="P23" s="88"/>
      <c r="Q23" s="88"/>
      <c r="R23" s="87" t="str">
        <f t="shared" si="3"/>
        <v/>
      </c>
      <c r="S23" s="90" t="str">
        <f t="shared" si="4"/>
        <v/>
      </c>
      <c r="T23" s="91" t="str">
        <f t="shared" si="5"/>
        <v/>
      </c>
      <c r="U23" s="85">
        <f t="shared" si="6"/>
        <v>0</v>
      </c>
    </row>
    <row r="24">
      <c r="A24" s="85">
        <v>22.0</v>
      </c>
      <c r="B24" s="35"/>
      <c r="C24" s="35"/>
      <c r="D24" s="86"/>
      <c r="E24" s="35"/>
      <c r="F24" s="86"/>
      <c r="G24" s="35"/>
      <c r="H24" s="85"/>
      <c r="I24" s="85"/>
      <c r="J24" s="87" t="str">
        <f t="shared" si="1"/>
        <v/>
      </c>
      <c r="K24" s="35"/>
      <c r="L24" s="88"/>
      <c r="M24" s="88"/>
      <c r="N24" s="87" t="str">
        <f t="shared" si="2"/>
        <v/>
      </c>
      <c r="O24" s="35"/>
      <c r="P24" s="88"/>
      <c r="Q24" s="88"/>
      <c r="R24" s="87" t="str">
        <f t="shared" si="3"/>
        <v/>
      </c>
      <c r="S24" s="90" t="str">
        <f t="shared" si="4"/>
        <v/>
      </c>
      <c r="T24" s="91" t="str">
        <f t="shared" si="5"/>
        <v/>
      </c>
      <c r="U24" s="85">
        <f t="shared" si="6"/>
        <v>0</v>
      </c>
    </row>
    <row r="25">
      <c r="A25" s="85">
        <v>23.0</v>
      </c>
      <c r="B25" s="35"/>
      <c r="C25" s="35"/>
      <c r="D25" s="86"/>
      <c r="E25" s="35"/>
      <c r="F25" s="86"/>
      <c r="G25" s="35"/>
      <c r="H25" s="85"/>
      <c r="I25" s="85"/>
      <c r="J25" s="87" t="str">
        <f t="shared" si="1"/>
        <v/>
      </c>
      <c r="K25" s="35"/>
      <c r="L25" s="88"/>
      <c r="M25" s="88"/>
      <c r="N25" s="87" t="str">
        <f t="shared" si="2"/>
        <v/>
      </c>
      <c r="O25" s="35"/>
      <c r="P25" s="88"/>
      <c r="Q25" s="88"/>
      <c r="R25" s="87" t="str">
        <f t="shared" si="3"/>
        <v/>
      </c>
      <c r="S25" s="90" t="str">
        <f t="shared" si="4"/>
        <v/>
      </c>
      <c r="T25" s="91" t="str">
        <f t="shared" si="5"/>
        <v/>
      </c>
      <c r="U25" s="85">
        <f t="shared" si="6"/>
        <v>0</v>
      </c>
    </row>
    <row r="26">
      <c r="A26" s="85">
        <v>24.0</v>
      </c>
      <c r="B26" s="35"/>
      <c r="C26" s="35"/>
      <c r="D26" s="86"/>
      <c r="E26" s="35"/>
      <c r="F26" s="86"/>
      <c r="G26" s="35"/>
      <c r="H26" s="93"/>
      <c r="I26" s="93"/>
      <c r="J26" s="87" t="str">
        <f t="shared" si="1"/>
        <v/>
      </c>
      <c r="K26" s="93"/>
      <c r="L26" s="93"/>
      <c r="M26" s="93"/>
      <c r="N26" s="87" t="str">
        <f t="shared" si="2"/>
        <v/>
      </c>
      <c r="O26" s="93"/>
      <c r="P26" s="93"/>
      <c r="Q26" s="93"/>
      <c r="R26" s="87" t="str">
        <f t="shared" si="3"/>
        <v/>
      </c>
      <c r="S26" s="90" t="str">
        <f t="shared" si="4"/>
        <v/>
      </c>
      <c r="T26" s="91" t="str">
        <f t="shared" si="5"/>
        <v/>
      </c>
      <c r="U26" s="85">
        <f t="shared" si="6"/>
        <v>0</v>
      </c>
    </row>
    <row r="27">
      <c r="A27" s="85">
        <v>25.0</v>
      </c>
      <c r="B27" s="35"/>
      <c r="C27" s="35"/>
      <c r="D27" s="86"/>
      <c r="E27" s="35"/>
      <c r="F27" s="86"/>
      <c r="G27" s="35"/>
      <c r="H27" s="93"/>
      <c r="I27" s="93"/>
      <c r="J27" s="87" t="str">
        <f t="shared" si="1"/>
        <v/>
      </c>
      <c r="K27" s="93"/>
      <c r="L27" s="93"/>
      <c r="M27" s="93"/>
      <c r="N27" s="87" t="str">
        <f t="shared" si="2"/>
        <v/>
      </c>
      <c r="O27" s="93"/>
      <c r="P27" s="93"/>
      <c r="Q27" s="93"/>
      <c r="R27" s="87" t="str">
        <f t="shared" si="3"/>
        <v/>
      </c>
      <c r="S27" s="90" t="str">
        <f t="shared" si="4"/>
        <v/>
      </c>
      <c r="T27" s="91" t="str">
        <f t="shared" si="5"/>
        <v/>
      </c>
      <c r="U27" s="85">
        <f t="shared" si="6"/>
        <v>0</v>
      </c>
    </row>
    <row r="28">
      <c r="A28" s="85">
        <v>26.0</v>
      </c>
      <c r="B28" s="35"/>
      <c r="C28" s="35"/>
      <c r="D28" s="86"/>
      <c r="E28" s="35"/>
      <c r="F28" s="86"/>
      <c r="G28" s="35"/>
      <c r="H28" s="93"/>
      <c r="I28" s="93"/>
      <c r="J28" s="87" t="str">
        <f t="shared" si="1"/>
        <v/>
      </c>
      <c r="K28" s="93"/>
      <c r="L28" s="93"/>
      <c r="M28" s="93"/>
      <c r="N28" s="87" t="str">
        <f t="shared" si="2"/>
        <v/>
      </c>
      <c r="O28" s="93"/>
      <c r="P28" s="93"/>
      <c r="Q28" s="93"/>
      <c r="R28" s="87" t="str">
        <f t="shared" si="3"/>
        <v/>
      </c>
      <c r="S28" s="90" t="str">
        <f t="shared" si="4"/>
        <v/>
      </c>
      <c r="T28" s="91" t="str">
        <f t="shared" si="5"/>
        <v/>
      </c>
      <c r="U28" s="85">
        <f t="shared" si="6"/>
        <v>0</v>
      </c>
    </row>
    <row r="29">
      <c r="A29" s="85">
        <v>27.0</v>
      </c>
      <c r="B29" s="35"/>
      <c r="C29" s="35"/>
      <c r="D29" s="86"/>
      <c r="E29" s="35"/>
      <c r="F29" s="86"/>
      <c r="G29" s="35"/>
      <c r="H29" s="93"/>
      <c r="I29" s="93"/>
      <c r="J29" s="87" t="str">
        <f t="shared" si="1"/>
        <v/>
      </c>
      <c r="K29" s="93"/>
      <c r="L29" s="93"/>
      <c r="M29" s="93"/>
      <c r="N29" s="87" t="str">
        <f t="shared" si="2"/>
        <v/>
      </c>
      <c r="O29" s="93"/>
      <c r="P29" s="93"/>
      <c r="Q29" s="93"/>
      <c r="R29" s="87" t="str">
        <f t="shared" si="3"/>
        <v/>
      </c>
      <c r="S29" s="90" t="str">
        <f t="shared" si="4"/>
        <v/>
      </c>
      <c r="T29" s="91" t="str">
        <f t="shared" si="5"/>
        <v/>
      </c>
      <c r="U29" s="85">
        <f t="shared" si="6"/>
        <v>0</v>
      </c>
    </row>
    <row r="30">
      <c r="A30" s="85">
        <v>28.0</v>
      </c>
      <c r="B30" s="35"/>
      <c r="C30" s="35"/>
      <c r="D30" s="86"/>
      <c r="E30" s="35"/>
      <c r="F30" s="86"/>
      <c r="G30" s="35"/>
      <c r="H30" s="93"/>
      <c r="I30" s="93"/>
      <c r="J30" s="87" t="str">
        <f t="shared" si="1"/>
        <v/>
      </c>
      <c r="K30" s="93"/>
      <c r="L30" s="93"/>
      <c r="M30" s="93"/>
      <c r="N30" s="87" t="str">
        <f t="shared" si="2"/>
        <v/>
      </c>
      <c r="O30" s="93"/>
      <c r="P30" s="93"/>
      <c r="Q30" s="93"/>
      <c r="R30" s="87" t="str">
        <f t="shared" si="3"/>
        <v/>
      </c>
      <c r="S30" s="90" t="str">
        <f t="shared" si="4"/>
        <v/>
      </c>
      <c r="T30" s="91" t="str">
        <f t="shared" si="5"/>
        <v/>
      </c>
      <c r="U30" s="85">
        <f t="shared" si="6"/>
        <v>0</v>
      </c>
    </row>
    <row r="31">
      <c r="A31" s="85">
        <v>29.0</v>
      </c>
      <c r="B31" s="35"/>
      <c r="C31" s="35"/>
      <c r="D31" s="86"/>
      <c r="E31" s="35"/>
      <c r="F31" s="86"/>
      <c r="G31" s="35"/>
      <c r="H31" s="93"/>
      <c r="I31" s="93"/>
      <c r="J31" s="87" t="str">
        <f t="shared" si="1"/>
        <v/>
      </c>
      <c r="K31" s="93"/>
      <c r="L31" s="93"/>
      <c r="M31" s="93"/>
      <c r="N31" s="87" t="str">
        <f t="shared" si="2"/>
        <v/>
      </c>
      <c r="O31" s="93"/>
      <c r="P31" s="93"/>
      <c r="Q31" s="93"/>
      <c r="R31" s="87" t="str">
        <f t="shared" si="3"/>
        <v/>
      </c>
      <c r="S31" s="90" t="str">
        <f t="shared" si="4"/>
        <v/>
      </c>
      <c r="T31" s="91" t="str">
        <f t="shared" si="5"/>
        <v/>
      </c>
      <c r="U31" s="85">
        <f t="shared" si="6"/>
        <v>0</v>
      </c>
    </row>
    <row r="32">
      <c r="A32" s="85">
        <v>30.0</v>
      </c>
      <c r="B32" s="35"/>
      <c r="C32" s="35"/>
      <c r="D32" s="86"/>
      <c r="E32" s="35"/>
      <c r="F32" s="86"/>
      <c r="G32" s="35"/>
      <c r="H32" s="93"/>
      <c r="I32" s="93"/>
      <c r="J32" s="87" t="str">
        <f t="shared" si="1"/>
        <v/>
      </c>
      <c r="K32" s="93"/>
      <c r="L32" s="93"/>
      <c r="M32" s="93"/>
      <c r="N32" s="87" t="str">
        <f t="shared" si="2"/>
        <v/>
      </c>
      <c r="O32" s="93"/>
      <c r="P32" s="93"/>
      <c r="Q32" s="93"/>
      <c r="R32" s="87" t="str">
        <f t="shared" si="3"/>
        <v/>
      </c>
      <c r="S32" s="90" t="str">
        <f t="shared" si="4"/>
        <v/>
      </c>
      <c r="T32" s="91" t="str">
        <f t="shared" si="5"/>
        <v/>
      </c>
      <c r="U32" s="85">
        <f t="shared" si="6"/>
        <v>0</v>
      </c>
    </row>
    <row r="33">
      <c r="A33" s="85">
        <v>31.0</v>
      </c>
      <c r="B33" s="35"/>
      <c r="C33" s="35"/>
      <c r="D33" s="86"/>
      <c r="E33" s="35"/>
      <c r="F33" s="86"/>
      <c r="G33" s="35"/>
      <c r="H33" s="93"/>
      <c r="I33" s="93"/>
      <c r="J33" s="87" t="str">
        <f t="shared" si="1"/>
        <v/>
      </c>
      <c r="K33" s="93"/>
      <c r="L33" s="93"/>
      <c r="M33" s="93"/>
      <c r="N33" s="87" t="str">
        <f t="shared" si="2"/>
        <v/>
      </c>
      <c r="O33" s="93"/>
      <c r="P33" s="93"/>
      <c r="Q33" s="93"/>
      <c r="R33" s="87" t="str">
        <f t="shared" si="3"/>
        <v/>
      </c>
      <c r="S33" s="90" t="str">
        <f t="shared" si="4"/>
        <v/>
      </c>
      <c r="T33" s="91" t="str">
        <f t="shared" si="5"/>
        <v/>
      </c>
      <c r="U33" s="85">
        <f t="shared" si="6"/>
        <v>0</v>
      </c>
    </row>
    <row r="34">
      <c r="A34" s="85">
        <v>32.0</v>
      </c>
      <c r="B34" s="35"/>
      <c r="C34" s="35"/>
      <c r="D34" s="86"/>
      <c r="E34" s="35"/>
      <c r="F34" s="86"/>
      <c r="G34" s="35"/>
      <c r="H34" s="93"/>
      <c r="I34" s="93"/>
      <c r="J34" s="87" t="str">
        <f t="shared" si="1"/>
        <v/>
      </c>
      <c r="K34" s="93"/>
      <c r="L34" s="93"/>
      <c r="M34" s="93"/>
      <c r="N34" s="87" t="str">
        <f t="shared" si="2"/>
        <v/>
      </c>
      <c r="O34" s="93"/>
      <c r="P34" s="93"/>
      <c r="Q34" s="93"/>
      <c r="R34" s="87" t="str">
        <f t="shared" si="3"/>
        <v/>
      </c>
      <c r="S34" s="90" t="str">
        <f t="shared" si="4"/>
        <v/>
      </c>
      <c r="T34" s="91" t="str">
        <f t="shared" si="5"/>
        <v/>
      </c>
      <c r="U34" s="85">
        <f t="shared" si="6"/>
        <v>0</v>
      </c>
    </row>
    <row r="35">
      <c r="A35" s="85">
        <v>33.0</v>
      </c>
      <c r="B35" s="35"/>
      <c r="C35" s="65"/>
      <c r="D35" s="76"/>
      <c r="E35" s="93"/>
      <c r="F35" s="76"/>
      <c r="G35" s="93"/>
      <c r="H35" s="93"/>
      <c r="I35" s="93"/>
      <c r="J35" s="87" t="str">
        <f t="shared" si="1"/>
        <v/>
      </c>
      <c r="K35" s="93"/>
      <c r="L35" s="93"/>
      <c r="M35" s="93"/>
      <c r="N35" s="87" t="str">
        <f t="shared" si="2"/>
        <v/>
      </c>
      <c r="O35" s="93"/>
      <c r="P35" s="93"/>
      <c r="Q35" s="93"/>
      <c r="R35" s="87" t="str">
        <f t="shared" si="3"/>
        <v/>
      </c>
      <c r="S35" s="90" t="str">
        <f t="shared" si="4"/>
        <v/>
      </c>
      <c r="T35" s="91" t="str">
        <f t="shared" si="5"/>
        <v/>
      </c>
      <c r="U35" s="85">
        <f t="shared" si="6"/>
        <v>0</v>
      </c>
    </row>
    <row r="36">
      <c r="A36" s="85">
        <v>34.0</v>
      </c>
      <c r="B36" s="35"/>
      <c r="C36" s="65"/>
      <c r="D36" s="76"/>
      <c r="E36" s="93"/>
      <c r="F36" s="76"/>
      <c r="G36" s="93"/>
      <c r="H36" s="93"/>
      <c r="I36" s="93"/>
      <c r="J36" s="87" t="str">
        <f t="shared" si="1"/>
        <v/>
      </c>
      <c r="K36" s="93"/>
      <c r="L36" s="93"/>
      <c r="M36" s="93"/>
      <c r="N36" s="87" t="str">
        <f t="shared" si="2"/>
        <v/>
      </c>
      <c r="O36" s="93"/>
      <c r="P36" s="93"/>
      <c r="Q36" s="93"/>
      <c r="R36" s="87" t="str">
        <f t="shared" si="3"/>
        <v/>
      </c>
      <c r="S36" s="90" t="str">
        <f t="shared" si="4"/>
        <v/>
      </c>
      <c r="T36" s="91" t="str">
        <f t="shared" si="5"/>
        <v/>
      </c>
      <c r="U36" s="85">
        <f t="shared" si="6"/>
        <v>0</v>
      </c>
    </row>
    <row r="37">
      <c r="A37" s="85">
        <v>35.0</v>
      </c>
      <c r="B37" s="35"/>
      <c r="C37" s="65"/>
      <c r="D37" s="76"/>
      <c r="E37" s="93"/>
      <c r="F37" s="76"/>
      <c r="G37" s="93"/>
      <c r="H37" s="93"/>
      <c r="I37" s="93"/>
      <c r="J37" s="87" t="str">
        <f t="shared" si="1"/>
        <v/>
      </c>
      <c r="K37" s="93"/>
      <c r="L37" s="93"/>
      <c r="M37" s="93"/>
      <c r="N37" s="87" t="str">
        <f t="shared" si="2"/>
        <v/>
      </c>
      <c r="O37" s="93"/>
      <c r="P37" s="93"/>
      <c r="Q37" s="93"/>
      <c r="R37" s="87" t="str">
        <f t="shared" si="3"/>
        <v/>
      </c>
      <c r="S37" s="90" t="str">
        <f t="shared" si="4"/>
        <v/>
      </c>
      <c r="T37" s="91" t="str">
        <f t="shared" si="5"/>
        <v/>
      </c>
      <c r="U37" s="85">
        <f t="shared" si="6"/>
        <v>0</v>
      </c>
    </row>
    <row r="38">
      <c r="A38" s="85">
        <v>36.0</v>
      </c>
      <c r="B38" s="35"/>
      <c r="C38" s="65"/>
      <c r="D38" s="76"/>
      <c r="E38" s="93"/>
      <c r="F38" s="76"/>
      <c r="G38" s="93"/>
      <c r="H38" s="93"/>
      <c r="I38" s="93"/>
      <c r="J38" s="87" t="str">
        <f t="shared" si="1"/>
        <v/>
      </c>
      <c r="K38" s="93"/>
      <c r="L38" s="93"/>
      <c r="M38" s="93"/>
      <c r="N38" s="87" t="str">
        <f t="shared" si="2"/>
        <v/>
      </c>
      <c r="O38" s="93"/>
      <c r="P38" s="93"/>
      <c r="Q38" s="93"/>
      <c r="R38" s="87" t="str">
        <f t="shared" si="3"/>
        <v/>
      </c>
      <c r="S38" s="90" t="str">
        <f t="shared" si="4"/>
        <v/>
      </c>
      <c r="T38" s="91" t="str">
        <f t="shared" si="5"/>
        <v/>
      </c>
      <c r="U38" s="85">
        <f t="shared" si="6"/>
        <v>0</v>
      </c>
    </row>
    <row r="39">
      <c r="A39" s="85">
        <v>37.0</v>
      </c>
      <c r="B39" s="35"/>
      <c r="C39" s="65"/>
      <c r="D39" s="76"/>
      <c r="E39" s="93"/>
      <c r="F39" s="76"/>
      <c r="G39" s="93"/>
      <c r="H39" s="93"/>
      <c r="I39" s="93"/>
      <c r="J39" s="87" t="str">
        <f t="shared" si="1"/>
        <v/>
      </c>
      <c r="K39" s="93"/>
      <c r="L39" s="93"/>
      <c r="M39" s="93"/>
      <c r="N39" s="87" t="str">
        <f t="shared" si="2"/>
        <v/>
      </c>
      <c r="O39" s="93"/>
      <c r="P39" s="93"/>
      <c r="Q39" s="93"/>
      <c r="R39" s="87" t="str">
        <f t="shared" si="3"/>
        <v/>
      </c>
      <c r="S39" s="90" t="str">
        <f t="shared" si="4"/>
        <v/>
      </c>
      <c r="T39" s="91" t="str">
        <f t="shared" si="5"/>
        <v/>
      </c>
      <c r="U39" s="85">
        <f t="shared" si="6"/>
        <v>0</v>
      </c>
    </row>
    <row r="40">
      <c r="A40" s="85">
        <v>38.0</v>
      </c>
      <c r="B40" s="35"/>
      <c r="C40" s="65"/>
      <c r="D40" s="76"/>
      <c r="E40" s="93"/>
      <c r="F40" s="76"/>
      <c r="G40" s="93"/>
      <c r="H40" s="93"/>
      <c r="I40" s="93"/>
      <c r="J40" s="87" t="str">
        <f t="shared" si="1"/>
        <v/>
      </c>
      <c r="K40" s="93"/>
      <c r="L40" s="93"/>
      <c r="M40" s="93"/>
      <c r="N40" s="87" t="str">
        <f t="shared" si="2"/>
        <v/>
      </c>
      <c r="O40" s="93"/>
      <c r="P40" s="93"/>
      <c r="Q40" s="93"/>
      <c r="R40" s="87" t="str">
        <f t="shared" si="3"/>
        <v/>
      </c>
      <c r="S40" s="90" t="str">
        <f t="shared" si="4"/>
        <v/>
      </c>
      <c r="T40" s="91" t="str">
        <f t="shared" si="5"/>
        <v/>
      </c>
      <c r="U40" s="85">
        <f t="shared" si="6"/>
        <v>0</v>
      </c>
    </row>
    <row r="41">
      <c r="A41" s="85">
        <v>39.0</v>
      </c>
      <c r="B41" s="35"/>
      <c r="C41" s="65"/>
      <c r="D41" s="76"/>
      <c r="E41" s="93"/>
      <c r="F41" s="76"/>
      <c r="G41" s="93"/>
      <c r="H41" s="93"/>
      <c r="I41" s="93"/>
      <c r="J41" s="87" t="str">
        <f t="shared" si="1"/>
        <v/>
      </c>
      <c r="K41" s="93"/>
      <c r="L41" s="93"/>
      <c r="M41" s="93"/>
      <c r="N41" s="87" t="str">
        <f t="shared" si="2"/>
        <v/>
      </c>
      <c r="O41" s="93"/>
      <c r="P41" s="93"/>
      <c r="Q41" s="93"/>
      <c r="R41" s="87" t="str">
        <f t="shared" si="3"/>
        <v/>
      </c>
      <c r="S41" s="90" t="str">
        <f t="shared" si="4"/>
        <v/>
      </c>
      <c r="T41" s="91" t="str">
        <f t="shared" si="5"/>
        <v/>
      </c>
      <c r="U41" s="85">
        <f t="shared" si="6"/>
        <v>0</v>
      </c>
    </row>
    <row r="42">
      <c r="A42" s="85">
        <v>40.0</v>
      </c>
      <c r="B42" s="35"/>
      <c r="C42" s="65"/>
      <c r="D42" s="76"/>
      <c r="E42" s="93"/>
      <c r="F42" s="76"/>
      <c r="G42" s="93"/>
      <c r="H42" s="93"/>
      <c r="I42" s="93"/>
      <c r="J42" s="87" t="str">
        <f t="shared" si="1"/>
        <v/>
      </c>
      <c r="K42" s="93"/>
      <c r="L42" s="93"/>
      <c r="M42" s="93"/>
      <c r="N42" s="87" t="str">
        <f t="shared" si="2"/>
        <v/>
      </c>
      <c r="O42" s="93"/>
      <c r="P42" s="93"/>
      <c r="Q42" s="93"/>
      <c r="R42" s="87" t="str">
        <f t="shared" si="3"/>
        <v/>
      </c>
      <c r="S42" s="90" t="str">
        <f t="shared" si="4"/>
        <v/>
      </c>
      <c r="T42" s="91" t="str">
        <f t="shared" si="5"/>
        <v/>
      </c>
      <c r="U42" s="85">
        <f t="shared" si="6"/>
        <v>0</v>
      </c>
    </row>
    <row r="43">
      <c r="A43" s="85">
        <v>41.0</v>
      </c>
      <c r="B43" s="35"/>
      <c r="C43" s="65"/>
      <c r="D43" s="76"/>
      <c r="E43" s="93"/>
      <c r="F43" s="76"/>
      <c r="G43" s="93"/>
      <c r="H43" s="93"/>
      <c r="I43" s="93"/>
      <c r="J43" s="87" t="str">
        <f t="shared" si="1"/>
        <v/>
      </c>
      <c r="K43" s="93"/>
      <c r="L43" s="93"/>
      <c r="M43" s="93"/>
      <c r="N43" s="87" t="str">
        <f t="shared" si="2"/>
        <v/>
      </c>
      <c r="O43" s="93"/>
      <c r="P43" s="93"/>
      <c r="Q43" s="93"/>
      <c r="R43" s="87" t="str">
        <f t="shared" si="3"/>
        <v/>
      </c>
      <c r="S43" s="90" t="str">
        <f t="shared" si="4"/>
        <v/>
      </c>
      <c r="T43" s="91" t="str">
        <f t="shared" si="5"/>
        <v/>
      </c>
      <c r="U43" s="85">
        <f t="shared" si="6"/>
        <v>0</v>
      </c>
    </row>
    <row r="44">
      <c r="A44" s="85">
        <v>42.0</v>
      </c>
      <c r="B44" s="35"/>
      <c r="C44" s="65"/>
      <c r="D44" s="76"/>
      <c r="E44" s="93"/>
      <c r="F44" s="76"/>
      <c r="G44" s="93"/>
      <c r="H44" s="93"/>
      <c r="I44" s="93"/>
      <c r="J44" s="87" t="str">
        <f t="shared" si="1"/>
        <v/>
      </c>
      <c r="K44" s="93"/>
      <c r="L44" s="93"/>
      <c r="M44" s="93"/>
      <c r="N44" s="87" t="str">
        <f t="shared" si="2"/>
        <v/>
      </c>
      <c r="O44" s="93"/>
      <c r="P44" s="93"/>
      <c r="Q44" s="93"/>
      <c r="R44" s="87" t="str">
        <f t="shared" si="3"/>
        <v/>
      </c>
      <c r="S44" s="90" t="str">
        <f t="shared" si="4"/>
        <v/>
      </c>
      <c r="T44" s="91" t="str">
        <f t="shared" si="5"/>
        <v/>
      </c>
      <c r="U44" s="85">
        <f t="shared" si="6"/>
        <v>0</v>
      </c>
    </row>
    <row r="45">
      <c r="A45" s="85">
        <v>43.0</v>
      </c>
      <c r="B45" s="35"/>
      <c r="C45" s="65"/>
      <c r="D45" s="76"/>
      <c r="E45" s="93"/>
      <c r="F45" s="76"/>
      <c r="G45" s="93"/>
      <c r="H45" s="93"/>
      <c r="I45" s="93"/>
      <c r="J45" s="87" t="str">
        <f t="shared" si="1"/>
        <v/>
      </c>
      <c r="K45" s="93"/>
      <c r="L45" s="93"/>
      <c r="M45" s="93"/>
      <c r="N45" s="87" t="str">
        <f t="shared" si="2"/>
        <v/>
      </c>
      <c r="O45" s="93"/>
      <c r="P45" s="93"/>
      <c r="Q45" s="93"/>
      <c r="R45" s="87" t="str">
        <f t="shared" si="3"/>
        <v/>
      </c>
      <c r="S45" s="90" t="str">
        <f t="shared" si="4"/>
        <v/>
      </c>
      <c r="T45" s="91" t="str">
        <f t="shared" si="5"/>
        <v/>
      </c>
      <c r="U45" s="85">
        <f t="shared" si="6"/>
        <v>0</v>
      </c>
    </row>
    <row r="46">
      <c r="A46" s="85">
        <v>44.0</v>
      </c>
      <c r="B46" s="35"/>
      <c r="C46" s="65"/>
      <c r="D46" s="76"/>
      <c r="E46" s="93"/>
      <c r="F46" s="76"/>
      <c r="G46" s="93"/>
      <c r="H46" s="93"/>
      <c r="I46" s="93"/>
      <c r="J46" s="87" t="str">
        <f t="shared" si="1"/>
        <v/>
      </c>
      <c r="K46" s="93"/>
      <c r="L46" s="93"/>
      <c r="M46" s="93"/>
      <c r="N46" s="87" t="str">
        <f t="shared" si="2"/>
        <v/>
      </c>
      <c r="O46" s="93"/>
      <c r="P46" s="93"/>
      <c r="Q46" s="93"/>
      <c r="R46" s="87" t="str">
        <f t="shared" si="3"/>
        <v/>
      </c>
      <c r="S46" s="90" t="str">
        <f t="shared" si="4"/>
        <v/>
      </c>
      <c r="T46" s="91" t="str">
        <f t="shared" si="5"/>
        <v/>
      </c>
      <c r="U46" s="85">
        <f t="shared" si="6"/>
        <v>0</v>
      </c>
    </row>
    <row r="47">
      <c r="A47" s="85">
        <v>45.0</v>
      </c>
      <c r="B47" s="35"/>
      <c r="C47" s="65"/>
      <c r="D47" s="76"/>
      <c r="E47" s="93"/>
      <c r="F47" s="76"/>
      <c r="G47" s="93"/>
      <c r="H47" s="93"/>
      <c r="I47" s="93"/>
      <c r="J47" s="87" t="str">
        <f t="shared" si="1"/>
        <v/>
      </c>
      <c r="K47" s="93"/>
      <c r="L47" s="93"/>
      <c r="M47" s="93"/>
      <c r="N47" s="87" t="str">
        <f t="shared" si="2"/>
        <v/>
      </c>
      <c r="O47" s="93"/>
      <c r="P47" s="93"/>
      <c r="Q47" s="93"/>
      <c r="R47" s="87" t="str">
        <f t="shared" si="3"/>
        <v/>
      </c>
      <c r="S47" s="90" t="str">
        <f t="shared" si="4"/>
        <v/>
      </c>
      <c r="T47" s="91" t="str">
        <f t="shared" si="5"/>
        <v/>
      </c>
      <c r="U47" s="85">
        <f t="shared" si="6"/>
        <v>0</v>
      </c>
    </row>
    <row r="48">
      <c r="A48" s="85">
        <v>46.0</v>
      </c>
      <c r="B48" s="35"/>
      <c r="C48" s="65"/>
      <c r="D48" s="76"/>
      <c r="E48" s="93"/>
      <c r="F48" s="76"/>
      <c r="G48" s="93"/>
      <c r="H48" s="93"/>
      <c r="I48" s="93"/>
      <c r="J48" s="87" t="str">
        <f t="shared" si="1"/>
        <v/>
      </c>
      <c r="K48" s="93"/>
      <c r="L48" s="93"/>
      <c r="M48" s="93"/>
      <c r="N48" s="87" t="str">
        <f t="shared" si="2"/>
        <v/>
      </c>
      <c r="O48" s="93"/>
      <c r="P48" s="93"/>
      <c r="Q48" s="93"/>
      <c r="R48" s="87" t="str">
        <f t="shared" si="3"/>
        <v/>
      </c>
      <c r="S48" s="90" t="str">
        <f t="shared" si="4"/>
        <v/>
      </c>
      <c r="T48" s="91" t="str">
        <f t="shared" si="5"/>
        <v/>
      </c>
      <c r="U48" s="85">
        <f t="shared" si="6"/>
        <v>0</v>
      </c>
    </row>
    <row r="49">
      <c r="A49" s="85">
        <v>47.0</v>
      </c>
      <c r="B49" s="35"/>
      <c r="C49" s="65"/>
      <c r="D49" s="76"/>
      <c r="E49" s="93"/>
      <c r="F49" s="76"/>
      <c r="G49" s="93"/>
      <c r="H49" s="93"/>
      <c r="I49" s="93"/>
      <c r="J49" s="87" t="str">
        <f t="shared" si="1"/>
        <v/>
      </c>
      <c r="K49" s="93"/>
      <c r="L49" s="93"/>
      <c r="M49" s="93"/>
      <c r="N49" s="87" t="str">
        <f t="shared" si="2"/>
        <v/>
      </c>
      <c r="O49" s="93"/>
      <c r="P49" s="93"/>
      <c r="Q49" s="93"/>
      <c r="R49" s="87" t="str">
        <f t="shared" si="3"/>
        <v/>
      </c>
      <c r="S49" s="90" t="str">
        <f t="shared" si="4"/>
        <v/>
      </c>
      <c r="T49" s="91" t="str">
        <f t="shared" si="5"/>
        <v/>
      </c>
      <c r="U49" s="85">
        <f t="shared" si="6"/>
        <v>0</v>
      </c>
    </row>
    <row r="50">
      <c r="A50" s="85">
        <v>48.0</v>
      </c>
      <c r="B50" s="35"/>
      <c r="C50" s="65"/>
      <c r="D50" s="76"/>
      <c r="E50" s="93"/>
      <c r="F50" s="76"/>
      <c r="G50" s="93"/>
      <c r="H50" s="93"/>
      <c r="I50" s="93"/>
      <c r="J50" s="87" t="str">
        <f t="shared" si="1"/>
        <v/>
      </c>
      <c r="K50" s="93"/>
      <c r="L50" s="93"/>
      <c r="M50" s="93"/>
      <c r="N50" s="87" t="str">
        <f t="shared" si="2"/>
        <v/>
      </c>
      <c r="O50" s="93"/>
      <c r="P50" s="93"/>
      <c r="Q50" s="93"/>
      <c r="R50" s="87" t="str">
        <f t="shared" si="3"/>
        <v/>
      </c>
      <c r="S50" s="90" t="str">
        <f t="shared" si="4"/>
        <v/>
      </c>
      <c r="T50" s="91" t="str">
        <f t="shared" si="5"/>
        <v/>
      </c>
      <c r="U50" s="85">
        <f t="shared" si="6"/>
        <v>0</v>
      </c>
    </row>
    <row r="51">
      <c r="A51" s="85">
        <v>49.0</v>
      </c>
      <c r="B51" s="35"/>
      <c r="C51" s="65"/>
      <c r="D51" s="76"/>
      <c r="E51" s="93"/>
      <c r="F51" s="76"/>
      <c r="G51" s="93"/>
      <c r="H51" s="93"/>
      <c r="I51" s="93"/>
      <c r="J51" s="87" t="str">
        <f t="shared" si="1"/>
        <v/>
      </c>
      <c r="K51" s="93"/>
      <c r="L51" s="93"/>
      <c r="M51" s="93"/>
      <c r="N51" s="87" t="str">
        <f t="shared" si="2"/>
        <v/>
      </c>
      <c r="O51" s="93"/>
      <c r="P51" s="93"/>
      <c r="Q51" s="93"/>
      <c r="R51" s="87" t="str">
        <f t="shared" si="3"/>
        <v/>
      </c>
      <c r="S51" s="90" t="str">
        <f t="shared" si="4"/>
        <v/>
      </c>
      <c r="T51" s="91" t="str">
        <f t="shared" si="5"/>
        <v/>
      </c>
      <c r="U51" s="85">
        <f t="shared" si="6"/>
        <v>0</v>
      </c>
    </row>
    <row r="52">
      <c r="A52" s="85">
        <v>50.0</v>
      </c>
      <c r="B52" s="35"/>
      <c r="C52" s="65"/>
      <c r="D52" s="76"/>
      <c r="E52" s="93"/>
      <c r="F52" s="76"/>
      <c r="G52" s="93"/>
      <c r="H52" s="93"/>
      <c r="I52" s="93"/>
      <c r="J52" s="87" t="str">
        <f t="shared" si="1"/>
        <v/>
      </c>
      <c r="K52" s="93"/>
      <c r="L52" s="93"/>
      <c r="M52" s="93"/>
      <c r="N52" s="87" t="str">
        <f t="shared" si="2"/>
        <v/>
      </c>
      <c r="O52" s="93"/>
      <c r="P52" s="93"/>
      <c r="Q52" s="93"/>
      <c r="R52" s="87" t="str">
        <f t="shared" si="3"/>
        <v/>
      </c>
      <c r="S52" s="90" t="str">
        <f t="shared" si="4"/>
        <v/>
      </c>
      <c r="T52" s="91" t="str">
        <f t="shared" si="5"/>
        <v/>
      </c>
      <c r="U52" s="85">
        <f t="shared" si="6"/>
        <v>0</v>
      </c>
    </row>
    <row r="53">
      <c r="A53" s="85">
        <v>51.0</v>
      </c>
      <c r="B53" s="35"/>
      <c r="C53" s="65"/>
      <c r="D53" s="76"/>
      <c r="E53" s="93"/>
      <c r="F53" s="76"/>
      <c r="G53" s="93"/>
      <c r="H53" s="93"/>
      <c r="I53" s="93"/>
      <c r="J53" s="87" t="str">
        <f t="shared" si="1"/>
        <v/>
      </c>
      <c r="K53" s="93"/>
      <c r="L53" s="93"/>
      <c r="M53" s="93"/>
      <c r="N53" s="87" t="str">
        <f t="shared" si="2"/>
        <v/>
      </c>
      <c r="O53" s="93"/>
      <c r="P53" s="93"/>
      <c r="Q53" s="93"/>
      <c r="R53" s="87" t="str">
        <f t="shared" si="3"/>
        <v/>
      </c>
      <c r="S53" s="90" t="str">
        <f t="shared" si="4"/>
        <v/>
      </c>
      <c r="T53" s="91" t="str">
        <f t="shared" si="5"/>
        <v/>
      </c>
      <c r="U53" s="85">
        <f t="shared" si="6"/>
        <v>0</v>
      </c>
    </row>
    <row r="54">
      <c r="A54" s="85">
        <v>52.0</v>
      </c>
      <c r="B54" s="35"/>
      <c r="C54" s="65"/>
      <c r="D54" s="76"/>
      <c r="E54" s="93"/>
      <c r="F54" s="76"/>
      <c r="G54" s="93"/>
      <c r="H54" s="93"/>
      <c r="I54" s="93"/>
      <c r="J54" s="87" t="str">
        <f t="shared" si="1"/>
        <v/>
      </c>
      <c r="K54" s="93"/>
      <c r="L54" s="93"/>
      <c r="M54" s="93"/>
      <c r="N54" s="87" t="str">
        <f t="shared" si="2"/>
        <v/>
      </c>
      <c r="O54" s="93"/>
      <c r="P54" s="93"/>
      <c r="Q54" s="93"/>
      <c r="R54" s="87" t="str">
        <f t="shared" si="3"/>
        <v/>
      </c>
      <c r="S54" s="90" t="str">
        <f t="shared" si="4"/>
        <v/>
      </c>
      <c r="T54" s="91" t="str">
        <f t="shared" si="5"/>
        <v/>
      </c>
      <c r="U54" s="85">
        <f t="shared" si="6"/>
        <v>0</v>
      </c>
    </row>
    <row r="55">
      <c r="A55" s="85">
        <v>53.0</v>
      </c>
      <c r="B55" s="35"/>
      <c r="C55" s="65"/>
      <c r="D55" s="76"/>
      <c r="E55" s="93"/>
      <c r="F55" s="76"/>
      <c r="G55" s="93"/>
      <c r="H55" s="93"/>
      <c r="I55" s="93"/>
      <c r="J55" s="87" t="str">
        <f t="shared" si="1"/>
        <v/>
      </c>
      <c r="K55" s="93"/>
      <c r="L55" s="93"/>
      <c r="M55" s="93"/>
      <c r="N55" s="87" t="str">
        <f t="shared" si="2"/>
        <v/>
      </c>
      <c r="O55" s="93"/>
      <c r="P55" s="93"/>
      <c r="Q55" s="93"/>
      <c r="R55" s="87" t="str">
        <f t="shared" si="3"/>
        <v/>
      </c>
      <c r="S55" s="90" t="str">
        <f t="shared" si="4"/>
        <v/>
      </c>
      <c r="T55" s="91" t="str">
        <f t="shared" si="5"/>
        <v/>
      </c>
      <c r="U55" s="85">
        <f t="shared" si="6"/>
        <v>0</v>
      </c>
    </row>
    <row r="56">
      <c r="A56" s="85">
        <v>54.0</v>
      </c>
      <c r="B56" s="35"/>
      <c r="C56" s="65"/>
      <c r="D56" s="76"/>
      <c r="E56" s="93"/>
      <c r="F56" s="76"/>
      <c r="G56" s="93"/>
      <c r="H56" s="93"/>
      <c r="I56" s="93"/>
      <c r="J56" s="87" t="str">
        <f t="shared" si="1"/>
        <v/>
      </c>
      <c r="K56" s="93"/>
      <c r="L56" s="93"/>
      <c r="M56" s="93"/>
      <c r="N56" s="87" t="str">
        <f t="shared" si="2"/>
        <v/>
      </c>
      <c r="O56" s="93"/>
      <c r="P56" s="93"/>
      <c r="Q56" s="93"/>
      <c r="R56" s="87" t="str">
        <f t="shared" si="3"/>
        <v/>
      </c>
      <c r="S56" s="90" t="str">
        <f t="shared" si="4"/>
        <v/>
      </c>
      <c r="T56" s="91" t="str">
        <f t="shared" si="5"/>
        <v/>
      </c>
      <c r="U56" s="85">
        <f t="shared" si="6"/>
        <v>0</v>
      </c>
    </row>
    <row r="57">
      <c r="A57" s="85">
        <v>55.0</v>
      </c>
      <c r="B57" s="35"/>
      <c r="C57" s="65"/>
      <c r="D57" s="76"/>
      <c r="E57" s="93"/>
      <c r="F57" s="76"/>
      <c r="G57" s="93"/>
      <c r="H57" s="93"/>
      <c r="I57" s="93"/>
      <c r="J57" s="87" t="str">
        <f t="shared" si="1"/>
        <v/>
      </c>
      <c r="K57" s="93"/>
      <c r="L57" s="93"/>
      <c r="M57" s="93"/>
      <c r="N57" s="87" t="str">
        <f t="shared" si="2"/>
        <v/>
      </c>
      <c r="O57" s="93"/>
      <c r="P57" s="93"/>
      <c r="Q57" s="93"/>
      <c r="R57" s="87" t="str">
        <f t="shared" si="3"/>
        <v/>
      </c>
      <c r="S57" s="90" t="str">
        <f t="shared" si="4"/>
        <v/>
      </c>
      <c r="T57" s="91" t="str">
        <f t="shared" si="5"/>
        <v/>
      </c>
      <c r="U57" s="85">
        <f t="shared" si="6"/>
        <v>0</v>
      </c>
    </row>
    <row r="58">
      <c r="A58" s="85">
        <v>56.0</v>
      </c>
      <c r="B58" s="35"/>
      <c r="C58" s="65"/>
      <c r="D58" s="76"/>
      <c r="E58" s="93"/>
      <c r="F58" s="76"/>
      <c r="G58" s="93"/>
      <c r="H58" s="93"/>
      <c r="I58" s="93"/>
      <c r="J58" s="87" t="str">
        <f t="shared" si="1"/>
        <v/>
      </c>
      <c r="K58" s="93"/>
      <c r="L58" s="93"/>
      <c r="M58" s="93"/>
      <c r="N58" s="87" t="str">
        <f t="shared" si="2"/>
        <v/>
      </c>
      <c r="O58" s="93"/>
      <c r="P58" s="93"/>
      <c r="Q58" s="93"/>
      <c r="R58" s="87" t="str">
        <f t="shared" si="3"/>
        <v/>
      </c>
      <c r="S58" s="90" t="str">
        <f t="shared" si="4"/>
        <v/>
      </c>
      <c r="T58" s="91" t="str">
        <f t="shared" si="5"/>
        <v/>
      </c>
      <c r="U58" s="85">
        <f t="shared" si="6"/>
        <v>0</v>
      </c>
    </row>
    <row r="59">
      <c r="A59" s="85">
        <v>57.0</v>
      </c>
      <c r="B59" s="35"/>
      <c r="C59" s="65"/>
      <c r="D59" s="76"/>
      <c r="E59" s="93"/>
      <c r="F59" s="76"/>
      <c r="G59" s="93"/>
      <c r="H59" s="93"/>
      <c r="I59" s="93"/>
      <c r="J59" s="87" t="str">
        <f t="shared" si="1"/>
        <v/>
      </c>
      <c r="K59" s="93"/>
      <c r="L59" s="93"/>
      <c r="M59" s="93"/>
      <c r="N59" s="87" t="str">
        <f t="shared" si="2"/>
        <v/>
      </c>
      <c r="O59" s="93"/>
      <c r="P59" s="93"/>
      <c r="Q59" s="93"/>
      <c r="R59" s="87" t="str">
        <f t="shared" si="3"/>
        <v/>
      </c>
      <c r="S59" s="90" t="str">
        <f t="shared" si="4"/>
        <v/>
      </c>
      <c r="T59" s="91" t="str">
        <f t="shared" si="5"/>
        <v/>
      </c>
      <c r="U59" s="85">
        <f t="shared" si="6"/>
        <v>0</v>
      </c>
    </row>
    <row r="60">
      <c r="A60" s="85">
        <v>58.0</v>
      </c>
      <c r="B60" s="35"/>
      <c r="C60" s="65"/>
      <c r="D60" s="76"/>
      <c r="E60" s="93"/>
      <c r="F60" s="76"/>
      <c r="G60" s="93"/>
      <c r="H60" s="93"/>
      <c r="I60" s="93"/>
      <c r="J60" s="87" t="str">
        <f t="shared" si="1"/>
        <v/>
      </c>
      <c r="K60" s="93"/>
      <c r="L60" s="93"/>
      <c r="M60" s="93"/>
      <c r="N60" s="87" t="str">
        <f t="shared" si="2"/>
        <v/>
      </c>
      <c r="O60" s="93"/>
      <c r="P60" s="93"/>
      <c r="Q60" s="93"/>
      <c r="R60" s="87" t="str">
        <f t="shared" si="3"/>
        <v/>
      </c>
      <c r="S60" s="90" t="str">
        <f t="shared" si="4"/>
        <v/>
      </c>
      <c r="T60" s="91" t="str">
        <f t="shared" si="5"/>
        <v/>
      </c>
      <c r="U60" s="85">
        <f t="shared" si="6"/>
        <v>0</v>
      </c>
    </row>
    <row r="61">
      <c r="A61" s="85">
        <v>59.0</v>
      </c>
      <c r="B61" s="35"/>
      <c r="C61" s="65"/>
      <c r="D61" s="76"/>
      <c r="E61" s="93"/>
      <c r="F61" s="76"/>
      <c r="G61" s="93"/>
      <c r="H61" s="93"/>
      <c r="I61" s="93"/>
      <c r="J61" s="87" t="str">
        <f t="shared" si="1"/>
        <v/>
      </c>
      <c r="K61" s="93"/>
      <c r="L61" s="93"/>
      <c r="M61" s="93"/>
      <c r="N61" s="87" t="str">
        <f t="shared" si="2"/>
        <v/>
      </c>
      <c r="O61" s="93"/>
      <c r="P61" s="93"/>
      <c r="Q61" s="93"/>
      <c r="R61" s="87" t="str">
        <f t="shared" si="3"/>
        <v/>
      </c>
      <c r="S61" s="90" t="str">
        <f t="shared" si="4"/>
        <v/>
      </c>
      <c r="T61" s="91" t="str">
        <f t="shared" si="5"/>
        <v/>
      </c>
      <c r="U61" s="85">
        <f t="shared" si="6"/>
        <v>0</v>
      </c>
    </row>
    <row r="62">
      <c r="A62" s="85">
        <v>60.0</v>
      </c>
      <c r="B62" s="35"/>
      <c r="C62" s="65"/>
      <c r="D62" s="76"/>
      <c r="E62" s="93"/>
      <c r="F62" s="76"/>
      <c r="G62" s="93"/>
      <c r="H62" s="93"/>
      <c r="I62" s="93"/>
      <c r="J62" s="87" t="str">
        <f t="shared" si="1"/>
        <v/>
      </c>
      <c r="K62" s="93"/>
      <c r="L62" s="93"/>
      <c r="M62" s="93"/>
      <c r="N62" s="87" t="str">
        <f t="shared" si="2"/>
        <v/>
      </c>
      <c r="O62" s="93"/>
      <c r="P62" s="93"/>
      <c r="Q62" s="93"/>
      <c r="R62" s="87" t="str">
        <f t="shared" si="3"/>
        <v/>
      </c>
      <c r="S62" s="90" t="str">
        <f t="shared" si="4"/>
        <v/>
      </c>
      <c r="T62" s="91" t="str">
        <f t="shared" si="5"/>
        <v/>
      </c>
      <c r="U62" s="85">
        <f t="shared" si="6"/>
        <v>0</v>
      </c>
    </row>
    <row r="63">
      <c r="A63" s="85">
        <v>61.0</v>
      </c>
      <c r="B63" s="35"/>
      <c r="C63" s="65"/>
      <c r="D63" s="76"/>
      <c r="E63" s="93"/>
      <c r="F63" s="76"/>
      <c r="G63" s="93"/>
      <c r="H63" s="93"/>
      <c r="I63" s="93"/>
      <c r="J63" s="87" t="str">
        <f t="shared" si="1"/>
        <v/>
      </c>
      <c r="K63" s="93"/>
      <c r="L63" s="93"/>
      <c r="M63" s="93"/>
      <c r="N63" s="87" t="str">
        <f t="shared" si="2"/>
        <v/>
      </c>
      <c r="O63" s="93"/>
      <c r="P63" s="93"/>
      <c r="Q63" s="93"/>
      <c r="R63" s="87" t="str">
        <f t="shared" si="3"/>
        <v/>
      </c>
      <c r="S63" s="90" t="str">
        <f t="shared" si="4"/>
        <v/>
      </c>
      <c r="T63" s="91" t="str">
        <f t="shared" si="5"/>
        <v/>
      </c>
      <c r="U63" s="85">
        <f t="shared" si="6"/>
        <v>0</v>
      </c>
    </row>
    <row r="64">
      <c r="A64" s="85">
        <v>62.0</v>
      </c>
      <c r="B64" s="35"/>
      <c r="C64" s="65"/>
      <c r="D64" s="76"/>
      <c r="E64" s="93"/>
      <c r="F64" s="76"/>
      <c r="G64" s="93"/>
      <c r="H64" s="93"/>
      <c r="I64" s="93"/>
      <c r="J64" s="87" t="str">
        <f t="shared" si="1"/>
        <v/>
      </c>
      <c r="K64" s="93"/>
      <c r="L64" s="93"/>
      <c r="M64" s="93"/>
      <c r="N64" s="87" t="str">
        <f t="shared" si="2"/>
        <v/>
      </c>
      <c r="O64" s="93"/>
      <c r="P64" s="93"/>
      <c r="Q64" s="93"/>
      <c r="R64" s="87" t="str">
        <f t="shared" si="3"/>
        <v/>
      </c>
      <c r="S64" s="90" t="str">
        <f t="shared" si="4"/>
        <v/>
      </c>
      <c r="T64" s="91" t="str">
        <f t="shared" si="5"/>
        <v/>
      </c>
      <c r="U64" s="85">
        <f t="shared" si="6"/>
        <v>0</v>
      </c>
    </row>
    <row r="65">
      <c r="A65" s="85">
        <v>63.0</v>
      </c>
      <c r="B65" s="35"/>
      <c r="C65" s="65"/>
      <c r="D65" s="76"/>
      <c r="E65" s="93"/>
      <c r="F65" s="76"/>
      <c r="G65" s="93"/>
      <c r="H65" s="93"/>
      <c r="I65" s="93"/>
      <c r="J65" s="87" t="str">
        <f t="shared" si="1"/>
        <v/>
      </c>
      <c r="K65" s="93"/>
      <c r="L65" s="93"/>
      <c r="M65" s="93"/>
      <c r="N65" s="87" t="str">
        <f t="shared" si="2"/>
        <v/>
      </c>
      <c r="O65" s="93"/>
      <c r="P65" s="93"/>
      <c r="Q65" s="93"/>
      <c r="R65" s="87" t="str">
        <f t="shared" si="3"/>
        <v/>
      </c>
      <c r="S65" s="90" t="str">
        <f t="shared" si="4"/>
        <v/>
      </c>
      <c r="T65" s="91" t="str">
        <f t="shared" si="5"/>
        <v/>
      </c>
      <c r="U65" s="85">
        <f t="shared" si="6"/>
        <v>0</v>
      </c>
    </row>
    <row r="66">
      <c r="A66" s="85">
        <v>64.0</v>
      </c>
      <c r="B66" s="35"/>
      <c r="C66" s="65"/>
      <c r="D66" s="76"/>
      <c r="E66" s="93"/>
      <c r="F66" s="76"/>
      <c r="G66" s="93"/>
      <c r="H66" s="93"/>
      <c r="I66" s="93"/>
      <c r="J66" s="87" t="str">
        <f t="shared" si="1"/>
        <v/>
      </c>
      <c r="K66" s="93"/>
      <c r="L66" s="93"/>
      <c r="M66" s="93"/>
      <c r="N66" s="87" t="str">
        <f t="shared" si="2"/>
        <v/>
      </c>
      <c r="O66" s="93"/>
      <c r="P66" s="93"/>
      <c r="Q66" s="93"/>
      <c r="R66" s="87" t="str">
        <f t="shared" si="3"/>
        <v/>
      </c>
      <c r="S66" s="90" t="str">
        <f t="shared" si="4"/>
        <v/>
      </c>
      <c r="T66" s="91" t="str">
        <f t="shared" si="5"/>
        <v/>
      </c>
      <c r="U66" s="85">
        <f t="shared" si="6"/>
        <v>0</v>
      </c>
    </row>
    <row r="67">
      <c r="A67" s="85">
        <v>65.0</v>
      </c>
      <c r="B67" s="35"/>
      <c r="C67" s="65"/>
      <c r="D67" s="76"/>
      <c r="E67" s="93"/>
      <c r="F67" s="76"/>
      <c r="G67" s="93"/>
      <c r="H67" s="93"/>
      <c r="I67" s="93"/>
      <c r="J67" s="87" t="str">
        <f t="shared" si="1"/>
        <v/>
      </c>
      <c r="K67" s="93"/>
      <c r="L67" s="93"/>
      <c r="M67" s="93"/>
      <c r="N67" s="87" t="str">
        <f t="shared" si="2"/>
        <v/>
      </c>
      <c r="O67" s="93"/>
      <c r="P67" s="93"/>
      <c r="Q67" s="93"/>
      <c r="R67" s="87" t="str">
        <f t="shared" si="3"/>
        <v/>
      </c>
      <c r="S67" s="90" t="str">
        <f t="shared" si="4"/>
        <v/>
      </c>
      <c r="T67" s="91" t="str">
        <f t="shared" si="5"/>
        <v/>
      </c>
      <c r="U67" s="85">
        <f t="shared" si="6"/>
        <v>0</v>
      </c>
    </row>
    <row r="68">
      <c r="A68" s="85">
        <v>66.0</v>
      </c>
      <c r="B68" s="35"/>
      <c r="C68" s="65"/>
      <c r="D68" s="76"/>
      <c r="E68" s="93"/>
      <c r="F68" s="76"/>
      <c r="G68" s="93"/>
      <c r="H68" s="93"/>
      <c r="I68" s="93"/>
      <c r="J68" s="87" t="str">
        <f t="shared" si="1"/>
        <v/>
      </c>
      <c r="K68" s="93"/>
      <c r="L68" s="93"/>
      <c r="M68" s="93"/>
      <c r="N68" s="87" t="str">
        <f t="shared" si="2"/>
        <v/>
      </c>
      <c r="O68" s="93"/>
      <c r="P68" s="93"/>
      <c r="Q68" s="93"/>
      <c r="R68" s="87" t="str">
        <f t="shared" si="3"/>
        <v/>
      </c>
      <c r="S68" s="90" t="str">
        <f t="shared" si="4"/>
        <v/>
      </c>
      <c r="T68" s="91" t="str">
        <f t="shared" si="5"/>
        <v/>
      </c>
      <c r="U68" s="85">
        <f t="shared" si="6"/>
        <v>0</v>
      </c>
    </row>
    <row r="69">
      <c r="A69" s="85">
        <v>67.0</v>
      </c>
      <c r="B69" s="35"/>
      <c r="C69" s="65"/>
      <c r="D69" s="76"/>
      <c r="E69" s="93"/>
      <c r="F69" s="76"/>
      <c r="G69" s="93"/>
      <c r="H69" s="93"/>
      <c r="I69" s="93"/>
      <c r="J69" s="87" t="str">
        <f t="shared" si="1"/>
        <v/>
      </c>
      <c r="K69" s="93"/>
      <c r="L69" s="93"/>
      <c r="M69" s="93"/>
      <c r="N69" s="87" t="str">
        <f t="shared" si="2"/>
        <v/>
      </c>
      <c r="O69" s="93"/>
      <c r="P69" s="93"/>
      <c r="Q69" s="93"/>
      <c r="R69" s="87" t="str">
        <f t="shared" si="3"/>
        <v/>
      </c>
      <c r="S69" s="90" t="str">
        <f t="shared" si="4"/>
        <v/>
      </c>
      <c r="T69" s="91" t="str">
        <f t="shared" si="5"/>
        <v/>
      </c>
      <c r="U69" s="85">
        <f t="shared" si="6"/>
        <v>0</v>
      </c>
    </row>
    <row r="70">
      <c r="A70" s="85">
        <v>68.0</v>
      </c>
      <c r="B70" s="35"/>
      <c r="C70" s="65"/>
      <c r="D70" s="76"/>
      <c r="E70" s="93"/>
      <c r="F70" s="76"/>
      <c r="G70" s="93"/>
      <c r="H70" s="93"/>
      <c r="I70" s="93"/>
      <c r="J70" s="87" t="str">
        <f t="shared" si="1"/>
        <v/>
      </c>
      <c r="K70" s="93"/>
      <c r="L70" s="93"/>
      <c r="M70" s="93"/>
      <c r="N70" s="87" t="str">
        <f t="shared" si="2"/>
        <v/>
      </c>
      <c r="O70" s="93"/>
      <c r="P70" s="93"/>
      <c r="Q70" s="93"/>
      <c r="R70" s="87" t="str">
        <f t="shared" si="3"/>
        <v/>
      </c>
      <c r="S70" s="90" t="str">
        <f t="shared" si="4"/>
        <v/>
      </c>
      <c r="T70" s="91" t="str">
        <f t="shared" si="5"/>
        <v/>
      </c>
      <c r="U70" s="85">
        <f t="shared" si="6"/>
        <v>0</v>
      </c>
    </row>
    <row r="71">
      <c r="A71" s="85">
        <v>69.0</v>
      </c>
      <c r="B71" s="35"/>
      <c r="C71" s="65"/>
      <c r="D71" s="76"/>
      <c r="E71" s="93"/>
      <c r="F71" s="76"/>
      <c r="G71" s="93"/>
      <c r="H71" s="93"/>
      <c r="I71" s="93"/>
      <c r="J71" s="87" t="str">
        <f t="shared" si="1"/>
        <v/>
      </c>
      <c r="K71" s="93"/>
      <c r="L71" s="93"/>
      <c r="M71" s="93"/>
      <c r="N71" s="87" t="str">
        <f t="shared" si="2"/>
        <v/>
      </c>
      <c r="O71" s="93"/>
      <c r="P71" s="93"/>
      <c r="Q71" s="93"/>
      <c r="R71" s="87" t="str">
        <f t="shared" si="3"/>
        <v/>
      </c>
      <c r="S71" s="90" t="str">
        <f t="shared" si="4"/>
        <v/>
      </c>
      <c r="T71" s="91" t="str">
        <f t="shared" si="5"/>
        <v/>
      </c>
      <c r="U71" s="85">
        <f t="shared" si="6"/>
        <v>0</v>
      </c>
    </row>
    <row r="72">
      <c r="A72" s="85">
        <v>70.0</v>
      </c>
      <c r="B72" s="35"/>
      <c r="C72" s="65"/>
      <c r="D72" s="76"/>
      <c r="E72" s="93"/>
      <c r="F72" s="76"/>
      <c r="G72" s="93"/>
      <c r="H72" s="93"/>
      <c r="I72" s="93"/>
      <c r="J72" s="87" t="str">
        <f t="shared" si="1"/>
        <v/>
      </c>
      <c r="K72" s="93"/>
      <c r="L72" s="93"/>
      <c r="M72" s="93"/>
      <c r="N72" s="87" t="str">
        <f t="shared" si="2"/>
        <v/>
      </c>
      <c r="O72" s="93"/>
      <c r="P72" s="93"/>
      <c r="Q72" s="93"/>
      <c r="R72" s="87" t="str">
        <f t="shared" si="3"/>
        <v/>
      </c>
      <c r="S72" s="90" t="str">
        <f t="shared" si="4"/>
        <v/>
      </c>
      <c r="T72" s="91" t="str">
        <f t="shared" si="5"/>
        <v/>
      </c>
      <c r="U72" s="85">
        <f t="shared" si="6"/>
        <v>0</v>
      </c>
    </row>
    <row r="73">
      <c r="A73" s="85">
        <v>71.0</v>
      </c>
      <c r="B73" s="35"/>
      <c r="C73" s="65"/>
      <c r="D73" s="76"/>
      <c r="E73" s="93"/>
      <c r="F73" s="76"/>
      <c r="G73" s="93"/>
      <c r="H73" s="93"/>
      <c r="I73" s="93"/>
      <c r="J73" s="87" t="str">
        <f t="shared" si="1"/>
        <v/>
      </c>
      <c r="K73" s="93"/>
      <c r="L73" s="93"/>
      <c r="M73" s="93"/>
      <c r="N73" s="87" t="str">
        <f t="shared" si="2"/>
        <v/>
      </c>
      <c r="O73" s="93"/>
      <c r="P73" s="93"/>
      <c r="Q73" s="93"/>
      <c r="R73" s="87" t="str">
        <f t="shared" si="3"/>
        <v/>
      </c>
      <c r="S73" s="90" t="str">
        <f t="shared" si="4"/>
        <v/>
      </c>
      <c r="T73" s="91" t="str">
        <f t="shared" si="5"/>
        <v/>
      </c>
      <c r="U73" s="85">
        <f t="shared" si="6"/>
        <v>0</v>
      </c>
    </row>
    <row r="74">
      <c r="A74" s="85">
        <v>72.0</v>
      </c>
      <c r="B74" s="35"/>
      <c r="C74" s="65"/>
      <c r="D74" s="76"/>
      <c r="E74" s="93"/>
      <c r="F74" s="76"/>
      <c r="G74" s="93"/>
      <c r="H74" s="93"/>
      <c r="I74" s="93"/>
      <c r="J74" s="87" t="str">
        <f t="shared" si="1"/>
        <v/>
      </c>
      <c r="K74" s="93"/>
      <c r="L74" s="93"/>
      <c r="M74" s="93"/>
      <c r="N74" s="87" t="str">
        <f t="shared" si="2"/>
        <v/>
      </c>
      <c r="O74" s="93"/>
      <c r="P74" s="93"/>
      <c r="Q74" s="93"/>
      <c r="R74" s="87" t="str">
        <f t="shared" si="3"/>
        <v/>
      </c>
      <c r="S74" s="90" t="str">
        <f t="shared" si="4"/>
        <v/>
      </c>
      <c r="T74" s="91" t="str">
        <f t="shared" si="5"/>
        <v/>
      </c>
      <c r="U74" s="85">
        <f t="shared" si="6"/>
        <v>0</v>
      </c>
    </row>
    <row r="75">
      <c r="A75" s="85">
        <v>73.0</v>
      </c>
      <c r="B75" s="35"/>
      <c r="C75" s="65"/>
      <c r="D75" s="76"/>
      <c r="E75" s="93"/>
      <c r="F75" s="76"/>
      <c r="G75" s="93"/>
      <c r="H75" s="93"/>
      <c r="I75" s="93"/>
      <c r="J75" s="87" t="str">
        <f t="shared" si="1"/>
        <v/>
      </c>
      <c r="K75" s="93"/>
      <c r="L75" s="93"/>
      <c r="M75" s="93"/>
      <c r="N75" s="87" t="str">
        <f t="shared" si="2"/>
        <v/>
      </c>
      <c r="O75" s="93"/>
      <c r="P75" s="93"/>
      <c r="Q75" s="93"/>
      <c r="R75" s="87" t="str">
        <f t="shared" si="3"/>
        <v/>
      </c>
      <c r="S75" s="90" t="str">
        <f t="shared" si="4"/>
        <v/>
      </c>
      <c r="T75" s="91" t="str">
        <f t="shared" si="5"/>
        <v/>
      </c>
      <c r="U75" s="85">
        <f t="shared" si="6"/>
        <v>0</v>
      </c>
    </row>
    <row r="76">
      <c r="A76" s="85">
        <v>74.0</v>
      </c>
      <c r="B76" s="35"/>
      <c r="C76" s="65"/>
      <c r="D76" s="76"/>
      <c r="E76" s="93"/>
      <c r="F76" s="76"/>
      <c r="G76" s="93"/>
      <c r="H76" s="93"/>
      <c r="I76" s="93"/>
      <c r="J76" s="87" t="str">
        <f t="shared" si="1"/>
        <v/>
      </c>
      <c r="K76" s="93"/>
      <c r="L76" s="93"/>
      <c r="M76" s="93"/>
      <c r="N76" s="87" t="str">
        <f t="shared" si="2"/>
        <v/>
      </c>
      <c r="O76" s="93"/>
      <c r="P76" s="93"/>
      <c r="Q76" s="93"/>
      <c r="R76" s="87" t="str">
        <f t="shared" si="3"/>
        <v/>
      </c>
      <c r="S76" s="90" t="str">
        <f t="shared" si="4"/>
        <v/>
      </c>
      <c r="T76" s="91" t="str">
        <f t="shared" si="5"/>
        <v/>
      </c>
      <c r="U76" s="85">
        <f t="shared" si="6"/>
        <v>0</v>
      </c>
    </row>
    <row r="77">
      <c r="A77" s="85">
        <v>75.0</v>
      </c>
      <c r="B77" s="35"/>
      <c r="C77" s="65"/>
      <c r="D77" s="76"/>
      <c r="E77" s="93"/>
      <c r="F77" s="76"/>
      <c r="G77" s="93"/>
      <c r="H77" s="93"/>
      <c r="I77" s="93"/>
      <c r="J77" s="87" t="str">
        <f t="shared" si="1"/>
        <v/>
      </c>
      <c r="K77" s="93"/>
      <c r="L77" s="93"/>
      <c r="M77" s="93"/>
      <c r="N77" s="87" t="str">
        <f t="shared" si="2"/>
        <v/>
      </c>
      <c r="O77" s="93"/>
      <c r="P77" s="93"/>
      <c r="Q77" s="93"/>
      <c r="R77" s="87" t="str">
        <f t="shared" si="3"/>
        <v/>
      </c>
      <c r="S77" s="90" t="str">
        <f t="shared" si="4"/>
        <v/>
      </c>
      <c r="T77" s="91" t="str">
        <f t="shared" si="5"/>
        <v/>
      </c>
      <c r="U77" s="85">
        <f t="shared" si="6"/>
        <v>0</v>
      </c>
    </row>
  </sheetData>
  <autoFilter ref="$B$2:$T$77"/>
  <customSheetViews>
    <customSheetView guid="{B0C17AAF-6872-48F8-A58E-565BF6C8DB27}" filter="1" showAutoFilter="1">
      <autoFilter ref="$C$2:$T$52"/>
    </customSheetView>
  </customSheetViews>
  <mergeCells count="3">
    <mergeCell ref="K1:N1"/>
    <mergeCell ref="O1:R1"/>
    <mergeCell ref="G1:J1"/>
  </mergeCells>
  <conditionalFormatting sqref="G3:I77 K3:M77 O3:Q77">
    <cfRule type="endsWith" dxfId="2" priority="1" operator="endsWith" text="g">
      <formula>RIGHT((G3),LEN("g"))=("g")</formula>
    </cfRule>
  </conditionalFormatting>
  <conditionalFormatting sqref="G3:I77 K3:M77 O3:Q77">
    <cfRule type="endsWith" dxfId="1" priority="2" operator="endsWith" text="x">
      <formula>RIGHT((G3),LEN("x"))=("x")</formula>
    </cfRule>
  </conditionalFormatting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tabColor rgb="FF000000"/>
    <outlinePr summaryBelow="0" summaryRight="0"/>
  </sheetPr>
  <sheetViews>
    <sheetView workbookViewId="0">
      <pane xSplit="6.0" ySplit="2.0" topLeftCell="G3" activePane="bottomRight" state="frozen"/>
      <selection activeCell="G1" sqref="G1" pane="topRight"/>
      <selection activeCell="A3" sqref="A3" pane="bottomLeft"/>
      <selection activeCell="G3" sqref="G3" pane="bottomRight"/>
    </sheetView>
  </sheetViews>
  <sheetFormatPr customHeight="1" defaultColWidth="14.43" defaultRowHeight="15.75"/>
  <cols>
    <col customWidth="1" min="1" max="1" width="3.57"/>
    <col customWidth="1" min="2" max="2" width="10.29"/>
    <col customWidth="1" min="3" max="3" width="6.86"/>
    <col customWidth="1" min="4" max="4" width="14.71"/>
    <col customWidth="1" min="5" max="5" width="7.57"/>
    <col customWidth="1" min="6" max="6" width="18.29"/>
    <col customWidth="1" min="7" max="18" width="5.71"/>
    <col customWidth="1" min="19" max="19" width="9.86"/>
    <col customWidth="1" min="20" max="20" width="11.0"/>
    <col customWidth="1" hidden="1" min="21" max="21" width="11.0"/>
  </cols>
  <sheetData>
    <row r="1">
      <c r="A1" s="14"/>
      <c r="B1" s="16" t="s">
        <v>19</v>
      </c>
      <c r="C1" s="16" t="s">
        <v>135</v>
      </c>
      <c r="D1" s="57" t="s">
        <v>22</v>
      </c>
      <c r="E1" s="57" t="s">
        <v>23</v>
      </c>
      <c r="F1" s="57" t="s">
        <v>25</v>
      </c>
      <c r="G1" s="57" t="s">
        <v>115</v>
      </c>
      <c r="K1" s="57" t="s">
        <v>116</v>
      </c>
      <c r="O1" s="57" t="s">
        <v>117</v>
      </c>
      <c r="S1" s="57" t="s">
        <v>118</v>
      </c>
      <c r="T1" s="57" t="s">
        <v>119</v>
      </c>
      <c r="U1" s="57"/>
    </row>
    <row r="2">
      <c r="A2" s="81"/>
      <c r="B2" s="83" t="s">
        <v>19</v>
      </c>
      <c r="C2" s="83" t="s">
        <v>135</v>
      </c>
      <c r="D2" s="83" t="s">
        <v>22</v>
      </c>
      <c r="E2" s="84" t="s">
        <v>23</v>
      </c>
      <c r="F2" s="83" t="s">
        <v>25</v>
      </c>
      <c r="G2" s="83" t="s">
        <v>136</v>
      </c>
      <c r="H2" s="83" t="s">
        <v>137</v>
      </c>
      <c r="I2" s="83" t="s">
        <v>138</v>
      </c>
      <c r="J2" s="83" t="s">
        <v>139</v>
      </c>
      <c r="K2" s="83" t="s">
        <v>140</v>
      </c>
      <c r="L2" s="83" t="s">
        <v>141</v>
      </c>
      <c r="M2" s="83" t="s">
        <v>142</v>
      </c>
      <c r="N2" s="83" t="s">
        <v>143</v>
      </c>
      <c r="O2" s="83" t="s">
        <v>144</v>
      </c>
      <c r="P2" s="83" t="s">
        <v>145</v>
      </c>
      <c r="Q2" s="83" t="s">
        <v>146</v>
      </c>
      <c r="R2" s="83" t="s">
        <v>147</v>
      </c>
      <c r="S2" s="83"/>
      <c r="T2" s="84" t="s">
        <v>119</v>
      </c>
      <c r="U2" s="84"/>
    </row>
    <row r="3">
      <c r="A3" s="85">
        <v>1.0</v>
      </c>
      <c r="B3" s="35"/>
      <c r="C3" s="35"/>
      <c r="D3" s="86"/>
      <c r="E3" s="35"/>
      <c r="F3" s="86"/>
      <c r="G3" s="35"/>
      <c r="H3" s="85"/>
      <c r="I3" s="85"/>
      <c r="J3" s="87" t="str">
        <f t="shared" ref="J3:J77" si="1">IFERROR(__xludf.DUMMYFUNCTION("if(isblank(B3),,Max(if(right(G3,1)=""g"",split(G3,""g""),),if(right(H3,1)=""g"",split(H3,""g""),),if(right(I3,1)=""g"",split(I3,""g""),)))"),"")</f>
        <v/>
      </c>
      <c r="K3" s="35"/>
      <c r="L3" s="88"/>
      <c r="M3" s="88"/>
      <c r="N3" s="87" t="str">
        <f t="shared" ref="N3:N77" si="2">IFERROR(__xludf.DUMMYFUNCTION("if(isblank($B3),,Max(if(right(K3,1)=""g"",split(K3,""g""),),if(right(L3,1)=""g"",split(L3,""g""),),if(right(M3,1)=""g"",split(M3,""g""),)))"),"")</f>
        <v/>
      </c>
      <c r="O3" s="35"/>
      <c r="P3" s="88"/>
      <c r="Q3" s="88"/>
      <c r="R3" s="87" t="str">
        <f t="shared" ref="R3:R77" si="3">IFERROR(__xludf.DUMMYFUNCTION("if(isblank($B3),,Max(if(right(O3,1)=""g"",split(O3,""g""),),if(right(P3,1)=""g"",split(P3,""g""),),if(right(Q3,1)=""g"",split(Q3,""g""),)))"),"")</f>
        <v/>
      </c>
      <c r="S3" s="90" t="str">
        <f t="shared" ref="S3:S77" si="4">if(isblank(F3),,if(or(and(right(G3,1)="x",right(H3,1)="x",right(I3,1)="x"),and(right(K3,1)="x",right(L3,1)="x",right(M3,1)="x"),and(right(O3,1)="x",right(P3,1)="x",right(Q3,1)="x")),0,J3+N3+R3))</f>
        <v/>
      </c>
      <c r="T3" s="91" t="str">
        <f t="shared" ref="T3:T77" si="5">if(isblank(E3),,S3/E3)</f>
        <v/>
      </c>
      <c r="U3" s="85">
        <f t="shared" ref="U3:U77" si="6">countif(G3:Q3,"*g")</f>
        <v>0</v>
      </c>
    </row>
    <row r="4">
      <c r="A4" s="85">
        <v>2.0</v>
      </c>
      <c r="B4" s="35"/>
      <c r="C4" s="35"/>
      <c r="D4" s="86"/>
      <c r="E4" s="35"/>
      <c r="F4" s="86"/>
      <c r="G4" s="35"/>
      <c r="H4" s="85"/>
      <c r="I4" s="85"/>
      <c r="J4" s="87" t="str">
        <f t="shared" si="1"/>
        <v/>
      </c>
      <c r="K4" s="35"/>
      <c r="L4" s="88"/>
      <c r="M4" s="88"/>
      <c r="N4" s="87" t="str">
        <f t="shared" si="2"/>
        <v/>
      </c>
      <c r="O4" s="35"/>
      <c r="P4" s="88"/>
      <c r="Q4" s="88"/>
      <c r="R4" s="87" t="str">
        <f t="shared" si="3"/>
        <v/>
      </c>
      <c r="S4" s="90" t="str">
        <f t="shared" si="4"/>
        <v/>
      </c>
      <c r="T4" s="91" t="str">
        <f t="shared" si="5"/>
        <v/>
      </c>
      <c r="U4" s="85">
        <f t="shared" si="6"/>
        <v>0</v>
      </c>
    </row>
    <row r="5">
      <c r="A5" s="85">
        <v>3.0</v>
      </c>
      <c r="B5" s="35"/>
      <c r="C5" s="35"/>
      <c r="D5" s="86"/>
      <c r="E5" s="35"/>
      <c r="F5" s="86"/>
      <c r="G5" s="35"/>
      <c r="H5" s="85"/>
      <c r="I5" s="85"/>
      <c r="J5" s="87" t="str">
        <f t="shared" si="1"/>
        <v/>
      </c>
      <c r="K5" s="35"/>
      <c r="L5" s="88"/>
      <c r="M5" s="88"/>
      <c r="N5" s="87" t="str">
        <f t="shared" si="2"/>
        <v/>
      </c>
      <c r="O5" s="35"/>
      <c r="P5" s="88"/>
      <c r="Q5" s="88"/>
      <c r="R5" s="87" t="str">
        <f t="shared" si="3"/>
        <v/>
      </c>
      <c r="S5" s="90" t="str">
        <f t="shared" si="4"/>
        <v/>
      </c>
      <c r="T5" s="91" t="str">
        <f t="shared" si="5"/>
        <v/>
      </c>
      <c r="U5" s="85">
        <f t="shared" si="6"/>
        <v>0</v>
      </c>
    </row>
    <row r="6" ht="16.5" customHeight="1">
      <c r="A6" s="85">
        <v>4.0</v>
      </c>
      <c r="B6" s="35"/>
      <c r="C6" s="35"/>
      <c r="D6" s="86"/>
      <c r="E6" s="35"/>
      <c r="F6" s="86"/>
      <c r="G6" s="35"/>
      <c r="H6" s="85"/>
      <c r="I6" s="85"/>
      <c r="J6" s="87" t="str">
        <f t="shared" si="1"/>
        <v/>
      </c>
      <c r="K6" s="35"/>
      <c r="L6" s="88"/>
      <c r="M6" s="88"/>
      <c r="N6" s="87" t="str">
        <f t="shared" si="2"/>
        <v/>
      </c>
      <c r="O6" s="35"/>
      <c r="P6" s="88"/>
      <c r="Q6" s="88"/>
      <c r="R6" s="87" t="str">
        <f t="shared" si="3"/>
        <v/>
      </c>
      <c r="S6" s="90" t="str">
        <f t="shared" si="4"/>
        <v/>
      </c>
      <c r="T6" s="91" t="str">
        <f t="shared" si="5"/>
        <v/>
      </c>
      <c r="U6" s="85">
        <f t="shared" si="6"/>
        <v>0</v>
      </c>
    </row>
    <row r="7">
      <c r="A7" s="85">
        <v>5.0</v>
      </c>
      <c r="B7" s="35"/>
      <c r="C7" s="35"/>
      <c r="D7" s="86"/>
      <c r="E7" s="35"/>
      <c r="F7" s="86"/>
      <c r="G7" s="35"/>
      <c r="H7" s="85"/>
      <c r="I7" s="85"/>
      <c r="J7" s="87" t="str">
        <f t="shared" si="1"/>
        <v/>
      </c>
      <c r="K7" s="35"/>
      <c r="L7" s="88"/>
      <c r="M7" s="88"/>
      <c r="N7" s="87" t="str">
        <f t="shared" si="2"/>
        <v/>
      </c>
      <c r="O7" s="35"/>
      <c r="P7" s="88"/>
      <c r="Q7" s="88"/>
      <c r="R7" s="87" t="str">
        <f t="shared" si="3"/>
        <v/>
      </c>
      <c r="S7" s="90" t="str">
        <f t="shared" si="4"/>
        <v/>
      </c>
      <c r="T7" s="91" t="str">
        <f t="shared" si="5"/>
        <v/>
      </c>
      <c r="U7" s="85">
        <f t="shared" si="6"/>
        <v>0</v>
      </c>
    </row>
    <row r="8">
      <c r="A8" s="85">
        <v>6.0</v>
      </c>
      <c r="B8" s="35"/>
      <c r="C8" s="35"/>
      <c r="D8" s="86"/>
      <c r="E8" s="35"/>
      <c r="F8" s="86"/>
      <c r="G8" s="35"/>
      <c r="H8" s="85"/>
      <c r="I8" s="89"/>
      <c r="J8" s="87" t="str">
        <f t="shared" si="1"/>
        <v/>
      </c>
      <c r="K8" s="35"/>
      <c r="L8" s="88"/>
      <c r="M8" s="88"/>
      <c r="N8" s="87" t="str">
        <f t="shared" si="2"/>
        <v/>
      </c>
      <c r="O8" s="35"/>
      <c r="P8" s="88"/>
      <c r="Q8" s="88"/>
      <c r="R8" s="87" t="str">
        <f t="shared" si="3"/>
        <v/>
      </c>
      <c r="S8" s="90" t="str">
        <f t="shared" si="4"/>
        <v/>
      </c>
      <c r="T8" s="91" t="str">
        <f t="shared" si="5"/>
        <v/>
      </c>
      <c r="U8" s="85">
        <f t="shared" si="6"/>
        <v>0</v>
      </c>
    </row>
    <row r="9">
      <c r="A9" s="85">
        <v>7.0</v>
      </c>
      <c r="B9" s="35"/>
      <c r="C9" s="35"/>
      <c r="D9" s="86"/>
      <c r="E9" s="35"/>
      <c r="F9" s="86"/>
      <c r="G9" s="35"/>
      <c r="H9" s="85"/>
      <c r="I9" s="85"/>
      <c r="J9" s="87" t="str">
        <f t="shared" si="1"/>
        <v/>
      </c>
      <c r="K9" s="35"/>
      <c r="L9" s="88"/>
      <c r="M9" s="88"/>
      <c r="N9" s="87" t="str">
        <f t="shared" si="2"/>
        <v/>
      </c>
      <c r="O9" s="35"/>
      <c r="P9" s="88"/>
      <c r="Q9" s="88"/>
      <c r="R9" s="87" t="str">
        <f t="shared" si="3"/>
        <v/>
      </c>
      <c r="S9" s="90" t="str">
        <f t="shared" si="4"/>
        <v/>
      </c>
      <c r="T9" s="91" t="str">
        <f t="shared" si="5"/>
        <v/>
      </c>
      <c r="U9" s="85">
        <f t="shared" si="6"/>
        <v>0</v>
      </c>
    </row>
    <row r="10">
      <c r="A10" s="85">
        <v>8.0</v>
      </c>
      <c r="B10" s="35"/>
      <c r="C10" s="35"/>
      <c r="D10" s="86"/>
      <c r="E10" s="35"/>
      <c r="F10" s="86"/>
      <c r="G10" s="35"/>
      <c r="H10" s="85"/>
      <c r="I10" s="85"/>
      <c r="J10" s="87" t="str">
        <f t="shared" si="1"/>
        <v/>
      </c>
      <c r="K10" s="35"/>
      <c r="L10" s="88"/>
      <c r="M10" s="88"/>
      <c r="N10" s="87" t="str">
        <f t="shared" si="2"/>
        <v/>
      </c>
      <c r="O10" s="35"/>
      <c r="P10" s="88"/>
      <c r="Q10" s="88"/>
      <c r="R10" s="87" t="str">
        <f t="shared" si="3"/>
        <v/>
      </c>
      <c r="S10" s="90" t="str">
        <f t="shared" si="4"/>
        <v/>
      </c>
      <c r="T10" s="91" t="str">
        <f t="shared" si="5"/>
        <v/>
      </c>
      <c r="U10" s="85">
        <f t="shared" si="6"/>
        <v>0</v>
      </c>
    </row>
    <row r="11">
      <c r="A11" s="85">
        <v>9.0</v>
      </c>
      <c r="B11" s="35"/>
      <c r="C11" s="35"/>
      <c r="D11" s="86"/>
      <c r="E11" s="35"/>
      <c r="F11" s="86"/>
      <c r="G11" s="35"/>
      <c r="H11" s="85"/>
      <c r="I11" s="85"/>
      <c r="J11" s="87" t="str">
        <f t="shared" si="1"/>
        <v/>
      </c>
      <c r="K11" s="35"/>
      <c r="L11" s="88"/>
      <c r="M11" s="88"/>
      <c r="N11" s="87" t="str">
        <f t="shared" si="2"/>
        <v/>
      </c>
      <c r="O11" s="35"/>
      <c r="P11" s="88"/>
      <c r="Q11" s="88"/>
      <c r="R11" s="87" t="str">
        <f t="shared" si="3"/>
        <v/>
      </c>
      <c r="S11" s="90" t="str">
        <f t="shared" si="4"/>
        <v/>
      </c>
      <c r="T11" s="91" t="str">
        <f t="shared" si="5"/>
        <v/>
      </c>
      <c r="U11" s="85">
        <f t="shared" si="6"/>
        <v>0</v>
      </c>
    </row>
    <row r="12">
      <c r="A12" s="85">
        <v>10.0</v>
      </c>
      <c r="B12" s="35"/>
      <c r="C12" s="35"/>
      <c r="D12" s="86"/>
      <c r="E12" s="35"/>
      <c r="F12" s="86"/>
      <c r="G12" s="35"/>
      <c r="H12" s="85"/>
      <c r="I12" s="85"/>
      <c r="J12" s="87" t="str">
        <f t="shared" si="1"/>
        <v/>
      </c>
      <c r="K12" s="35"/>
      <c r="L12" s="88"/>
      <c r="M12" s="85"/>
      <c r="N12" s="87" t="str">
        <f t="shared" si="2"/>
        <v/>
      </c>
      <c r="O12" s="35"/>
      <c r="P12" s="88"/>
      <c r="Q12" s="85"/>
      <c r="R12" s="87" t="str">
        <f t="shared" si="3"/>
        <v/>
      </c>
      <c r="S12" s="90" t="str">
        <f t="shared" si="4"/>
        <v/>
      </c>
      <c r="T12" s="91" t="str">
        <f t="shared" si="5"/>
        <v/>
      </c>
      <c r="U12" s="85">
        <f t="shared" si="6"/>
        <v>0</v>
      </c>
    </row>
    <row r="13">
      <c r="A13" s="85">
        <v>11.0</v>
      </c>
      <c r="B13" s="35"/>
      <c r="C13" s="35"/>
      <c r="D13" s="86"/>
      <c r="E13" s="35"/>
      <c r="F13" s="86"/>
      <c r="G13" s="35"/>
      <c r="H13" s="85"/>
      <c r="I13" s="85"/>
      <c r="J13" s="87" t="str">
        <f t="shared" si="1"/>
        <v/>
      </c>
      <c r="K13" s="35"/>
      <c r="L13" s="88"/>
      <c r="M13" s="88"/>
      <c r="N13" s="87" t="str">
        <f t="shared" si="2"/>
        <v/>
      </c>
      <c r="O13" s="35"/>
      <c r="P13" s="88"/>
      <c r="Q13" s="88"/>
      <c r="R13" s="87" t="str">
        <f t="shared" si="3"/>
        <v/>
      </c>
      <c r="S13" s="90" t="str">
        <f t="shared" si="4"/>
        <v/>
      </c>
      <c r="T13" s="91" t="str">
        <f t="shared" si="5"/>
        <v/>
      </c>
      <c r="U13" s="85">
        <f t="shared" si="6"/>
        <v>0</v>
      </c>
    </row>
    <row r="14">
      <c r="A14" s="85">
        <v>12.0</v>
      </c>
      <c r="B14" s="35"/>
      <c r="C14" s="35"/>
      <c r="D14" s="86"/>
      <c r="E14" s="35"/>
      <c r="F14" s="86"/>
      <c r="G14" s="35"/>
      <c r="H14" s="85"/>
      <c r="I14" s="85"/>
      <c r="J14" s="87" t="str">
        <f t="shared" si="1"/>
        <v/>
      </c>
      <c r="K14" s="35"/>
      <c r="L14" s="88"/>
      <c r="M14" s="88"/>
      <c r="N14" s="87" t="str">
        <f t="shared" si="2"/>
        <v/>
      </c>
      <c r="O14" s="35"/>
      <c r="P14" s="88"/>
      <c r="Q14" s="88"/>
      <c r="R14" s="87" t="str">
        <f t="shared" si="3"/>
        <v/>
      </c>
      <c r="S14" s="90" t="str">
        <f t="shared" si="4"/>
        <v/>
      </c>
      <c r="T14" s="91" t="str">
        <f t="shared" si="5"/>
        <v/>
      </c>
      <c r="U14" s="85">
        <f t="shared" si="6"/>
        <v>0</v>
      </c>
    </row>
    <row r="15">
      <c r="A15" s="85">
        <v>13.0</v>
      </c>
      <c r="B15" s="35"/>
      <c r="C15" s="35"/>
      <c r="D15" s="86"/>
      <c r="E15" s="35"/>
      <c r="F15" s="86"/>
      <c r="G15" s="35"/>
      <c r="H15" s="85"/>
      <c r="I15" s="85"/>
      <c r="J15" s="87" t="str">
        <f t="shared" si="1"/>
        <v/>
      </c>
      <c r="K15" s="35"/>
      <c r="L15" s="88"/>
      <c r="M15" s="88"/>
      <c r="N15" s="87" t="str">
        <f t="shared" si="2"/>
        <v/>
      </c>
      <c r="O15" s="35"/>
      <c r="P15" s="88"/>
      <c r="Q15" s="88"/>
      <c r="R15" s="87" t="str">
        <f t="shared" si="3"/>
        <v/>
      </c>
      <c r="S15" s="90" t="str">
        <f t="shared" si="4"/>
        <v/>
      </c>
      <c r="T15" s="91" t="str">
        <f t="shared" si="5"/>
        <v/>
      </c>
      <c r="U15" s="85">
        <f t="shared" si="6"/>
        <v>0</v>
      </c>
    </row>
    <row r="16">
      <c r="A16" s="85">
        <v>14.0</v>
      </c>
      <c r="B16" s="35"/>
      <c r="C16" s="35"/>
      <c r="D16" s="86"/>
      <c r="E16" s="35"/>
      <c r="F16" s="86"/>
      <c r="G16" s="35"/>
      <c r="H16" s="85"/>
      <c r="I16" s="85"/>
      <c r="J16" s="87" t="str">
        <f t="shared" si="1"/>
        <v/>
      </c>
      <c r="K16" s="35"/>
      <c r="L16" s="88"/>
      <c r="M16" s="88"/>
      <c r="N16" s="87" t="str">
        <f t="shared" si="2"/>
        <v/>
      </c>
      <c r="O16" s="35"/>
      <c r="P16" s="88"/>
      <c r="Q16" s="88"/>
      <c r="R16" s="87" t="str">
        <f t="shared" si="3"/>
        <v/>
      </c>
      <c r="S16" s="90" t="str">
        <f t="shared" si="4"/>
        <v/>
      </c>
      <c r="T16" s="91" t="str">
        <f t="shared" si="5"/>
        <v/>
      </c>
      <c r="U16" s="85">
        <f t="shared" si="6"/>
        <v>0</v>
      </c>
    </row>
    <row r="17">
      <c r="A17" s="85">
        <v>15.0</v>
      </c>
      <c r="B17" s="35"/>
      <c r="C17" s="35"/>
      <c r="D17" s="86"/>
      <c r="E17" s="35"/>
      <c r="F17" s="86"/>
      <c r="G17" s="35"/>
      <c r="H17" s="85"/>
      <c r="I17" s="85"/>
      <c r="J17" s="87" t="str">
        <f t="shared" si="1"/>
        <v/>
      </c>
      <c r="K17" s="35"/>
      <c r="L17" s="88"/>
      <c r="M17" s="88"/>
      <c r="N17" s="87" t="str">
        <f t="shared" si="2"/>
        <v/>
      </c>
      <c r="O17" s="35"/>
      <c r="P17" s="88"/>
      <c r="Q17" s="88"/>
      <c r="R17" s="87" t="str">
        <f t="shared" si="3"/>
        <v/>
      </c>
      <c r="S17" s="90" t="str">
        <f t="shared" si="4"/>
        <v/>
      </c>
      <c r="T17" s="91" t="str">
        <f t="shared" si="5"/>
        <v/>
      </c>
      <c r="U17" s="85">
        <f t="shared" si="6"/>
        <v>0</v>
      </c>
    </row>
    <row r="18">
      <c r="A18" s="85">
        <v>16.0</v>
      </c>
      <c r="B18" s="35"/>
      <c r="C18" s="35"/>
      <c r="D18" s="86"/>
      <c r="E18" s="35"/>
      <c r="F18" s="86"/>
      <c r="G18" s="35"/>
      <c r="H18" s="85"/>
      <c r="I18" s="85"/>
      <c r="J18" s="87" t="str">
        <f t="shared" si="1"/>
        <v/>
      </c>
      <c r="K18" s="35"/>
      <c r="L18" s="88"/>
      <c r="M18" s="88"/>
      <c r="N18" s="87" t="str">
        <f t="shared" si="2"/>
        <v/>
      </c>
      <c r="O18" s="35"/>
      <c r="P18" s="88"/>
      <c r="Q18" s="88"/>
      <c r="R18" s="87" t="str">
        <f t="shared" si="3"/>
        <v/>
      </c>
      <c r="S18" s="90" t="str">
        <f t="shared" si="4"/>
        <v/>
      </c>
      <c r="T18" s="91" t="str">
        <f t="shared" si="5"/>
        <v/>
      </c>
      <c r="U18" s="85">
        <f t="shared" si="6"/>
        <v>0</v>
      </c>
    </row>
    <row r="19">
      <c r="A19" s="85">
        <v>17.0</v>
      </c>
      <c r="B19" s="35"/>
      <c r="C19" s="35"/>
      <c r="D19" s="86"/>
      <c r="E19" s="35"/>
      <c r="F19" s="86"/>
      <c r="G19" s="35"/>
      <c r="H19" s="85"/>
      <c r="I19" s="85"/>
      <c r="J19" s="87" t="str">
        <f t="shared" si="1"/>
        <v/>
      </c>
      <c r="K19" s="35"/>
      <c r="L19" s="88"/>
      <c r="M19" s="85"/>
      <c r="N19" s="87" t="str">
        <f t="shared" si="2"/>
        <v/>
      </c>
      <c r="O19" s="35"/>
      <c r="P19" s="88"/>
      <c r="Q19" s="85"/>
      <c r="R19" s="87" t="str">
        <f t="shared" si="3"/>
        <v/>
      </c>
      <c r="S19" s="90" t="str">
        <f t="shared" si="4"/>
        <v/>
      </c>
      <c r="T19" s="91" t="str">
        <f t="shared" si="5"/>
        <v/>
      </c>
      <c r="U19" s="85">
        <f t="shared" si="6"/>
        <v>0</v>
      </c>
    </row>
    <row r="20">
      <c r="A20" s="85">
        <v>18.0</v>
      </c>
      <c r="B20" s="35"/>
      <c r="C20" s="35"/>
      <c r="D20" s="86"/>
      <c r="E20" s="35"/>
      <c r="F20" s="86"/>
      <c r="G20" s="35"/>
      <c r="H20" s="85"/>
      <c r="I20" s="85"/>
      <c r="J20" s="87" t="str">
        <f t="shared" si="1"/>
        <v/>
      </c>
      <c r="K20" s="35"/>
      <c r="L20" s="88"/>
      <c r="M20" s="89"/>
      <c r="N20" s="87" t="str">
        <f t="shared" si="2"/>
        <v/>
      </c>
      <c r="O20" s="35"/>
      <c r="P20" s="88"/>
      <c r="Q20" s="88"/>
      <c r="R20" s="87" t="str">
        <f t="shared" si="3"/>
        <v/>
      </c>
      <c r="S20" s="90" t="str">
        <f t="shared" si="4"/>
        <v/>
      </c>
      <c r="T20" s="91" t="str">
        <f t="shared" si="5"/>
        <v/>
      </c>
      <c r="U20" s="85">
        <f t="shared" si="6"/>
        <v>0</v>
      </c>
    </row>
    <row r="21">
      <c r="A21" s="85">
        <v>19.0</v>
      </c>
      <c r="B21" s="35"/>
      <c r="C21" s="35"/>
      <c r="D21" s="86"/>
      <c r="E21" s="35"/>
      <c r="F21" s="86"/>
      <c r="G21" s="35"/>
      <c r="H21" s="85"/>
      <c r="I21" s="85"/>
      <c r="J21" s="87" t="str">
        <f t="shared" si="1"/>
        <v/>
      </c>
      <c r="K21" s="35"/>
      <c r="L21" s="88"/>
      <c r="M21" s="85"/>
      <c r="N21" s="87" t="str">
        <f t="shared" si="2"/>
        <v/>
      </c>
      <c r="O21" s="35"/>
      <c r="P21" s="88"/>
      <c r="Q21" s="85"/>
      <c r="R21" s="87" t="str">
        <f t="shared" si="3"/>
        <v/>
      </c>
      <c r="S21" s="90" t="str">
        <f t="shared" si="4"/>
        <v/>
      </c>
      <c r="T21" s="91" t="str">
        <f t="shared" si="5"/>
        <v/>
      </c>
      <c r="U21" s="85">
        <f t="shared" si="6"/>
        <v>0</v>
      </c>
    </row>
    <row r="22">
      <c r="A22" s="85">
        <v>20.0</v>
      </c>
      <c r="B22" s="35"/>
      <c r="C22" s="35"/>
      <c r="D22" s="86"/>
      <c r="E22" s="35"/>
      <c r="F22" s="86"/>
      <c r="G22" s="35"/>
      <c r="H22" s="85"/>
      <c r="I22" s="85"/>
      <c r="J22" s="87" t="str">
        <f t="shared" si="1"/>
        <v/>
      </c>
      <c r="K22" s="35"/>
      <c r="L22" s="88"/>
      <c r="M22" s="88"/>
      <c r="N22" s="87" t="str">
        <f t="shared" si="2"/>
        <v/>
      </c>
      <c r="O22" s="35"/>
      <c r="P22" s="88"/>
      <c r="Q22" s="88"/>
      <c r="R22" s="87" t="str">
        <f t="shared" si="3"/>
        <v/>
      </c>
      <c r="S22" s="90" t="str">
        <f t="shared" si="4"/>
        <v/>
      </c>
      <c r="T22" s="91" t="str">
        <f t="shared" si="5"/>
        <v/>
      </c>
      <c r="U22" s="85">
        <f t="shared" si="6"/>
        <v>0</v>
      </c>
    </row>
    <row r="23">
      <c r="A23" s="85">
        <v>21.0</v>
      </c>
      <c r="B23" s="35"/>
      <c r="C23" s="35"/>
      <c r="D23" s="86"/>
      <c r="E23" s="35"/>
      <c r="F23" s="86"/>
      <c r="G23" s="35"/>
      <c r="H23" s="85"/>
      <c r="I23" s="85"/>
      <c r="J23" s="87" t="str">
        <f t="shared" si="1"/>
        <v/>
      </c>
      <c r="K23" s="35"/>
      <c r="L23" s="88"/>
      <c r="M23" s="88"/>
      <c r="N23" s="87" t="str">
        <f t="shared" si="2"/>
        <v/>
      </c>
      <c r="O23" s="35"/>
      <c r="P23" s="88"/>
      <c r="Q23" s="88"/>
      <c r="R23" s="87" t="str">
        <f t="shared" si="3"/>
        <v/>
      </c>
      <c r="S23" s="90" t="str">
        <f t="shared" si="4"/>
        <v/>
      </c>
      <c r="T23" s="91" t="str">
        <f t="shared" si="5"/>
        <v/>
      </c>
      <c r="U23" s="85">
        <f t="shared" si="6"/>
        <v>0</v>
      </c>
    </row>
    <row r="24">
      <c r="A24" s="85">
        <v>22.0</v>
      </c>
      <c r="B24" s="35"/>
      <c r="C24" s="35"/>
      <c r="D24" s="86"/>
      <c r="E24" s="35"/>
      <c r="F24" s="86"/>
      <c r="G24" s="35"/>
      <c r="H24" s="85"/>
      <c r="I24" s="85"/>
      <c r="J24" s="87" t="str">
        <f t="shared" si="1"/>
        <v/>
      </c>
      <c r="K24" s="35"/>
      <c r="L24" s="88"/>
      <c r="M24" s="88"/>
      <c r="N24" s="87" t="str">
        <f t="shared" si="2"/>
        <v/>
      </c>
      <c r="O24" s="35"/>
      <c r="P24" s="88"/>
      <c r="Q24" s="88"/>
      <c r="R24" s="87" t="str">
        <f t="shared" si="3"/>
        <v/>
      </c>
      <c r="S24" s="90" t="str">
        <f t="shared" si="4"/>
        <v/>
      </c>
      <c r="T24" s="91" t="str">
        <f t="shared" si="5"/>
        <v/>
      </c>
      <c r="U24" s="85">
        <f t="shared" si="6"/>
        <v>0</v>
      </c>
    </row>
    <row r="25">
      <c r="A25" s="85">
        <v>23.0</v>
      </c>
      <c r="B25" s="35"/>
      <c r="C25" s="35"/>
      <c r="D25" s="86"/>
      <c r="E25" s="35"/>
      <c r="F25" s="86"/>
      <c r="G25" s="35"/>
      <c r="H25" s="85"/>
      <c r="I25" s="85"/>
      <c r="J25" s="87" t="str">
        <f t="shared" si="1"/>
        <v/>
      </c>
      <c r="K25" s="35"/>
      <c r="L25" s="88"/>
      <c r="M25" s="88"/>
      <c r="N25" s="87" t="str">
        <f t="shared" si="2"/>
        <v/>
      </c>
      <c r="O25" s="35"/>
      <c r="P25" s="88"/>
      <c r="Q25" s="88"/>
      <c r="R25" s="87" t="str">
        <f t="shared" si="3"/>
        <v/>
      </c>
      <c r="S25" s="90" t="str">
        <f t="shared" si="4"/>
        <v/>
      </c>
      <c r="T25" s="91" t="str">
        <f t="shared" si="5"/>
        <v/>
      </c>
      <c r="U25" s="85">
        <f t="shared" si="6"/>
        <v>0</v>
      </c>
    </row>
    <row r="26">
      <c r="A26" s="85">
        <v>24.0</v>
      </c>
      <c r="B26" s="35"/>
      <c r="C26" s="35"/>
      <c r="D26" s="86"/>
      <c r="E26" s="35"/>
      <c r="F26" s="86"/>
      <c r="G26" s="35"/>
      <c r="H26" s="93"/>
      <c r="I26" s="93"/>
      <c r="J26" s="87" t="str">
        <f t="shared" si="1"/>
        <v/>
      </c>
      <c r="K26" s="93"/>
      <c r="L26" s="93"/>
      <c r="M26" s="93"/>
      <c r="N26" s="87" t="str">
        <f t="shared" si="2"/>
        <v/>
      </c>
      <c r="O26" s="93"/>
      <c r="P26" s="93"/>
      <c r="Q26" s="93"/>
      <c r="R26" s="87" t="str">
        <f t="shared" si="3"/>
        <v/>
      </c>
      <c r="S26" s="90" t="str">
        <f t="shared" si="4"/>
        <v/>
      </c>
      <c r="T26" s="91" t="str">
        <f t="shared" si="5"/>
        <v/>
      </c>
      <c r="U26" s="85">
        <f t="shared" si="6"/>
        <v>0</v>
      </c>
    </row>
    <row r="27">
      <c r="A27" s="85">
        <v>25.0</v>
      </c>
      <c r="B27" s="35"/>
      <c r="C27" s="35"/>
      <c r="D27" s="86"/>
      <c r="E27" s="35"/>
      <c r="F27" s="86"/>
      <c r="G27" s="35"/>
      <c r="H27" s="93"/>
      <c r="I27" s="93"/>
      <c r="J27" s="87" t="str">
        <f t="shared" si="1"/>
        <v/>
      </c>
      <c r="K27" s="93"/>
      <c r="L27" s="93"/>
      <c r="M27" s="93"/>
      <c r="N27" s="87" t="str">
        <f t="shared" si="2"/>
        <v/>
      </c>
      <c r="O27" s="93"/>
      <c r="P27" s="93"/>
      <c r="Q27" s="93"/>
      <c r="R27" s="87" t="str">
        <f t="shared" si="3"/>
        <v/>
      </c>
      <c r="S27" s="90" t="str">
        <f t="shared" si="4"/>
        <v/>
      </c>
      <c r="T27" s="91" t="str">
        <f t="shared" si="5"/>
        <v/>
      </c>
      <c r="U27" s="85">
        <f t="shared" si="6"/>
        <v>0</v>
      </c>
    </row>
    <row r="28">
      <c r="A28" s="85">
        <v>26.0</v>
      </c>
      <c r="B28" s="35"/>
      <c r="C28" s="35"/>
      <c r="D28" s="86"/>
      <c r="E28" s="35"/>
      <c r="F28" s="86"/>
      <c r="G28" s="35"/>
      <c r="H28" s="93"/>
      <c r="I28" s="93"/>
      <c r="J28" s="87" t="str">
        <f t="shared" si="1"/>
        <v/>
      </c>
      <c r="K28" s="93"/>
      <c r="L28" s="93"/>
      <c r="M28" s="93"/>
      <c r="N28" s="87" t="str">
        <f t="shared" si="2"/>
        <v/>
      </c>
      <c r="O28" s="93"/>
      <c r="P28" s="93"/>
      <c r="Q28" s="93"/>
      <c r="R28" s="87" t="str">
        <f t="shared" si="3"/>
        <v/>
      </c>
      <c r="S28" s="90" t="str">
        <f t="shared" si="4"/>
        <v/>
      </c>
      <c r="T28" s="91" t="str">
        <f t="shared" si="5"/>
        <v/>
      </c>
      <c r="U28" s="85">
        <f t="shared" si="6"/>
        <v>0</v>
      </c>
    </row>
    <row r="29">
      <c r="A29" s="85">
        <v>27.0</v>
      </c>
      <c r="B29" s="35"/>
      <c r="C29" s="35"/>
      <c r="D29" s="86"/>
      <c r="E29" s="35"/>
      <c r="F29" s="86"/>
      <c r="G29" s="35"/>
      <c r="H29" s="93"/>
      <c r="I29" s="93"/>
      <c r="J29" s="87" t="str">
        <f t="shared" si="1"/>
        <v/>
      </c>
      <c r="K29" s="93"/>
      <c r="L29" s="93"/>
      <c r="M29" s="93"/>
      <c r="N29" s="87" t="str">
        <f t="shared" si="2"/>
        <v/>
      </c>
      <c r="O29" s="93"/>
      <c r="P29" s="93"/>
      <c r="Q29" s="93"/>
      <c r="R29" s="87" t="str">
        <f t="shared" si="3"/>
        <v/>
      </c>
      <c r="S29" s="90" t="str">
        <f t="shared" si="4"/>
        <v/>
      </c>
      <c r="T29" s="91" t="str">
        <f t="shared" si="5"/>
        <v/>
      </c>
      <c r="U29" s="85">
        <f t="shared" si="6"/>
        <v>0</v>
      </c>
    </row>
    <row r="30">
      <c r="A30" s="85">
        <v>28.0</v>
      </c>
      <c r="B30" s="35"/>
      <c r="C30" s="35"/>
      <c r="D30" s="86"/>
      <c r="E30" s="35"/>
      <c r="F30" s="86"/>
      <c r="G30" s="35"/>
      <c r="H30" s="93"/>
      <c r="I30" s="93"/>
      <c r="J30" s="87" t="str">
        <f t="shared" si="1"/>
        <v/>
      </c>
      <c r="K30" s="93"/>
      <c r="L30" s="93"/>
      <c r="M30" s="93"/>
      <c r="N30" s="87" t="str">
        <f t="shared" si="2"/>
        <v/>
      </c>
      <c r="O30" s="93"/>
      <c r="P30" s="93"/>
      <c r="Q30" s="93"/>
      <c r="R30" s="87" t="str">
        <f t="shared" si="3"/>
        <v/>
      </c>
      <c r="S30" s="90" t="str">
        <f t="shared" si="4"/>
        <v/>
      </c>
      <c r="T30" s="91" t="str">
        <f t="shared" si="5"/>
        <v/>
      </c>
      <c r="U30" s="85">
        <f t="shared" si="6"/>
        <v>0</v>
      </c>
    </row>
    <row r="31">
      <c r="A31" s="85">
        <v>29.0</v>
      </c>
      <c r="B31" s="35"/>
      <c r="C31" s="35"/>
      <c r="D31" s="86"/>
      <c r="E31" s="35"/>
      <c r="F31" s="86"/>
      <c r="G31" s="35"/>
      <c r="H31" s="93"/>
      <c r="I31" s="93"/>
      <c r="J31" s="87" t="str">
        <f t="shared" si="1"/>
        <v/>
      </c>
      <c r="K31" s="93"/>
      <c r="L31" s="93"/>
      <c r="M31" s="93"/>
      <c r="N31" s="87" t="str">
        <f t="shared" si="2"/>
        <v/>
      </c>
      <c r="O31" s="93"/>
      <c r="P31" s="93"/>
      <c r="Q31" s="93"/>
      <c r="R31" s="87" t="str">
        <f t="shared" si="3"/>
        <v/>
      </c>
      <c r="S31" s="90" t="str">
        <f t="shared" si="4"/>
        <v/>
      </c>
      <c r="T31" s="91" t="str">
        <f t="shared" si="5"/>
        <v/>
      </c>
      <c r="U31" s="85">
        <f t="shared" si="6"/>
        <v>0</v>
      </c>
    </row>
    <row r="32">
      <c r="A32" s="85">
        <v>30.0</v>
      </c>
      <c r="B32" s="35"/>
      <c r="C32" s="35"/>
      <c r="D32" s="86"/>
      <c r="E32" s="35"/>
      <c r="F32" s="86"/>
      <c r="G32" s="35"/>
      <c r="H32" s="93"/>
      <c r="I32" s="93"/>
      <c r="J32" s="87" t="str">
        <f t="shared" si="1"/>
        <v/>
      </c>
      <c r="K32" s="93"/>
      <c r="L32" s="93"/>
      <c r="M32" s="93"/>
      <c r="N32" s="87" t="str">
        <f t="shared" si="2"/>
        <v/>
      </c>
      <c r="O32" s="93"/>
      <c r="P32" s="93"/>
      <c r="Q32" s="93"/>
      <c r="R32" s="87" t="str">
        <f t="shared" si="3"/>
        <v/>
      </c>
      <c r="S32" s="90" t="str">
        <f t="shared" si="4"/>
        <v/>
      </c>
      <c r="T32" s="91" t="str">
        <f t="shared" si="5"/>
        <v/>
      </c>
      <c r="U32" s="85">
        <f t="shared" si="6"/>
        <v>0</v>
      </c>
    </row>
    <row r="33">
      <c r="A33" s="85">
        <v>31.0</v>
      </c>
      <c r="B33" s="35"/>
      <c r="C33" s="35"/>
      <c r="D33" s="86"/>
      <c r="E33" s="35"/>
      <c r="F33" s="86"/>
      <c r="G33" s="35"/>
      <c r="H33" s="93"/>
      <c r="I33" s="93"/>
      <c r="J33" s="87" t="str">
        <f t="shared" si="1"/>
        <v/>
      </c>
      <c r="K33" s="93"/>
      <c r="L33" s="93"/>
      <c r="M33" s="93"/>
      <c r="N33" s="87" t="str">
        <f t="shared" si="2"/>
        <v/>
      </c>
      <c r="O33" s="93"/>
      <c r="P33" s="93"/>
      <c r="Q33" s="93"/>
      <c r="R33" s="87" t="str">
        <f t="shared" si="3"/>
        <v/>
      </c>
      <c r="S33" s="90" t="str">
        <f t="shared" si="4"/>
        <v/>
      </c>
      <c r="T33" s="91" t="str">
        <f t="shared" si="5"/>
        <v/>
      </c>
      <c r="U33" s="85">
        <f t="shared" si="6"/>
        <v>0</v>
      </c>
    </row>
    <row r="34">
      <c r="A34" s="85">
        <v>32.0</v>
      </c>
      <c r="B34" s="35"/>
      <c r="C34" s="35"/>
      <c r="D34" s="86"/>
      <c r="E34" s="35"/>
      <c r="F34" s="86"/>
      <c r="G34" s="35"/>
      <c r="H34" s="93"/>
      <c r="I34" s="93"/>
      <c r="J34" s="87" t="str">
        <f t="shared" si="1"/>
        <v/>
      </c>
      <c r="K34" s="93"/>
      <c r="L34" s="93"/>
      <c r="M34" s="93"/>
      <c r="N34" s="87" t="str">
        <f t="shared" si="2"/>
        <v/>
      </c>
      <c r="O34" s="93"/>
      <c r="P34" s="93"/>
      <c r="Q34" s="93"/>
      <c r="R34" s="87" t="str">
        <f t="shared" si="3"/>
        <v/>
      </c>
      <c r="S34" s="90" t="str">
        <f t="shared" si="4"/>
        <v/>
      </c>
      <c r="T34" s="91" t="str">
        <f t="shared" si="5"/>
        <v/>
      </c>
      <c r="U34" s="85">
        <f t="shared" si="6"/>
        <v>0</v>
      </c>
    </row>
    <row r="35">
      <c r="A35" s="85">
        <v>33.0</v>
      </c>
      <c r="B35" s="35"/>
      <c r="C35" s="65"/>
      <c r="D35" s="76"/>
      <c r="E35" s="93"/>
      <c r="F35" s="76"/>
      <c r="G35" s="93"/>
      <c r="H35" s="93"/>
      <c r="I35" s="93"/>
      <c r="J35" s="87" t="str">
        <f t="shared" si="1"/>
        <v/>
      </c>
      <c r="K35" s="93"/>
      <c r="L35" s="93"/>
      <c r="M35" s="93"/>
      <c r="N35" s="87" t="str">
        <f t="shared" si="2"/>
        <v/>
      </c>
      <c r="O35" s="93"/>
      <c r="P35" s="93"/>
      <c r="Q35" s="93"/>
      <c r="R35" s="87" t="str">
        <f t="shared" si="3"/>
        <v/>
      </c>
      <c r="S35" s="90" t="str">
        <f t="shared" si="4"/>
        <v/>
      </c>
      <c r="T35" s="91" t="str">
        <f t="shared" si="5"/>
        <v/>
      </c>
      <c r="U35" s="85">
        <f t="shared" si="6"/>
        <v>0</v>
      </c>
    </row>
    <row r="36">
      <c r="A36" s="85">
        <v>34.0</v>
      </c>
      <c r="B36" s="35"/>
      <c r="C36" s="65"/>
      <c r="D36" s="76"/>
      <c r="E36" s="93"/>
      <c r="F36" s="76"/>
      <c r="G36" s="93"/>
      <c r="H36" s="93"/>
      <c r="I36" s="93"/>
      <c r="J36" s="87" t="str">
        <f t="shared" si="1"/>
        <v/>
      </c>
      <c r="K36" s="93"/>
      <c r="L36" s="93"/>
      <c r="M36" s="93"/>
      <c r="N36" s="87" t="str">
        <f t="shared" si="2"/>
        <v/>
      </c>
      <c r="O36" s="93"/>
      <c r="P36" s="93"/>
      <c r="Q36" s="93"/>
      <c r="R36" s="87" t="str">
        <f t="shared" si="3"/>
        <v/>
      </c>
      <c r="S36" s="90" t="str">
        <f t="shared" si="4"/>
        <v/>
      </c>
      <c r="T36" s="91" t="str">
        <f t="shared" si="5"/>
        <v/>
      </c>
      <c r="U36" s="85">
        <f t="shared" si="6"/>
        <v>0</v>
      </c>
    </row>
    <row r="37">
      <c r="A37" s="85">
        <v>35.0</v>
      </c>
      <c r="B37" s="35"/>
      <c r="C37" s="65"/>
      <c r="D37" s="76"/>
      <c r="E37" s="93"/>
      <c r="F37" s="76"/>
      <c r="G37" s="93"/>
      <c r="H37" s="93"/>
      <c r="I37" s="93"/>
      <c r="J37" s="87" t="str">
        <f t="shared" si="1"/>
        <v/>
      </c>
      <c r="K37" s="93"/>
      <c r="L37" s="93"/>
      <c r="M37" s="93"/>
      <c r="N37" s="87" t="str">
        <f t="shared" si="2"/>
        <v/>
      </c>
      <c r="O37" s="93"/>
      <c r="P37" s="93"/>
      <c r="Q37" s="93"/>
      <c r="R37" s="87" t="str">
        <f t="shared" si="3"/>
        <v/>
      </c>
      <c r="S37" s="90" t="str">
        <f t="shared" si="4"/>
        <v/>
      </c>
      <c r="T37" s="91" t="str">
        <f t="shared" si="5"/>
        <v/>
      </c>
      <c r="U37" s="85">
        <f t="shared" si="6"/>
        <v>0</v>
      </c>
    </row>
    <row r="38">
      <c r="A38" s="85">
        <v>36.0</v>
      </c>
      <c r="B38" s="35"/>
      <c r="C38" s="65"/>
      <c r="D38" s="76"/>
      <c r="E38" s="93"/>
      <c r="F38" s="76"/>
      <c r="G38" s="93"/>
      <c r="H38" s="93"/>
      <c r="I38" s="93"/>
      <c r="J38" s="87" t="str">
        <f t="shared" si="1"/>
        <v/>
      </c>
      <c r="K38" s="93"/>
      <c r="L38" s="93"/>
      <c r="M38" s="93"/>
      <c r="N38" s="87" t="str">
        <f t="shared" si="2"/>
        <v/>
      </c>
      <c r="O38" s="93"/>
      <c r="P38" s="93"/>
      <c r="Q38" s="93"/>
      <c r="R38" s="87" t="str">
        <f t="shared" si="3"/>
        <v/>
      </c>
      <c r="S38" s="90" t="str">
        <f t="shared" si="4"/>
        <v/>
      </c>
      <c r="T38" s="91" t="str">
        <f t="shared" si="5"/>
        <v/>
      </c>
      <c r="U38" s="85">
        <f t="shared" si="6"/>
        <v>0</v>
      </c>
    </row>
    <row r="39">
      <c r="A39" s="85">
        <v>37.0</v>
      </c>
      <c r="B39" s="35"/>
      <c r="C39" s="65"/>
      <c r="D39" s="76"/>
      <c r="E39" s="93"/>
      <c r="F39" s="76"/>
      <c r="G39" s="93"/>
      <c r="H39" s="93"/>
      <c r="I39" s="93"/>
      <c r="J39" s="87" t="str">
        <f t="shared" si="1"/>
        <v/>
      </c>
      <c r="K39" s="93"/>
      <c r="L39" s="93"/>
      <c r="M39" s="93"/>
      <c r="N39" s="87" t="str">
        <f t="shared" si="2"/>
        <v/>
      </c>
      <c r="O39" s="93"/>
      <c r="P39" s="93"/>
      <c r="Q39" s="93"/>
      <c r="R39" s="87" t="str">
        <f t="shared" si="3"/>
        <v/>
      </c>
      <c r="S39" s="90" t="str">
        <f t="shared" si="4"/>
        <v/>
      </c>
      <c r="T39" s="91" t="str">
        <f t="shared" si="5"/>
        <v/>
      </c>
      <c r="U39" s="85">
        <f t="shared" si="6"/>
        <v>0</v>
      </c>
    </row>
    <row r="40">
      <c r="A40" s="85">
        <v>38.0</v>
      </c>
      <c r="B40" s="35"/>
      <c r="C40" s="65"/>
      <c r="D40" s="76"/>
      <c r="E40" s="93"/>
      <c r="F40" s="76"/>
      <c r="G40" s="93"/>
      <c r="H40" s="93"/>
      <c r="I40" s="93"/>
      <c r="J40" s="87" t="str">
        <f t="shared" si="1"/>
        <v/>
      </c>
      <c r="K40" s="93"/>
      <c r="L40" s="93"/>
      <c r="M40" s="93"/>
      <c r="N40" s="87" t="str">
        <f t="shared" si="2"/>
        <v/>
      </c>
      <c r="O40" s="93"/>
      <c r="P40" s="93"/>
      <c r="Q40" s="93"/>
      <c r="R40" s="87" t="str">
        <f t="shared" si="3"/>
        <v/>
      </c>
      <c r="S40" s="90" t="str">
        <f t="shared" si="4"/>
        <v/>
      </c>
      <c r="T40" s="91" t="str">
        <f t="shared" si="5"/>
        <v/>
      </c>
      <c r="U40" s="85">
        <f t="shared" si="6"/>
        <v>0</v>
      </c>
    </row>
    <row r="41">
      <c r="A41" s="85">
        <v>39.0</v>
      </c>
      <c r="B41" s="35"/>
      <c r="C41" s="65"/>
      <c r="D41" s="76"/>
      <c r="E41" s="93"/>
      <c r="F41" s="76"/>
      <c r="G41" s="93"/>
      <c r="H41" s="93"/>
      <c r="I41" s="93"/>
      <c r="J41" s="87" t="str">
        <f t="shared" si="1"/>
        <v/>
      </c>
      <c r="K41" s="93"/>
      <c r="L41" s="93"/>
      <c r="M41" s="93"/>
      <c r="N41" s="87" t="str">
        <f t="shared" si="2"/>
        <v/>
      </c>
      <c r="O41" s="93"/>
      <c r="P41" s="93"/>
      <c r="Q41" s="93"/>
      <c r="R41" s="87" t="str">
        <f t="shared" si="3"/>
        <v/>
      </c>
      <c r="S41" s="90" t="str">
        <f t="shared" si="4"/>
        <v/>
      </c>
      <c r="T41" s="91" t="str">
        <f t="shared" si="5"/>
        <v/>
      </c>
      <c r="U41" s="85">
        <f t="shared" si="6"/>
        <v>0</v>
      </c>
    </row>
    <row r="42">
      <c r="A42" s="85">
        <v>40.0</v>
      </c>
      <c r="B42" s="35"/>
      <c r="C42" s="65"/>
      <c r="D42" s="76"/>
      <c r="E42" s="93"/>
      <c r="F42" s="76"/>
      <c r="G42" s="93"/>
      <c r="H42" s="93"/>
      <c r="I42" s="93"/>
      <c r="J42" s="87" t="str">
        <f t="shared" si="1"/>
        <v/>
      </c>
      <c r="K42" s="93"/>
      <c r="L42" s="93"/>
      <c r="M42" s="93"/>
      <c r="N42" s="87" t="str">
        <f t="shared" si="2"/>
        <v/>
      </c>
      <c r="O42" s="93"/>
      <c r="P42" s="93"/>
      <c r="Q42" s="93"/>
      <c r="R42" s="87" t="str">
        <f t="shared" si="3"/>
        <v/>
      </c>
      <c r="S42" s="90" t="str">
        <f t="shared" si="4"/>
        <v/>
      </c>
      <c r="T42" s="91" t="str">
        <f t="shared" si="5"/>
        <v/>
      </c>
      <c r="U42" s="85">
        <f t="shared" si="6"/>
        <v>0</v>
      </c>
    </row>
    <row r="43">
      <c r="A43" s="85">
        <v>41.0</v>
      </c>
      <c r="B43" s="35"/>
      <c r="C43" s="65"/>
      <c r="D43" s="76"/>
      <c r="E43" s="93"/>
      <c r="F43" s="76"/>
      <c r="G43" s="93"/>
      <c r="H43" s="93"/>
      <c r="I43" s="93"/>
      <c r="J43" s="87" t="str">
        <f t="shared" si="1"/>
        <v/>
      </c>
      <c r="K43" s="93"/>
      <c r="L43" s="93"/>
      <c r="M43" s="93"/>
      <c r="N43" s="87" t="str">
        <f t="shared" si="2"/>
        <v/>
      </c>
      <c r="O43" s="93"/>
      <c r="P43" s="93"/>
      <c r="Q43" s="93"/>
      <c r="R43" s="87" t="str">
        <f t="shared" si="3"/>
        <v/>
      </c>
      <c r="S43" s="90" t="str">
        <f t="shared" si="4"/>
        <v/>
      </c>
      <c r="T43" s="91" t="str">
        <f t="shared" si="5"/>
        <v/>
      </c>
      <c r="U43" s="85">
        <f t="shared" si="6"/>
        <v>0</v>
      </c>
    </row>
    <row r="44">
      <c r="A44" s="85">
        <v>42.0</v>
      </c>
      <c r="B44" s="35"/>
      <c r="C44" s="65"/>
      <c r="D44" s="76"/>
      <c r="E44" s="93"/>
      <c r="F44" s="76"/>
      <c r="G44" s="93"/>
      <c r="H44" s="93"/>
      <c r="I44" s="93"/>
      <c r="J44" s="87" t="str">
        <f t="shared" si="1"/>
        <v/>
      </c>
      <c r="K44" s="93"/>
      <c r="L44" s="93"/>
      <c r="M44" s="93"/>
      <c r="N44" s="87" t="str">
        <f t="shared" si="2"/>
        <v/>
      </c>
      <c r="O44" s="93"/>
      <c r="P44" s="93"/>
      <c r="Q44" s="93"/>
      <c r="R44" s="87" t="str">
        <f t="shared" si="3"/>
        <v/>
      </c>
      <c r="S44" s="90" t="str">
        <f t="shared" si="4"/>
        <v/>
      </c>
      <c r="T44" s="91" t="str">
        <f t="shared" si="5"/>
        <v/>
      </c>
      <c r="U44" s="85">
        <f t="shared" si="6"/>
        <v>0</v>
      </c>
    </row>
    <row r="45">
      <c r="A45" s="85">
        <v>43.0</v>
      </c>
      <c r="B45" s="35"/>
      <c r="C45" s="65"/>
      <c r="D45" s="76"/>
      <c r="E45" s="93"/>
      <c r="F45" s="76"/>
      <c r="G45" s="93"/>
      <c r="H45" s="93"/>
      <c r="I45" s="93"/>
      <c r="J45" s="87" t="str">
        <f t="shared" si="1"/>
        <v/>
      </c>
      <c r="K45" s="93"/>
      <c r="L45" s="93"/>
      <c r="M45" s="93"/>
      <c r="N45" s="87" t="str">
        <f t="shared" si="2"/>
        <v/>
      </c>
      <c r="O45" s="93"/>
      <c r="P45" s="93"/>
      <c r="Q45" s="93"/>
      <c r="R45" s="87" t="str">
        <f t="shared" si="3"/>
        <v/>
      </c>
      <c r="S45" s="90" t="str">
        <f t="shared" si="4"/>
        <v/>
      </c>
      <c r="T45" s="91" t="str">
        <f t="shared" si="5"/>
        <v/>
      </c>
      <c r="U45" s="85">
        <f t="shared" si="6"/>
        <v>0</v>
      </c>
    </row>
    <row r="46">
      <c r="A46" s="85">
        <v>44.0</v>
      </c>
      <c r="B46" s="35"/>
      <c r="C46" s="65"/>
      <c r="D46" s="76"/>
      <c r="E46" s="93"/>
      <c r="F46" s="76"/>
      <c r="G46" s="93"/>
      <c r="H46" s="93"/>
      <c r="I46" s="93"/>
      <c r="J46" s="87" t="str">
        <f t="shared" si="1"/>
        <v/>
      </c>
      <c r="K46" s="93"/>
      <c r="L46" s="93"/>
      <c r="M46" s="93"/>
      <c r="N46" s="87" t="str">
        <f t="shared" si="2"/>
        <v/>
      </c>
      <c r="O46" s="93"/>
      <c r="P46" s="93"/>
      <c r="Q46" s="93"/>
      <c r="R46" s="87" t="str">
        <f t="shared" si="3"/>
        <v/>
      </c>
      <c r="S46" s="90" t="str">
        <f t="shared" si="4"/>
        <v/>
      </c>
      <c r="T46" s="91" t="str">
        <f t="shared" si="5"/>
        <v/>
      </c>
      <c r="U46" s="85">
        <f t="shared" si="6"/>
        <v>0</v>
      </c>
    </row>
    <row r="47">
      <c r="A47" s="85">
        <v>45.0</v>
      </c>
      <c r="B47" s="35"/>
      <c r="C47" s="65"/>
      <c r="D47" s="76"/>
      <c r="E47" s="93"/>
      <c r="F47" s="76"/>
      <c r="G47" s="93"/>
      <c r="H47" s="93"/>
      <c r="I47" s="93"/>
      <c r="J47" s="87" t="str">
        <f t="shared" si="1"/>
        <v/>
      </c>
      <c r="K47" s="93"/>
      <c r="L47" s="93"/>
      <c r="M47" s="93"/>
      <c r="N47" s="87" t="str">
        <f t="shared" si="2"/>
        <v/>
      </c>
      <c r="O47" s="93"/>
      <c r="P47" s="93"/>
      <c r="Q47" s="93"/>
      <c r="R47" s="87" t="str">
        <f t="shared" si="3"/>
        <v/>
      </c>
      <c r="S47" s="90" t="str">
        <f t="shared" si="4"/>
        <v/>
      </c>
      <c r="T47" s="91" t="str">
        <f t="shared" si="5"/>
        <v/>
      </c>
      <c r="U47" s="85">
        <f t="shared" si="6"/>
        <v>0</v>
      </c>
    </row>
    <row r="48">
      <c r="A48" s="85">
        <v>46.0</v>
      </c>
      <c r="B48" s="35"/>
      <c r="C48" s="65"/>
      <c r="D48" s="76"/>
      <c r="E48" s="93"/>
      <c r="F48" s="76"/>
      <c r="G48" s="93"/>
      <c r="H48" s="93"/>
      <c r="I48" s="93"/>
      <c r="J48" s="87" t="str">
        <f t="shared" si="1"/>
        <v/>
      </c>
      <c r="K48" s="93"/>
      <c r="L48" s="93"/>
      <c r="M48" s="93"/>
      <c r="N48" s="87" t="str">
        <f t="shared" si="2"/>
        <v/>
      </c>
      <c r="O48" s="93"/>
      <c r="P48" s="93"/>
      <c r="Q48" s="93"/>
      <c r="R48" s="87" t="str">
        <f t="shared" si="3"/>
        <v/>
      </c>
      <c r="S48" s="90" t="str">
        <f t="shared" si="4"/>
        <v/>
      </c>
      <c r="T48" s="91" t="str">
        <f t="shared" si="5"/>
        <v/>
      </c>
      <c r="U48" s="85">
        <f t="shared" si="6"/>
        <v>0</v>
      </c>
    </row>
    <row r="49">
      <c r="A49" s="85">
        <v>47.0</v>
      </c>
      <c r="B49" s="35"/>
      <c r="C49" s="65"/>
      <c r="D49" s="76"/>
      <c r="E49" s="93"/>
      <c r="F49" s="76"/>
      <c r="G49" s="93"/>
      <c r="H49" s="93"/>
      <c r="I49" s="93"/>
      <c r="J49" s="87" t="str">
        <f t="shared" si="1"/>
        <v/>
      </c>
      <c r="K49" s="93"/>
      <c r="L49" s="93"/>
      <c r="M49" s="93"/>
      <c r="N49" s="87" t="str">
        <f t="shared" si="2"/>
        <v/>
      </c>
      <c r="O49" s="93"/>
      <c r="P49" s="93"/>
      <c r="Q49" s="93"/>
      <c r="R49" s="87" t="str">
        <f t="shared" si="3"/>
        <v/>
      </c>
      <c r="S49" s="90" t="str">
        <f t="shared" si="4"/>
        <v/>
      </c>
      <c r="T49" s="91" t="str">
        <f t="shared" si="5"/>
        <v/>
      </c>
      <c r="U49" s="85">
        <f t="shared" si="6"/>
        <v>0</v>
      </c>
    </row>
    <row r="50">
      <c r="A50" s="85">
        <v>48.0</v>
      </c>
      <c r="B50" s="35"/>
      <c r="C50" s="65"/>
      <c r="D50" s="76"/>
      <c r="E50" s="93"/>
      <c r="F50" s="76"/>
      <c r="G50" s="93"/>
      <c r="H50" s="93"/>
      <c r="I50" s="93"/>
      <c r="J50" s="87" t="str">
        <f t="shared" si="1"/>
        <v/>
      </c>
      <c r="K50" s="93"/>
      <c r="L50" s="93"/>
      <c r="M50" s="93"/>
      <c r="N50" s="87" t="str">
        <f t="shared" si="2"/>
        <v/>
      </c>
      <c r="O50" s="93"/>
      <c r="P50" s="93"/>
      <c r="Q50" s="93"/>
      <c r="R50" s="87" t="str">
        <f t="shared" si="3"/>
        <v/>
      </c>
      <c r="S50" s="90" t="str">
        <f t="shared" si="4"/>
        <v/>
      </c>
      <c r="T50" s="91" t="str">
        <f t="shared" si="5"/>
        <v/>
      </c>
      <c r="U50" s="85">
        <f t="shared" si="6"/>
        <v>0</v>
      </c>
    </row>
    <row r="51">
      <c r="A51" s="85">
        <v>49.0</v>
      </c>
      <c r="B51" s="35"/>
      <c r="C51" s="65"/>
      <c r="D51" s="76"/>
      <c r="E51" s="93"/>
      <c r="F51" s="76"/>
      <c r="G51" s="93"/>
      <c r="H51" s="93"/>
      <c r="I51" s="93"/>
      <c r="J51" s="87" t="str">
        <f t="shared" si="1"/>
        <v/>
      </c>
      <c r="K51" s="93"/>
      <c r="L51" s="93"/>
      <c r="M51" s="93"/>
      <c r="N51" s="87" t="str">
        <f t="shared" si="2"/>
        <v/>
      </c>
      <c r="O51" s="93"/>
      <c r="P51" s="93"/>
      <c r="Q51" s="93"/>
      <c r="R51" s="87" t="str">
        <f t="shared" si="3"/>
        <v/>
      </c>
      <c r="S51" s="90" t="str">
        <f t="shared" si="4"/>
        <v/>
      </c>
      <c r="T51" s="91" t="str">
        <f t="shared" si="5"/>
        <v/>
      </c>
      <c r="U51" s="85">
        <f t="shared" si="6"/>
        <v>0</v>
      </c>
    </row>
    <row r="52">
      <c r="A52" s="85">
        <v>50.0</v>
      </c>
      <c r="B52" s="35"/>
      <c r="C52" s="65"/>
      <c r="D52" s="76"/>
      <c r="E52" s="93"/>
      <c r="F52" s="76"/>
      <c r="G52" s="93"/>
      <c r="H52" s="93"/>
      <c r="I52" s="93"/>
      <c r="J52" s="87" t="str">
        <f t="shared" si="1"/>
        <v/>
      </c>
      <c r="K52" s="93"/>
      <c r="L52" s="93"/>
      <c r="M52" s="93"/>
      <c r="N52" s="87" t="str">
        <f t="shared" si="2"/>
        <v/>
      </c>
      <c r="O52" s="93"/>
      <c r="P52" s="93"/>
      <c r="Q52" s="93"/>
      <c r="R52" s="87" t="str">
        <f t="shared" si="3"/>
        <v/>
      </c>
      <c r="S52" s="90" t="str">
        <f t="shared" si="4"/>
        <v/>
      </c>
      <c r="T52" s="91" t="str">
        <f t="shared" si="5"/>
        <v/>
      </c>
      <c r="U52" s="85">
        <f t="shared" si="6"/>
        <v>0</v>
      </c>
    </row>
    <row r="53">
      <c r="A53" s="85">
        <v>51.0</v>
      </c>
      <c r="B53" s="35"/>
      <c r="C53" s="65"/>
      <c r="D53" s="76"/>
      <c r="E53" s="93"/>
      <c r="F53" s="76"/>
      <c r="G53" s="93"/>
      <c r="H53" s="93"/>
      <c r="I53" s="93"/>
      <c r="J53" s="87" t="str">
        <f t="shared" si="1"/>
        <v/>
      </c>
      <c r="K53" s="93"/>
      <c r="L53" s="93"/>
      <c r="M53" s="93"/>
      <c r="N53" s="87" t="str">
        <f t="shared" si="2"/>
        <v/>
      </c>
      <c r="O53" s="93"/>
      <c r="P53" s="93"/>
      <c r="Q53" s="93"/>
      <c r="R53" s="87" t="str">
        <f t="shared" si="3"/>
        <v/>
      </c>
      <c r="S53" s="90" t="str">
        <f t="shared" si="4"/>
        <v/>
      </c>
      <c r="T53" s="91" t="str">
        <f t="shared" si="5"/>
        <v/>
      </c>
      <c r="U53" s="85">
        <f t="shared" si="6"/>
        <v>0</v>
      </c>
    </row>
    <row r="54">
      <c r="A54" s="85">
        <v>52.0</v>
      </c>
      <c r="B54" s="35"/>
      <c r="C54" s="65"/>
      <c r="D54" s="76"/>
      <c r="E54" s="93"/>
      <c r="F54" s="76"/>
      <c r="G54" s="93"/>
      <c r="H54" s="93"/>
      <c r="I54" s="93"/>
      <c r="J54" s="87" t="str">
        <f t="shared" si="1"/>
        <v/>
      </c>
      <c r="K54" s="93"/>
      <c r="L54" s="93"/>
      <c r="M54" s="93"/>
      <c r="N54" s="87" t="str">
        <f t="shared" si="2"/>
        <v/>
      </c>
      <c r="O54" s="93"/>
      <c r="P54" s="93"/>
      <c r="Q54" s="93"/>
      <c r="R54" s="87" t="str">
        <f t="shared" si="3"/>
        <v/>
      </c>
      <c r="S54" s="90" t="str">
        <f t="shared" si="4"/>
        <v/>
      </c>
      <c r="T54" s="91" t="str">
        <f t="shared" si="5"/>
        <v/>
      </c>
      <c r="U54" s="85">
        <f t="shared" si="6"/>
        <v>0</v>
      </c>
    </row>
    <row r="55">
      <c r="A55" s="85">
        <v>53.0</v>
      </c>
      <c r="B55" s="35"/>
      <c r="C55" s="65"/>
      <c r="D55" s="76"/>
      <c r="E55" s="93"/>
      <c r="F55" s="76"/>
      <c r="G55" s="93"/>
      <c r="H55" s="93"/>
      <c r="I55" s="93"/>
      <c r="J55" s="87" t="str">
        <f t="shared" si="1"/>
        <v/>
      </c>
      <c r="K55" s="93"/>
      <c r="L55" s="93"/>
      <c r="M55" s="93"/>
      <c r="N55" s="87" t="str">
        <f t="shared" si="2"/>
        <v/>
      </c>
      <c r="O55" s="93"/>
      <c r="P55" s="93"/>
      <c r="Q55" s="93"/>
      <c r="R55" s="87" t="str">
        <f t="shared" si="3"/>
        <v/>
      </c>
      <c r="S55" s="90" t="str">
        <f t="shared" si="4"/>
        <v/>
      </c>
      <c r="T55" s="91" t="str">
        <f t="shared" si="5"/>
        <v/>
      </c>
      <c r="U55" s="85">
        <f t="shared" si="6"/>
        <v>0</v>
      </c>
    </row>
    <row r="56">
      <c r="A56" s="85">
        <v>54.0</v>
      </c>
      <c r="B56" s="35"/>
      <c r="C56" s="65"/>
      <c r="D56" s="76"/>
      <c r="E56" s="93"/>
      <c r="F56" s="76"/>
      <c r="G56" s="93"/>
      <c r="H56" s="93"/>
      <c r="I56" s="93"/>
      <c r="J56" s="87" t="str">
        <f t="shared" si="1"/>
        <v/>
      </c>
      <c r="K56" s="93"/>
      <c r="L56" s="93"/>
      <c r="M56" s="93"/>
      <c r="N56" s="87" t="str">
        <f t="shared" si="2"/>
        <v/>
      </c>
      <c r="O56" s="93"/>
      <c r="P56" s="93"/>
      <c r="Q56" s="93"/>
      <c r="R56" s="87" t="str">
        <f t="shared" si="3"/>
        <v/>
      </c>
      <c r="S56" s="90" t="str">
        <f t="shared" si="4"/>
        <v/>
      </c>
      <c r="T56" s="91" t="str">
        <f t="shared" si="5"/>
        <v/>
      </c>
      <c r="U56" s="85">
        <f t="shared" si="6"/>
        <v>0</v>
      </c>
    </row>
    <row r="57">
      <c r="A57" s="85">
        <v>55.0</v>
      </c>
      <c r="B57" s="35"/>
      <c r="C57" s="65"/>
      <c r="D57" s="76"/>
      <c r="E57" s="93"/>
      <c r="F57" s="76"/>
      <c r="G57" s="93"/>
      <c r="H57" s="93"/>
      <c r="I57" s="93"/>
      <c r="J57" s="87" t="str">
        <f t="shared" si="1"/>
        <v/>
      </c>
      <c r="K57" s="93"/>
      <c r="L57" s="93"/>
      <c r="M57" s="93"/>
      <c r="N57" s="87" t="str">
        <f t="shared" si="2"/>
        <v/>
      </c>
      <c r="O57" s="93"/>
      <c r="P57" s="93"/>
      <c r="Q57" s="93"/>
      <c r="R57" s="87" t="str">
        <f t="shared" si="3"/>
        <v/>
      </c>
      <c r="S57" s="90" t="str">
        <f t="shared" si="4"/>
        <v/>
      </c>
      <c r="T57" s="91" t="str">
        <f t="shared" si="5"/>
        <v/>
      </c>
      <c r="U57" s="85">
        <f t="shared" si="6"/>
        <v>0</v>
      </c>
    </row>
    <row r="58">
      <c r="A58" s="85">
        <v>56.0</v>
      </c>
      <c r="B58" s="35"/>
      <c r="C58" s="65"/>
      <c r="D58" s="76"/>
      <c r="E58" s="93"/>
      <c r="F58" s="76"/>
      <c r="G58" s="93"/>
      <c r="H58" s="93"/>
      <c r="I58" s="93"/>
      <c r="J58" s="87" t="str">
        <f t="shared" si="1"/>
        <v/>
      </c>
      <c r="K58" s="93"/>
      <c r="L58" s="93"/>
      <c r="M58" s="93"/>
      <c r="N58" s="87" t="str">
        <f t="shared" si="2"/>
        <v/>
      </c>
      <c r="O58" s="93"/>
      <c r="P58" s="93"/>
      <c r="Q58" s="93"/>
      <c r="R58" s="87" t="str">
        <f t="shared" si="3"/>
        <v/>
      </c>
      <c r="S58" s="90" t="str">
        <f t="shared" si="4"/>
        <v/>
      </c>
      <c r="T58" s="91" t="str">
        <f t="shared" si="5"/>
        <v/>
      </c>
      <c r="U58" s="85">
        <f t="shared" si="6"/>
        <v>0</v>
      </c>
    </row>
    <row r="59">
      <c r="A59" s="85">
        <v>57.0</v>
      </c>
      <c r="B59" s="35"/>
      <c r="C59" s="65"/>
      <c r="D59" s="76"/>
      <c r="E59" s="93"/>
      <c r="F59" s="76"/>
      <c r="G59" s="93"/>
      <c r="H59" s="93"/>
      <c r="I59" s="93"/>
      <c r="J59" s="87" t="str">
        <f t="shared" si="1"/>
        <v/>
      </c>
      <c r="K59" s="93"/>
      <c r="L59" s="93"/>
      <c r="M59" s="93"/>
      <c r="N59" s="87" t="str">
        <f t="shared" si="2"/>
        <v/>
      </c>
      <c r="O59" s="93"/>
      <c r="P59" s="93"/>
      <c r="Q59" s="93"/>
      <c r="R59" s="87" t="str">
        <f t="shared" si="3"/>
        <v/>
      </c>
      <c r="S59" s="90" t="str">
        <f t="shared" si="4"/>
        <v/>
      </c>
      <c r="T59" s="91" t="str">
        <f t="shared" si="5"/>
        <v/>
      </c>
      <c r="U59" s="85">
        <f t="shared" si="6"/>
        <v>0</v>
      </c>
    </row>
    <row r="60">
      <c r="A60" s="85">
        <v>58.0</v>
      </c>
      <c r="B60" s="35"/>
      <c r="C60" s="65"/>
      <c r="D60" s="76"/>
      <c r="E60" s="93"/>
      <c r="F60" s="76"/>
      <c r="G60" s="93"/>
      <c r="H60" s="93"/>
      <c r="I60" s="93"/>
      <c r="J60" s="87" t="str">
        <f t="shared" si="1"/>
        <v/>
      </c>
      <c r="K60" s="93"/>
      <c r="L60" s="93"/>
      <c r="M60" s="93"/>
      <c r="N60" s="87" t="str">
        <f t="shared" si="2"/>
        <v/>
      </c>
      <c r="O60" s="93"/>
      <c r="P60" s="93"/>
      <c r="Q60" s="93"/>
      <c r="R60" s="87" t="str">
        <f t="shared" si="3"/>
        <v/>
      </c>
      <c r="S60" s="90" t="str">
        <f t="shared" si="4"/>
        <v/>
      </c>
      <c r="T60" s="91" t="str">
        <f t="shared" si="5"/>
        <v/>
      </c>
      <c r="U60" s="85">
        <f t="shared" si="6"/>
        <v>0</v>
      </c>
    </row>
    <row r="61">
      <c r="A61" s="85">
        <v>59.0</v>
      </c>
      <c r="B61" s="35"/>
      <c r="C61" s="65"/>
      <c r="D61" s="76"/>
      <c r="E61" s="93"/>
      <c r="F61" s="76"/>
      <c r="G61" s="93"/>
      <c r="H61" s="93"/>
      <c r="I61" s="93"/>
      <c r="J61" s="87" t="str">
        <f t="shared" si="1"/>
        <v/>
      </c>
      <c r="K61" s="93"/>
      <c r="L61" s="93"/>
      <c r="M61" s="93"/>
      <c r="N61" s="87" t="str">
        <f t="shared" si="2"/>
        <v/>
      </c>
      <c r="O61" s="93"/>
      <c r="P61" s="93"/>
      <c r="Q61" s="93"/>
      <c r="R61" s="87" t="str">
        <f t="shared" si="3"/>
        <v/>
      </c>
      <c r="S61" s="90" t="str">
        <f t="shared" si="4"/>
        <v/>
      </c>
      <c r="T61" s="91" t="str">
        <f t="shared" si="5"/>
        <v/>
      </c>
      <c r="U61" s="85">
        <f t="shared" si="6"/>
        <v>0</v>
      </c>
    </row>
    <row r="62">
      <c r="A62" s="85">
        <v>60.0</v>
      </c>
      <c r="B62" s="35"/>
      <c r="C62" s="65"/>
      <c r="D62" s="76"/>
      <c r="E62" s="93"/>
      <c r="F62" s="76"/>
      <c r="G62" s="93"/>
      <c r="H62" s="93"/>
      <c r="I62" s="93"/>
      <c r="J62" s="87" t="str">
        <f t="shared" si="1"/>
        <v/>
      </c>
      <c r="K62" s="93"/>
      <c r="L62" s="93"/>
      <c r="M62" s="93"/>
      <c r="N62" s="87" t="str">
        <f t="shared" si="2"/>
        <v/>
      </c>
      <c r="O62" s="93"/>
      <c r="P62" s="93"/>
      <c r="Q62" s="93"/>
      <c r="R62" s="87" t="str">
        <f t="shared" si="3"/>
        <v/>
      </c>
      <c r="S62" s="90" t="str">
        <f t="shared" si="4"/>
        <v/>
      </c>
      <c r="T62" s="91" t="str">
        <f t="shared" si="5"/>
        <v/>
      </c>
      <c r="U62" s="85">
        <f t="shared" si="6"/>
        <v>0</v>
      </c>
    </row>
    <row r="63">
      <c r="A63" s="85">
        <v>61.0</v>
      </c>
      <c r="B63" s="35"/>
      <c r="C63" s="65"/>
      <c r="D63" s="76"/>
      <c r="E63" s="93"/>
      <c r="F63" s="76"/>
      <c r="G63" s="93"/>
      <c r="H63" s="93"/>
      <c r="I63" s="93"/>
      <c r="J63" s="87" t="str">
        <f t="shared" si="1"/>
        <v/>
      </c>
      <c r="K63" s="93"/>
      <c r="L63" s="93"/>
      <c r="M63" s="93"/>
      <c r="N63" s="87" t="str">
        <f t="shared" si="2"/>
        <v/>
      </c>
      <c r="O63" s="93"/>
      <c r="P63" s="93"/>
      <c r="Q63" s="93"/>
      <c r="R63" s="87" t="str">
        <f t="shared" si="3"/>
        <v/>
      </c>
      <c r="S63" s="90" t="str">
        <f t="shared" si="4"/>
        <v/>
      </c>
      <c r="T63" s="91" t="str">
        <f t="shared" si="5"/>
        <v/>
      </c>
      <c r="U63" s="85">
        <f t="shared" si="6"/>
        <v>0</v>
      </c>
    </row>
    <row r="64">
      <c r="A64" s="85">
        <v>62.0</v>
      </c>
      <c r="B64" s="35"/>
      <c r="C64" s="65"/>
      <c r="D64" s="76"/>
      <c r="E64" s="93"/>
      <c r="F64" s="76"/>
      <c r="G64" s="93"/>
      <c r="H64" s="93"/>
      <c r="I64" s="93"/>
      <c r="J64" s="87" t="str">
        <f t="shared" si="1"/>
        <v/>
      </c>
      <c r="K64" s="93"/>
      <c r="L64" s="93"/>
      <c r="M64" s="93"/>
      <c r="N64" s="87" t="str">
        <f t="shared" si="2"/>
        <v/>
      </c>
      <c r="O64" s="93"/>
      <c r="P64" s="93"/>
      <c r="Q64" s="93"/>
      <c r="R64" s="87" t="str">
        <f t="shared" si="3"/>
        <v/>
      </c>
      <c r="S64" s="90" t="str">
        <f t="shared" si="4"/>
        <v/>
      </c>
      <c r="T64" s="91" t="str">
        <f t="shared" si="5"/>
        <v/>
      </c>
      <c r="U64" s="85">
        <f t="shared" si="6"/>
        <v>0</v>
      </c>
    </row>
    <row r="65">
      <c r="A65" s="85">
        <v>63.0</v>
      </c>
      <c r="B65" s="35"/>
      <c r="C65" s="65"/>
      <c r="D65" s="76"/>
      <c r="E65" s="93"/>
      <c r="F65" s="76"/>
      <c r="G65" s="93"/>
      <c r="H65" s="93"/>
      <c r="I65" s="93"/>
      <c r="J65" s="87" t="str">
        <f t="shared" si="1"/>
        <v/>
      </c>
      <c r="K65" s="93"/>
      <c r="L65" s="93"/>
      <c r="M65" s="93"/>
      <c r="N65" s="87" t="str">
        <f t="shared" si="2"/>
        <v/>
      </c>
      <c r="O65" s="93"/>
      <c r="P65" s="93"/>
      <c r="Q65" s="93"/>
      <c r="R65" s="87" t="str">
        <f t="shared" si="3"/>
        <v/>
      </c>
      <c r="S65" s="90" t="str">
        <f t="shared" si="4"/>
        <v/>
      </c>
      <c r="T65" s="91" t="str">
        <f t="shared" si="5"/>
        <v/>
      </c>
      <c r="U65" s="85">
        <f t="shared" si="6"/>
        <v>0</v>
      </c>
    </row>
    <row r="66">
      <c r="A66" s="85">
        <v>64.0</v>
      </c>
      <c r="B66" s="35"/>
      <c r="C66" s="65"/>
      <c r="D66" s="76"/>
      <c r="E66" s="93"/>
      <c r="F66" s="76"/>
      <c r="G66" s="93"/>
      <c r="H66" s="93"/>
      <c r="I66" s="93"/>
      <c r="J66" s="87" t="str">
        <f t="shared" si="1"/>
        <v/>
      </c>
      <c r="K66" s="93"/>
      <c r="L66" s="93"/>
      <c r="M66" s="93"/>
      <c r="N66" s="87" t="str">
        <f t="shared" si="2"/>
        <v/>
      </c>
      <c r="O66" s="93"/>
      <c r="P66" s="93"/>
      <c r="Q66" s="93"/>
      <c r="R66" s="87" t="str">
        <f t="shared" si="3"/>
        <v/>
      </c>
      <c r="S66" s="90" t="str">
        <f t="shared" si="4"/>
        <v/>
      </c>
      <c r="T66" s="91" t="str">
        <f t="shared" si="5"/>
        <v/>
      </c>
      <c r="U66" s="85">
        <f t="shared" si="6"/>
        <v>0</v>
      </c>
    </row>
    <row r="67">
      <c r="A67" s="85">
        <v>65.0</v>
      </c>
      <c r="B67" s="35"/>
      <c r="C67" s="65"/>
      <c r="D67" s="76"/>
      <c r="E67" s="93"/>
      <c r="F67" s="76"/>
      <c r="G67" s="93"/>
      <c r="H67" s="93"/>
      <c r="I67" s="93"/>
      <c r="J67" s="87" t="str">
        <f t="shared" si="1"/>
        <v/>
      </c>
      <c r="K67" s="93"/>
      <c r="L67" s="93"/>
      <c r="M67" s="93"/>
      <c r="N67" s="87" t="str">
        <f t="shared" si="2"/>
        <v/>
      </c>
      <c r="O67" s="93"/>
      <c r="P67" s="93"/>
      <c r="Q67" s="93"/>
      <c r="R67" s="87" t="str">
        <f t="shared" si="3"/>
        <v/>
      </c>
      <c r="S67" s="90" t="str">
        <f t="shared" si="4"/>
        <v/>
      </c>
      <c r="T67" s="91" t="str">
        <f t="shared" si="5"/>
        <v/>
      </c>
      <c r="U67" s="85">
        <f t="shared" si="6"/>
        <v>0</v>
      </c>
    </row>
    <row r="68">
      <c r="A68" s="85">
        <v>66.0</v>
      </c>
      <c r="B68" s="35"/>
      <c r="C68" s="65"/>
      <c r="D68" s="76"/>
      <c r="E68" s="93"/>
      <c r="F68" s="76"/>
      <c r="G68" s="93"/>
      <c r="H68" s="93"/>
      <c r="I68" s="93"/>
      <c r="J68" s="87" t="str">
        <f t="shared" si="1"/>
        <v/>
      </c>
      <c r="K68" s="93"/>
      <c r="L68" s="93"/>
      <c r="M68" s="93"/>
      <c r="N68" s="87" t="str">
        <f t="shared" si="2"/>
        <v/>
      </c>
      <c r="O68" s="93"/>
      <c r="P68" s="93"/>
      <c r="Q68" s="93"/>
      <c r="R68" s="87" t="str">
        <f t="shared" si="3"/>
        <v/>
      </c>
      <c r="S68" s="90" t="str">
        <f t="shared" si="4"/>
        <v/>
      </c>
      <c r="T68" s="91" t="str">
        <f t="shared" si="5"/>
        <v/>
      </c>
      <c r="U68" s="85">
        <f t="shared" si="6"/>
        <v>0</v>
      </c>
    </row>
    <row r="69">
      <c r="A69" s="85">
        <v>67.0</v>
      </c>
      <c r="B69" s="35"/>
      <c r="C69" s="65"/>
      <c r="D69" s="76"/>
      <c r="E69" s="93"/>
      <c r="F69" s="76"/>
      <c r="G69" s="93"/>
      <c r="H69" s="93"/>
      <c r="I69" s="93"/>
      <c r="J69" s="87" t="str">
        <f t="shared" si="1"/>
        <v/>
      </c>
      <c r="K69" s="93"/>
      <c r="L69" s="93"/>
      <c r="M69" s="93"/>
      <c r="N69" s="87" t="str">
        <f t="shared" si="2"/>
        <v/>
      </c>
      <c r="O69" s="93"/>
      <c r="P69" s="93"/>
      <c r="Q69" s="93"/>
      <c r="R69" s="87" t="str">
        <f t="shared" si="3"/>
        <v/>
      </c>
      <c r="S69" s="90" t="str">
        <f t="shared" si="4"/>
        <v/>
      </c>
      <c r="T69" s="91" t="str">
        <f t="shared" si="5"/>
        <v/>
      </c>
      <c r="U69" s="85">
        <f t="shared" si="6"/>
        <v>0</v>
      </c>
    </row>
    <row r="70">
      <c r="A70" s="85">
        <v>68.0</v>
      </c>
      <c r="B70" s="35"/>
      <c r="C70" s="65"/>
      <c r="D70" s="76"/>
      <c r="E70" s="93"/>
      <c r="F70" s="76"/>
      <c r="G70" s="93"/>
      <c r="H70" s="93"/>
      <c r="I70" s="93"/>
      <c r="J70" s="87" t="str">
        <f t="shared" si="1"/>
        <v/>
      </c>
      <c r="K70" s="93"/>
      <c r="L70" s="93"/>
      <c r="M70" s="93"/>
      <c r="N70" s="87" t="str">
        <f t="shared" si="2"/>
        <v/>
      </c>
      <c r="O70" s="93"/>
      <c r="P70" s="93"/>
      <c r="Q70" s="93"/>
      <c r="R70" s="87" t="str">
        <f t="shared" si="3"/>
        <v/>
      </c>
      <c r="S70" s="90" t="str">
        <f t="shared" si="4"/>
        <v/>
      </c>
      <c r="T70" s="91" t="str">
        <f t="shared" si="5"/>
        <v/>
      </c>
      <c r="U70" s="85">
        <f t="shared" si="6"/>
        <v>0</v>
      </c>
    </row>
    <row r="71">
      <c r="A71" s="85">
        <v>69.0</v>
      </c>
      <c r="B71" s="35"/>
      <c r="C71" s="65"/>
      <c r="D71" s="76"/>
      <c r="E71" s="93"/>
      <c r="F71" s="76"/>
      <c r="G71" s="93"/>
      <c r="H71" s="93"/>
      <c r="I71" s="93"/>
      <c r="J71" s="87" t="str">
        <f t="shared" si="1"/>
        <v/>
      </c>
      <c r="K71" s="93"/>
      <c r="L71" s="93"/>
      <c r="M71" s="93"/>
      <c r="N71" s="87" t="str">
        <f t="shared" si="2"/>
        <v/>
      </c>
      <c r="O71" s="93"/>
      <c r="P71" s="93"/>
      <c r="Q71" s="93"/>
      <c r="R71" s="87" t="str">
        <f t="shared" si="3"/>
        <v/>
      </c>
      <c r="S71" s="90" t="str">
        <f t="shared" si="4"/>
        <v/>
      </c>
      <c r="T71" s="91" t="str">
        <f t="shared" si="5"/>
        <v/>
      </c>
      <c r="U71" s="85">
        <f t="shared" si="6"/>
        <v>0</v>
      </c>
    </row>
    <row r="72">
      <c r="A72" s="85">
        <v>70.0</v>
      </c>
      <c r="B72" s="35"/>
      <c r="C72" s="65"/>
      <c r="D72" s="76"/>
      <c r="E72" s="93"/>
      <c r="F72" s="76"/>
      <c r="G72" s="93"/>
      <c r="H72" s="93"/>
      <c r="I72" s="93"/>
      <c r="J72" s="87" t="str">
        <f t="shared" si="1"/>
        <v/>
      </c>
      <c r="K72" s="93"/>
      <c r="L72" s="93"/>
      <c r="M72" s="93"/>
      <c r="N72" s="87" t="str">
        <f t="shared" si="2"/>
        <v/>
      </c>
      <c r="O72" s="93"/>
      <c r="P72" s="93"/>
      <c r="Q72" s="93"/>
      <c r="R72" s="87" t="str">
        <f t="shared" si="3"/>
        <v/>
      </c>
      <c r="S72" s="90" t="str">
        <f t="shared" si="4"/>
        <v/>
      </c>
      <c r="T72" s="91" t="str">
        <f t="shared" si="5"/>
        <v/>
      </c>
      <c r="U72" s="85">
        <f t="shared" si="6"/>
        <v>0</v>
      </c>
    </row>
    <row r="73">
      <c r="A73" s="85">
        <v>71.0</v>
      </c>
      <c r="B73" s="35"/>
      <c r="C73" s="65"/>
      <c r="D73" s="76"/>
      <c r="E73" s="93"/>
      <c r="F73" s="76"/>
      <c r="G73" s="93"/>
      <c r="H73" s="93"/>
      <c r="I73" s="93"/>
      <c r="J73" s="87" t="str">
        <f t="shared" si="1"/>
        <v/>
      </c>
      <c r="K73" s="93"/>
      <c r="L73" s="93"/>
      <c r="M73" s="93"/>
      <c r="N73" s="87" t="str">
        <f t="shared" si="2"/>
        <v/>
      </c>
      <c r="O73" s="93"/>
      <c r="P73" s="93"/>
      <c r="Q73" s="93"/>
      <c r="R73" s="87" t="str">
        <f t="shared" si="3"/>
        <v/>
      </c>
      <c r="S73" s="90" t="str">
        <f t="shared" si="4"/>
        <v/>
      </c>
      <c r="T73" s="91" t="str">
        <f t="shared" si="5"/>
        <v/>
      </c>
      <c r="U73" s="85">
        <f t="shared" si="6"/>
        <v>0</v>
      </c>
    </row>
    <row r="74">
      <c r="A74" s="85">
        <v>72.0</v>
      </c>
      <c r="B74" s="35"/>
      <c r="C74" s="65"/>
      <c r="D74" s="76"/>
      <c r="E74" s="93"/>
      <c r="F74" s="76"/>
      <c r="G74" s="93"/>
      <c r="H74" s="93"/>
      <c r="I74" s="93"/>
      <c r="J74" s="87" t="str">
        <f t="shared" si="1"/>
        <v/>
      </c>
      <c r="K74" s="93"/>
      <c r="L74" s="93"/>
      <c r="M74" s="93"/>
      <c r="N74" s="87" t="str">
        <f t="shared" si="2"/>
        <v/>
      </c>
      <c r="O74" s="93"/>
      <c r="P74" s="93"/>
      <c r="Q74" s="93"/>
      <c r="R74" s="87" t="str">
        <f t="shared" si="3"/>
        <v/>
      </c>
      <c r="S74" s="90" t="str">
        <f t="shared" si="4"/>
        <v/>
      </c>
      <c r="T74" s="91" t="str">
        <f t="shared" si="5"/>
        <v/>
      </c>
      <c r="U74" s="85">
        <f t="shared" si="6"/>
        <v>0</v>
      </c>
    </row>
    <row r="75">
      <c r="A75" s="85">
        <v>73.0</v>
      </c>
      <c r="B75" s="35"/>
      <c r="C75" s="65"/>
      <c r="D75" s="76"/>
      <c r="E75" s="93"/>
      <c r="F75" s="76"/>
      <c r="G75" s="93"/>
      <c r="H75" s="93"/>
      <c r="I75" s="93"/>
      <c r="J75" s="87" t="str">
        <f t="shared" si="1"/>
        <v/>
      </c>
      <c r="K75" s="93"/>
      <c r="L75" s="93"/>
      <c r="M75" s="93"/>
      <c r="N75" s="87" t="str">
        <f t="shared" si="2"/>
        <v/>
      </c>
      <c r="O75" s="93"/>
      <c r="P75" s="93"/>
      <c r="Q75" s="93"/>
      <c r="R75" s="87" t="str">
        <f t="shared" si="3"/>
        <v/>
      </c>
      <c r="S75" s="90" t="str">
        <f t="shared" si="4"/>
        <v/>
      </c>
      <c r="T75" s="91" t="str">
        <f t="shared" si="5"/>
        <v/>
      </c>
      <c r="U75" s="85">
        <f t="shared" si="6"/>
        <v>0</v>
      </c>
    </row>
    <row r="76">
      <c r="A76" s="85">
        <v>74.0</v>
      </c>
      <c r="B76" s="35"/>
      <c r="C76" s="65"/>
      <c r="D76" s="76"/>
      <c r="E76" s="93"/>
      <c r="F76" s="76"/>
      <c r="G76" s="93"/>
      <c r="H76" s="93"/>
      <c r="I76" s="93"/>
      <c r="J76" s="87" t="str">
        <f t="shared" si="1"/>
        <v/>
      </c>
      <c r="K76" s="93"/>
      <c r="L76" s="93"/>
      <c r="M76" s="93"/>
      <c r="N76" s="87" t="str">
        <f t="shared" si="2"/>
        <v/>
      </c>
      <c r="O76" s="93"/>
      <c r="P76" s="93"/>
      <c r="Q76" s="93"/>
      <c r="R76" s="87" t="str">
        <f t="shared" si="3"/>
        <v/>
      </c>
      <c r="S76" s="90" t="str">
        <f t="shared" si="4"/>
        <v/>
      </c>
      <c r="T76" s="91" t="str">
        <f t="shared" si="5"/>
        <v/>
      </c>
      <c r="U76" s="85">
        <f t="shared" si="6"/>
        <v>0</v>
      </c>
    </row>
    <row r="77">
      <c r="A77" s="85">
        <v>75.0</v>
      </c>
      <c r="B77" s="35"/>
      <c r="C77" s="65"/>
      <c r="D77" s="76"/>
      <c r="E77" s="93"/>
      <c r="F77" s="76"/>
      <c r="G77" s="93"/>
      <c r="H77" s="93"/>
      <c r="I77" s="93"/>
      <c r="J77" s="87" t="str">
        <f t="shared" si="1"/>
        <v/>
      </c>
      <c r="K77" s="93"/>
      <c r="L77" s="93"/>
      <c r="M77" s="93"/>
      <c r="N77" s="87" t="str">
        <f t="shared" si="2"/>
        <v/>
      </c>
      <c r="O77" s="93"/>
      <c r="P77" s="93"/>
      <c r="Q77" s="93"/>
      <c r="R77" s="87" t="str">
        <f t="shared" si="3"/>
        <v/>
      </c>
      <c r="S77" s="90" t="str">
        <f t="shared" si="4"/>
        <v/>
      </c>
      <c r="T77" s="91" t="str">
        <f t="shared" si="5"/>
        <v/>
      </c>
      <c r="U77" s="85">
        <f t="shared" si="6"/>
        <v>0</v>
      </c>
    </row>
  </sheetData>
  <autoFilter ref="$B$2:$T$77"/>
  <customSheetViews>
    <customSheetView guid="{B0C17AAF-6872-48F8-A58E-565BF6C8DB27}" filter="1" showAutoFilter="1">
      <autoFilter ref="$C$2:$T$52"/>
    </customSheetView>
  </customSheetViews>
  <mergeCells count="3">
    <mergeCell ref="K1:N1"/>
    <mergeCell ref="O1:R1"/>
    <mergeCell ref="G1:J1"/>
  </mergeCells>
  <conditionalFormatting sqref="G3:I77 K3:M77 O3:Q77">
    <cfRule type="endsWith" dxfId="2" priority="1" operator="endsWith" text="g">
      <formula>RIGHT((G3),LEN("g"))=("g")</formula>
    </cfRule>
  </conditionalFormatting>
  <conditionalFormatting sqref="G3:I77 K3:M77 O3:Q77">
    <cfRule type="endsWith" dxfId="1" priority="2" operator="endsWith" text="x">
      <formula>RIGHT((G3),LEN("x"))=("x")</formula>
    </cfRule>
  </conditionalFormatting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hidden="1" min="1" max="1" width="4.86"/>
    <col customWidth="1" hidden="1" min="2" max="2" width="7.71"/>
    <col hidden="1" min="3" max="6" width="14.43"/>
    <col customWidth="1" min="7" max="7" width="17.14"/>
    <col customWidth="1" min="8" max="33" width="4.57"/>
    <col customWidth="1" min="34" max="34" width="7.29"/>
  </cols>
  <sheetData>
    <row r="1">
      <c r="A1" s="4">
        <v>1.0</v>
      </c>
      <c r="B1" s="4">
        <v>114.0</v>
      </c>
      <c r="C1" t="str">
        <f>'Mens Varsity Results'!F6</f>
        <v/>
      </c>
      <c r="D1">
        <f>'Mens Varsity Results'!C6</f>
        <v>12</v>
      </c>
      <c r="G1" s="100" t="s">
        <v>536</v>
      </c>
    </row>
    <row r="2">
      <c r="A2" s="4">
        <v>2.0</v>
      </c>
      <c r="B2" s="4">
        <v>114.0</v>
      </c>
      <c r="C2" t="str">
        <f>'Mens Varsity Results'!F7</f>
        <v/>
      </c>
      <c r="D2">
        <f>'Mens Varsity Results'!C7</f>
        <v>9</v>
      </c>
      <c r="G2" s="101"/>
      <c r="H2" s="102">
        <v>114.0</v>
      </c>
      <c r="I2" s="103"/>
      <c r="J2" s="102">
        <v>123.0</v>
      </c>
      <c r="K2" s="103"/>
      <c r="L2" s="102">
        <v>132.0</v>
      </c>
      <c r="M2" s="103"/>
      <c r="N2" s="102">
        <v>145.0</v>
      </c>
      <c r="O2" s="103"/>
      <c r="P2" s="102">
        <v>155.0</v>
      </c>
      <c r="Q2" s="103"/>
      <c r="R2" s="102">
        <v>165.0</v>
      </c>
      <c r="S2" s="103"/>
      <c r="T2" s="102">
        <v>181.0</v>
      </c>
      <c r="U2" s="103"/>
      <c r="V2" s="102">
        <v>194.0</v>
      </c>
      <c r="W2" s="103"/>
      <c r="X2" s="102">
        <v>207.0</v>
      </c>
      <c r="Y2" s="103"/>
      <c r="Z2" s="102">
        <v>220.0</v>
      </c>
      <c r="AA2" s="103"/>
      <c r="AB2" s="102">
        <v>242.0</v>
      </c>
      <c r="AC2" s="103"/>
      <c r="AD2" s="102">
        <v>275.0</v>
      </c>
      <c r="AE2" s="103"/>
      <c r="AF2" s="102" t="s">
        <v>130</v>
      </c>
      <c r="AG2" s="103"/>
      <c r="AH2" s="104" t="s">
        <v>118</v>
      </c>
    </row>
    <row r="3">
      <c r="A3" s="4">
        <v>3.0</v>
      </c>
      <c r="B3" s="4">
        <v>114.0</v>
      </c>
      <c r="C3" t="str">
        <f>'Mens Varsity Results'!F8</f>
        <v/>
      </c>
      <c r="D3">
        <f>'Mens Varsity Results'!C8</f>
        <v>8</v>
      </c>
      <c r="G3" s="105" t="str">
        <f t="array" ref="G3:AH131">sort(G133:AH261,AH133:AH261,false)</f>
        <v/>
      </c>
      <c r="H3" s="106"/>
      <c r="I3" s="107"/>
      <c r="J3" s="108"/>
      <c r="K3" s="107"/>
      <c r="L3" s="108"/>
      <c r="M3" s="107"/>
      <c r="N3" s="106"/>
      <c r="O3" s="109"/>
      <c r="P3" s="106"/>
      <c r="Q3" s="110"/>
      <c r="R3" s="106"/>
      <c r="S3" s="107"/>
      <c r="T3" s="106"/>
      <c r="U3" s="107"/>
      <c r="V3" s="108"/>
      <c r="W3" s="107"/>
      <c r="X3" s="106"/>
      <c r="Y3" s="107"/>
      <c r="Z3" s="108"/>
      <c r="AA3" s="109"/>
      <c r="AB3" s="108"/>
      <c r="AC3" s="107"/>
      <c r="AD3" s="108"/>
      <c r="AE3" s="107"/>
      <c r="AF3" s="106"/>
      <c r="AG3" s="107"/>
      <c r="AH3" s="111"/>
    </row>
    <row r="4">
      <c r="A4" s="4">
        <v>4.0</v>
      </c>
      <c r="B4" s="4">
        <v>114.0</v>
      </c>
      <c r="C4" t="str">
        <f>'Mens Varsity Results'!F9</f>
        <v/>
      </c>
      <c r="D4">
        <f>'Mens Varsity Results'!C9</f>
        <v>7</v>
      </c>
      <c r="G4" s="112"/>
      <c r="H4" s="113"/>
      <c r="I4" s="114"/>
      <c r="J4" s="113"/>
      <c r="K4" s="114"/>
      <c r="L4" s="115"/>
      <c r="M4" s="114"/>
      <c r="N4" s="115"/>
      <c r="O4" s="116"/>
      <c r="P4" s="113"/>
      <c r="Q4" s="114"/>
      <c r="R4" s="115"/>
      <c r="S4" s="114"/>
      <c r="T4" s="113"/>
      <c r="U4" s="114"/>
      <c r="V4" s="115"/>
      <c r="W4" s="114"/>
      <c r="X4" s="115"/>
      <c r="Y4" s="114"/>
      <c r="Z4" s="115"/>
      <c r="AA4" s="116"/>
      <c r="AB4" s="113"/>
      <c r="AC4" s="117"/>
      <c r="AD4" s="115"/>
      <c r="AE4" s="114"/>
      <c r="AF4" s="115"/>
      <c r="AG4" s="114"/>
      <c r="AH4" s="118"/>
    </row>
    <row r="5">
      <c r="A5" s="4">
        <v>5.0</v>
      </c>
      <c r="B5" s="4">
        <v>114.0</v>
      </c>
      <c r="C5" t="str">
        <f>'Mens Varsity Results'!F10</f>
        <v/>
      </c>
      <c r="D5">
        <f>'Mens Varsity Results'!C10</f>
        <v>6</v>
      </c>
      <c r="G5" s="119"/>
      <c r="H5" s="120"/>
      <c r="I5" s="121"/>
      <c r="J5" s="120"/>
      <c r="K5" s="121"/>
      <c r="L5" s="122"/>
      <c r="M5" s="121"/>
      <c r="N5" s="120"/>
      <c r="O5" s="123"/>
      <c r="P5" s="122"/>
      <c r="Q5" s="121"/>
      <c r="R5" s="122"/>
      <c r="S5" s="121"/>
      <c r="T5" s="122"/>
      <c r="U5" s="121"/>
      <c r="V5" s="120"/>
      <c r="W5" s="124"/>
      <c r="X5" s="122"/>
      <c r="Y5" s="121"/>
      <c r="Z5" s="122"/>
      <c r="AA5" s="123"/>
      <c r="AB5" s="122"/>
      <c r="AC5" s="121"/>
      <c r="AD5" s="122"/>
      <c r="AE5" s="121"/>
      <c r="AF5" s="122"/>
      <c r="AG5" s="121"/>
      <c r="AH5" s="125"/>
    </row>
    <row r="6">
      <c r="A6" s="4">
        <v>6.0</v>
      </c>
      <c r="B6" s="4">
        <v>114.0</v>
      </c>
      <c r="C6" t="str">
        <f>'Mens Varsity Results'!F11</f>
        <v/>
      </c>
      <c r="D6">
        <f>'Mens Varsity Results'!C11</f>
        <v>5</v>
      </c>
      <c r="G6" s="112"/>
      <c r="H6" s="113"/>
      <c r="I6" s="114"/>
      <c r="J6" s="115"/>
      <c r="K6" s="114"/>
      <c r="L6" s="115"/>
      <c r="M6" s="114"/>
      <c r="N6" s="113"/>
      <c r="O6" s="126"/>
      <c r="P6" s="115"/>
      <c r="Q6" s="114"/>
      <c r="R6" s="115"/>
      <c r="S6" s="114"/>
      <c r="T6" s="113"/>
      <c r="U6" s="114"/>
      <c r="V6" s="115"/>
      <c r="W6" s="114"/>
      <c r="X6" s="115"/>
      <c r="Y6" s="114"/>
      <c r="Z6" s="115"/>
      <c r="AA6" s="116"/>
      <c r="AB6" s="115"/>
      <c r="AC6" s="114"/>
      <c r="AD6" s="115"/>
      <c r="AE6" s="114"/>
      <c r="AF6" s="115"/>
      <c r="AG6" s="114"/>
      <c r="AH6" s="118"/>
    </row>
    <row r="7">
      <c r="A7" s="4">
        <v>7.0</v>
      </c>
      <c r="B7" s="4">
        <v>114.0</v>
      </c>
      <c r="C7" t="str">
        <f>'Mens Varsity Results'!F12</f>
        <v/>
      </c>
      <c r="D7">
        <f>'Mens Varsity Results'!C12</f>
        <v>4</v>
      </c>
      <c r="G7" s="119"/>
      <c r="H7" s="120"/>
      <c r="I7" s="121"/>
      <c r="J7" s="122"/>
      <c r="K7" s="121"/>
      <c r="L7" s="120"/>
      <c r="M7" s="121"/>
      <c r="N7" s="122"/>
      <c r="O7" s="123"/>
      <c r="P7" s="122"/>
      <c r="Q7" s="121"/>
      <c r="R7" s="122"/>
      <c r="S7" s="121"/>
      <c r="T7" s="122"/>
      <c r="U7" s="121"/>
      <c r="V7" s="122"/>
      <c r="W7" s="121"/>
      <c r="X7" s="122"/>
      <c r="Y7" s="121"/>
      <c r="Z7" s="120"/>
      <c r="AA7" s="123"/>
      <c r="AB7" s="120"/>
      <c r="AC7" s="121"/>
      <c r="AD7" s="122"/>
      <c r="AE7" s="121"/>
      <c r="AF7" s="122"/>
      <c r="AG7" s="121"/>
      <c r="AH7" s="125"/>
    </row>
    <row r="8">
      <c r="A8" s="4">
        <v>8.0</v>
      </c>
      <c r="B8" s="4">
        <v>114.0</v>
      </c>
      <c r="C8" t="str">
        <f>'Mens Varsity Results'!F13</f>
        <v/>
      </c>
      <c r="D8">
        <f>'Mens Varsity Results'!C13</f>
        <v>3</v>
      </c>
      <c r="G8" s="112"/>
      <c r="H8" s="113"/>
      <c r="I8" s="114"/>
      <c r="J8" s="115"/>
      <c r="K8" s="114"/>
      <c r="L8" s="115"/>
      <c r="M8" s="114"/>
      <c r="N8" s="113"/>
      <c r="O8" s="116"/>
      <c r="P8" s="115"/>
      <c r="Q8" s="114"/>
      <c r="R8" s="113"/>
      <c r="S8" s="114"/>
      <c r="T8" s="115"/>
      <c r="U8" s="114"/>
      <c r="V8" s="115"/>
      <c r="W8" s="114"/>
      <c r="X8" s="115"/>
      <c r="Y8" s="114"/>
      <c r="Z8" s="115"/>
      <c r="AA8" s="116"/>
      <c r="AB8" s="115"/>
      <c r="AC8" s="114"/>
      <c r="AD8" s="113"/>
      <c r="AE8" s="114"/>
      <c r="AF8" s="115"/>
      <c r="AG8" s="114"/>
      <c r="AH8" s="118"/>
    </row>
    <row r="9">
      <c r="A9" s="4">
        <v>9.0</v>
      </c>
      <c r="B9" s="4">
        <v>114.0</v>
      </c>
      <c r="C9" t="str">
        <f>'Mens Varsity Results'!F14</f>
        <v/>
      </c>
      <c r="D9">
        <f>'Mens Varsity Results'!C14</f>
        <v>2</v>
      </c>
      <c r="G9" s="119"/>
      <c r="H9" s="120"/>
      <c r="I9" s="121"/>
      <c r="J9" s="122"/>
      <c r="K9" s="121"/>
      <c r="L9" s="122"/>
      <c r="M9" s="121"/>
      <c r="N9" s="122"/>
      <c r="O9" s="123"/>
      <c r="P9" s="120"/>
      <c r="Q9" s="121"/>
      <c r="R9" s="122"/>
      <c r="S9" s="121"/>
      <c r="T9" s="120"/>
      <c r="U9" s="121"/>
      <c r="V9" s="122"/>
      <c r="W9" s="121"/>
      <c r="X9" s="120"/>
      <c r="Y9" s="121"/>
      <c r="Z9" s="122"/>
      <c r="AA9" s="123"/>
      <c r="AB9" s="122"/>
      <c r="AC9" s="121"/>
      <c r="AD9" s="122"/>
      <c r="AE9" s="121"/>
      <c r="AF9" s="122"/>
      <c r="AG9" s="121"/>
      <c r="AH9" s="125"/>
    </row>
    <row r="10">
      <c r="A10" s="4">
        <v>10.0</v>
      </c>
      <c r="B10" s="4">
        <v>114.0</v>
      </c>
      <c r="C10" t="str">
        <f>'Mens Varsity Results'!F15</f>
        <v/>
      </c>
      <c r="D10">
        <f>'Mens Varsity Results'!C15</f>
        <v>1</v>
      </c>
      <c r="G10" s="112"/>
      <c r="H10" s="113"/>
      <c r="I10" s="114"/>
      <c r="J10" s="115"/>
      <c r="K10" s="114"/>
      <c r="L10" s="115"/>
      <c r="M10" s="114"/>
      <c r="N10" s="115"/>
      <c r="O10" s="116"/>
      <c r="P10" s="115"/>
      <c r="Q10" s="114"/>
      <c r="R10" s="113"/>
      <c r="S10" s="114"/>
      <c r="T10" s="115"/>
      <c r="U10" s="114"/>
      <c r="V10" s="115"/>
      <c r="W10" s="114"/>
      <c r="X10" s="115"/>
      <c r="Y10" s="114"/>
      <c r="Z10" s="113"/>
      <c r="AA10" s="116"/>
      <c r="AB10" s="115"/>
      <c r="AC10" s="114"/>
      <c r="AD10" s="115"/>
      <c r="AE10" s="114"/>
      <c r="AF10" s="115"/>
      <c r="AG10" s="114"/>
      <c r="AH10" s="118"/>
    </row>
    <row r="11">
      <c r="A11" s="4">
        <v>1.0</v>
      </c>
      <c r="B11" s="4">
        <v>123.0</v>
      </c>
      <c r="C11" t="str">
        <f>'Mens Varsity Results'!F16</f>
        <v/>
      </c>
      <c r="D11">
        <f>'Mens Varsity Results'!C16</f>
        <v>12</v>
      </c>
      <c r="G11" s="119"/>
      <c r="H11" s="120"/>
      <c r="I11" s="121"/>
      <c r="J11" s="122"/>
      <c r="K11" s="121"/>
      <c r="L11" s="122"/>
      <c r="M11" s="121"/>
      <c r="N11" s="122"/>
      <c r="O11" s="123"/>
      <c r="P11" s="122"/>
      <c r="Q11" s="121"/>
      <c r="R11" s="122"/>
      <c r="S11" s="121"/>
      <c r="T11" s="122"/>
      <c r="U11" s="121"/>
      <c r="V11" s="122"/>
      <c r="W11" s="121"/>
      <c r="X11" s="122"/>
      <c r="Y11" s="121"/>
      <c r="Z11" s="122"/>
      <c r="AA11" s="123"/>
      <c r="AB11" s="120"/>
      <c r="AC11" s="121"/>
      <c r="AD11" s="122"/>
      <c r="AE11" s="121"/>
      <c r="AF11" s="122"/>
      <c r="AG11" s="121"/>
      <c r="AH11" s="125"/>
    </row>
    <row r="12">
      <c r="A12" s="4">
        <v>2.0</v>
      </c>
      <c r="B12" s="4">
        <v>123.0</v>
      </c>
      <c r="C12" t="str">
        <f>'Mens Varsity Results'!F17</f>
        <v/>
      </c>
      <c r="D12">
        <f>'Mens Varsity Results'!C17</f>
        <v>9</v>
      </c>
      <c r="G12" s="112"/>
      <c r="H12" s="113"/>
      <c r="I12" s="114"/>
      <c r="J12" s="115"/>
      <c r="K12" s="114"/>
      <c r="L12" s="115"/>
      <c r="M12" s="114"/>
      <c r="N12" s="115"/>
      <c r="O12" s="116"/>
      <c r="P12" s="115"/>
      <c r="Q12" s="114"/>
      <c r="R12" s="115"/>
      <c r="S12" s="114"/>
      <c r="T12" s="115"/>
      <c r="U12" s="114"/>
      <c r="V12" s="115"/>
      <c r="W12" s="114"/>
      <c r="X12" s="115"/>
      <c r="Y12" s="114"/>
      <c r="Z12" s="113"/>
      <c r="AA12" s="116"/>
      <c r="AB12" s="115"/>
      <c r="AC12" s="114"/>
      <c r="AD12" s="115"/>
      <c r="AE12" s="114"/>
      <c r="AF12" s="115"/>
      <c r="AG12" s="114"/>
      <c r="AH12" s="118"/>
    </row>
    <row r="13">
      <c r="A13" s="4">
        <v>3.0</v>
      </c>
      <c r="B13" s="4">
        <v>123.0</v>
      </c>
      <c r="C13" t="str">
        <f>'Mens Varsity Results'!F18</f>
        <v/>
      </c>
      <c r="D13">
        <f>'Mens Varsity Results'!C18</f>
        <v>8</v>
      </c>
      <c r="G13" s="119"/>
      <c r="H13" s="120"/>
      <c r="I13" s="123"/>
      <c r="J13" s="122"/>
      <c r="K13" s="123"/>
      <c r="L13" s="122"/>
      <c r="M13" s="123"/>
      <c r="N13" s="122"/>
      <c r="O13" s="123"/>
      <c r="P13" s="122"/>
      <c r="Q13" s="123"/>
      <c r="R13" s="122"/>
      <c r="S13" s="123"/>
      <c r="T13" s="122"/>
      <c r="U13" s="123"/>
      <c r="V13" s="122"/>
      <c r="W13" s="123"/>
      <c r="X13" s="122"/>
      <c r="Y13" s="123"/>
      <c r="Z13" s="122"/>
      <c r="AA13" s="123"/>
      <c r="AB13" s="122"/>
      <c r="AC13" s="123"/>
      <c r="AD13" s="122"/>
      <c r="AE13" s="123"/>
      <c r="AF13" s="122"/>
      <c r="AG13" s="123"/>
      <c r="AH13" s="125"/>
    </row>
    <row r="14">
      <c r="A14" s="4">
        <v>4.0</v>
      </c>
      <c r="B14" s="4">
        <v>123.0</v>
      </c>
      <c r="C14" t="str">
        <f>'Mens Varsity Results'!F19</f>
        <v/>
      </c>
      <c r="D14">
        <f>'Mens Varsity Results'!C19</f>
        <v>7</v>
      </c>
      <c r="G14" s="112"/>
      <c r="H14" s="127"/>
      <c r="I14" s="128"/>
      <c r="J14" s="129"/>
      <c r="K14" s="128"/>
      <c r="L14" s="129"/>
      <c r="M14" s="128"/>
      <c r="N14" s="129"/>
      <c r="O14" s="128"/>
      <c r="P14" s="129"/>
      <c r="Q14" s="128"/>
      <c r="R14" s="129"/>
      <c r="S14" s="128"/>
      <c r="T14" s="129"/>
      <c r="U14" s="128"/>
      <c r="V14" s="129"/>
      <c r="W14" s="128"/>
      <c r="X14" s="129"/>
      <c r="Y14" s="128"/>
      <c r="Z14" s="129"/>
      <c r="AA14" s="128"/>
      <c r="AB14" s="129"/>
      <c r="AC14" s="128"/>
      <c r="AD14" s="129"/>
      <c r="AE14" s="128"/>
      <c r="AF14" s="129"/>
      <c r="AG14" s="128"/>
      <c r="AH14" s="118"/>
    </row>
    <row r="15">
      <c r="A15" s="4">
        <v>5.0</v>
      </c>
      <c r="B15" s="4">
        <v>123.0</v>
      </c>
      <c r="C15" t="str">
        <f>'Mens Varsity Results'!F20</f>
        <v/>
      </c>
      <c r="D15">
        <f>'Mens Varsity Results'!C20</f>
        <v>6</v>
      </c>
      <c r="G15" s="130"/>
      <c r="H15" s="131"/>
      <c r="I15" s="132"/>
      <c r="J15" s="131"/>
      <c r="K15" s="132"/>
      <c r="L15" s="131"/>
      <c r="M15" s="132"/>
      <c r="N15" s="131"/>
      <c r="O15" s="132"/>
      <c r="P15" s="131"/>
      <c r="Q15" s="132"/>
      <c r="R15" s="131"/>
      <c r="S15" s="132"/>
      <c r="T15" s="131"/>
      <c r="U15" s="132"/>
      <c r="V15" s="131"/>
      <c r="W15" s="132"/>
      <c r="X15" s="131"/>
      <c r="Y15" s="132"/>
      <c r="Z15" s="131"/>
      <c r="AA15" s="132"/>
      <c r="AB15" s="131"/>
      <c r="AC15" s="132"/>
      <c r="AD15" s="131"/>
      <c r="AE15" s="132"/>
      <c r="AF15" s="131"/>
      <c r="AG15" s="132"/>
      <c r="AH15" s="133"/>
    </row>
    <row r="16">
      <c r="A16" s="4">
        <v>6.0</v>
      </c>
      <c r="B16" s="4">
        <v>123.0</v>
      </c>
      <c r="C16" t="str">
        <f>'Mens Varsity Results'!F21</f>
        <v/>
      </c>
      <c r="D16">
        <f>'Mens Varsity Results'!C21</f>
        <v>5</v>
      </c>
      <c r="G16" s="112"/>
      <c r="H16" s="129"/>
      <c r="I16" s="128"/>
      <c r="J16" s="129"/>
      <c r="K16" s="128"/>
      <c r="L16" s="129"/>
      <c r="M16" s="128"/>
      <c r="N16" s="129"/>
      <c r="O16" s="128"/>
      <c r="P16" s="129"/>
      <c r="Q16" s="128"/>
      <c r="R16" s="129"/>
      <c r="S16" s="128"/>
      <c r="T16" s="129"/>
      <c r="U16" s="128"/>
      <c r="V16" s="129"/>
      <c r="W16" s="128"/>
      <c r="X16" s="129"/>
      <c r="Y16" s="128"/>
      <c r="Z16" s="129"/>
      <c r="AA16" s="128"/>
      <c r="AB16" s="129"/>
      <c r="AC16" s="128"/>
      <c r="AD16" s="129"/>
      <c r="AE16" s="128"/>
      <c r="AF16" s="129"/>
      <c r="AG16" s="128"/>
      <c r="AH16" s="118"/>
    </row>
    <row r="17">
      <c r="A17" s="4">
        <v>7.0</v>
      </c>
      <c r="B17" s="4">
        <v>123.0</v>
      </c>
      <c r="C17" t="str">
        <f>'Mens Varsity Results'!F22</f>
        <v/>
      </c>
      <c r="D17">
        <f>'Mens Varsity Results'!C22</f>
        <v>4</v>
      </c>
      <c r="G17" s="130"/>
      <c r="H17" s="131"/>
      <c r="I17" s="132"/>
      <c r="J17" s="131"/>
      <c r="K17" s="132"/>
      <c r="L17" s="131"/>
      <c r="M17" s="132"/>
      <c r="N17" s="131"/>
      <c r="O17" s="132"/>
      <c r="P17" s="131"/>
      <c r="Q17" s="132"/>
      <c r="R17" s="131"/>
      <c r="S17" s="132"/>
      <c r="T17" s="131"/>
      <c r="U17" s="132"/>
      <c r="V17" s="131"/>
      <c r="W17" s="132"/>
      <c r="X17" s="131"/>
      <c r="Y17" s="132"/>
      <c r="Z17" s="131"/>
      <c r="AA17" s="132"/>
      <c r="AB17" s="131"/>
      <c r="AC17" s="132"/>
      <c r="AD17" s="131"/>
      <c r="AE17" s="132"/>
      <c r="AF17" s="131"/>
      <c r="AG17" s="132"/>
      <c r="AH17" s="133"/>
    </row>
    <row r="18">
      <c r="A18" s="4">
        <v>8.0</v>
      </c>
      <c r="B18" s="4">
        <v>123.0</v>
      </c>
      <c r="C18" t="str">
        <f>'Mens Varsity Results'!F23</f>
        <v/>
      </c>
      <c r="D18">
        <f>'Mens Varsity Results'!C23</f>
        <v>3</v>
      </c>
      <c r="G18" s="112"/>
      <c r="H18" s="129"/>
      <c r="I18" s="128"/>
      <c r="J18" s="129"/>
      <c r="K18" s="128"/>
      <c r="L18" s="129"/>
      <c r="M18" s="128"/>
      <c r="N18" s="129"/>
      <c r="O18" s="128"/>
      <c r="P18" s="129"/>
      <c r="Q18" s="128"/>
      <c r="R18" s="129"/>
      <c r="S18" s="128"/>
      <c r="T18" s="129"/>
      <c r="U18" s="128"/>
      <c r="V18" s="129"/>
      <c r="W18" s="128"/>
      <c r="X18" s="129"/>
      <c r="Y18" s="128"/>
      <c r="Z18" s="129"/>
      <c r="AA18" s="128"/>
      <c r="AB18" s="129"/>
      <c r="AC18" s="128"/>
      <c r="AD18" s="129"/>
      <c r="AE18" s="128"/>
      <c r="AF18" s="129"/>
      <c r="AG18" s="128"/>
      <c r="AH18" s="118"/>
    </row>
    <row r="19">
      <c r="A19" s="4">
        <v>9.0</v>
      </c>
      <c r="B19" s="4">
        <v>123.0</v>
      </c>
      <c r="C19" t="str">
        <f>'Mens Varsity Results'!F24</f>
        <v/>
      </c>
      <c r="D19">
        <f>'Mens Varsity Results'!C24</f>
        <v>2</v>
      </c>
      <c r="G19" s="130"/>
      <c r="H19" s="131"/>
      <c r="I19" s="132"/>
      <c r="J19" s="131"/>
      <c r="K19" s="132"/>
      <c r="L19" s="131"/>
      <c r="M19" s="132"/>
      <c r="N19" s="131"/>
      <c r="O19" s="132"/>
      <c r="P19" s="131"/>
      <c r="Q19" s="132"/>
      <c r="R19" s="131"/>
      <c r="S19" s="132"/>
      <c r="T19" s="131"/>
      <c r="U19" s="132"/>
      <c r="V19" s="131"/>
      <c r="W19" s="132"/>
      <c r="X19" s="131"/>
      <c r="Y19" s="132"/>
      <c r="Z19" s="131"/>
      <c r="AA19" s="132"/>
      <c r="AB19" s="131"/>
      <c r="AC19" s="132"/>
      <c r="AD19" s="131"/>
      <c r="AE19" s="132"/>
      <c r="AF19" s="131"/>
      <c r="AG19" s="132"/>
      <c r="AH19" s="133"/>
    </row>
    <row r="20">
      <c r="A20" s="4">
        <v>10.0</v>
      </c>
      <c r="B20" s="4">
        <v>123.0</v>
      </c>
      <c r="C20" t="str">
        <f>'Mens Varsity Results'!F25</f>
        <v/>
      </c>
      <c r="D20">
        <f>'Mens Varsity Results'!C25</f>
        <v>1</v>
      </c>
      <c r="G20" s="112"/>
      <c r="H20" s="129"/>
      <c r="I20" s="128"/>
      <c r="J20" s="129"/>
      <c r="K20" s="128"/>
      <c r="L20" s="129"/>
      <c r="M20" s="128"/>
      <c r="N20" s="129"/>
      <c r="O20" s="128"/>
      <c r="P20" s="129"/>
      <c r="Q20" s="128"/>
      <c r="R20" s="129"/>
      <c r="S20" s="128"/>
      <c r="T20" s="129"/>
      <c r="U20" s="128"/>
      <c r="V20" s="129"/>
      <c r="W20" s="128"/>
      <c r="X20" s="129"/>
      <c r="Y20" s="128"/>
      <c r="Z20" s="129"/>
      <c r="AA20" s="128"/>
      <c r="AB20" s="129"/>
      <c r="AC20" s="128"/>
      <c r="AD20" s="129"/>
      <c r="AE20" s="128"/>
      <c r="AF20" s="129"/>
      <c r="AG20" s="128"/>
      <c r="AH20" s="118"/>
    </row>
    <row r="21">
      <c r="A21" s="4">
        <v>1.0</v>
      </c>
      <c r="B21" s="4">
        <v>132.0</v>
      </c>
      <c r="C21" t="str">
        <f>'Mens Varsity Results'!F26</f>
        <v/>
      </c>
      <c r="D21">
        <f>'Mens Varsity Results'!C26</f>
        <v>12</v>
      </c>
      <c r="G21" s="130"/>
      <c r="H21" s="131"/>
      <c r="I21" s="132"/>
      <c r="J21" s="131"/>
      <c r="K21" s="132"/>
      <c r="L21" s="131"/>
      <c r="M21" s="132"/>
      <c r="N21" s="131"/>
      <c r="O21" s="132"/>
      <c r="P21" s="131"/>
      <c r="Q21" s="132"/>
      <c r="R21" s="131"/>
      <c r="S21" s="132"/>
      <c r="T21" s="131"/>
      <c r="U21" s="132"/>
      <c r="V21" s="131"/>
      <c r="W21" s="132"/>
      <c r="X21" s="131"/>
      <c r="Y21" s="132"/>
      <c r="Z21" s="131"/>
      <c r="AA21" s="132"/>
      <c r="AB21" s="131"/>
      <c r="AC21" s="132"/>
      <c r="AD21" s="131"/>
      <c r="AE21" s="132"/>
      <c r="AF21" s="131"/>
      <c r="AG21" s="132"/>
      <c r="AH21" s="133"/>
    </row>
    <row r="22">
      <c r="A22" s="4">
        <v>2.0</v>
      </c>
      <c r="B22" s="4">
        <v>132.0</v>
      </c>
      <c r="C22" t="str">
        <f>'Mens Varsity Results'!F27</f>
        <v/>
      </c>
      <c r="D22">
        <f>'Mens Varsity Results'!C27</f>
        <v>9</v>
      </c>
      <c r="G22" s="112"/>
      <c r="H22" s="129"/>
      <c r="I22" s="128"/>
      <c r="J22" s="129"/>
      <c r="K22" s="128"/>
      <c r="L22" s="129"/>
      <c r="M22" s="128"/>
      <c r="N22" s="129"/>
      <c r="O22" s="128"/>
      <c r="P22" s="129"/>
      <c r="Q22" s="128"/>
      <c r="R22" s="129"/>
      <c r="S22" s="128"/>
      <c r="T22" s="129"/>
      <c r="U22" s="128"/>
      <c r="V22" s="129"/>
      <c r="W22" s="128"/>
      <c r="X22" s="129"/>
      <c r="Y22" s="128"/>
      <c r="Z22" s="129"/>
      <c r="AA22" s="128"/>
      <c r="AB22" s="129"/>
      <c r="AC22" s="128"/>
      <c r="AD22" s="129"/>
      <c r="AE22" s="128"/>
      <c r="AF22" s="129"/>
      <c r="AG22" s="128"/>
      <c r="AH22" s="118"/>
    </row>
    <row r="23">
      <c r="A23" s="4">
        <v>3.0</v>
      </c>
      <c r="B23" s="4">
        <v>132.0</v>
      </c>
      <c r="C23" t="str">
        <f>'Mens Varsity Results'!F28</f>
        <v/>
      </c>
      <c r="D23">
        <f>'Mens Varsity Results'!C28</f>
        <v>8</v>
      </c>
      <c r="G23" s="130"/>
      <c r="H23" s="131"/>
      <c r="I23" s="132"/>
      <c r="J23" s="131"/>
      <c r="K23" s="132"/>
      <c r="L23" s="131"/>
      <c r="M23" s="132"/>
      <c r="N23" s="131"/>
      <c r="O23" s="132"/>
      <c r="P23" s="131"/>
      <c r="Q23" s="132"/>
      <c r="R23" s="131"/>
      <c r="S23" s="132"/>
      <c r="T23" s="131"/>
      <c r="U23" s="132"/>
      <c r="V23" s="131"/>
      <c r="W23" s="132"/>
      <c r="X23" s="131"/>
      <c r="Y23" s="132"/>
      <c r="Z23" s="131"/>
      <c r="AA23" s="132"/>
      <c r="AB23" s="131"/>
      <c r="AC23" s="132"/>
      <c r="AD23" s="131"/>
      <c r="AE23" s="132"/>
      <c r="AF23" s="131"/>
      <c r="AG23" s="132"/>
      <c r="AH23" s="133"/>
    </row>
    <row r="24">
      <c r="A24" s="4">
        <v>4.0</v>
      </c>
      <c r="B24" s="4">
        <v>132.0</v>
      </c>
      <c r="C24" t="str">
        <f>'Mens Varsity Results'!F29</f>
        <v/>
      </c>
      <c r="D24">
        <f>'Mens Varsity Results'!C29</f>
        <v>7</v>
      </c>
      <c r="G24" s="112"/>
      <c r="H24" s="129"/>
      <c r="I24" s="128"/>
      <c r="J24" s="129"/>
      <c r="K24" s="128"/>
      <c r="L24" s="129"/>
      <c r="M24" s="128"/>
      <c r="N24" s="129"/>
      <c r="O24" s="128"/>
      <c r="P24" s="129"/>
      <c r="Q24" s="128"/>
      <c r="R24" s="129"/>
      <c r="S24" s="128"/>
      <c r="T24" s="129"/>
      <c r="U24" s="128"/>
      <c r="V24" s="129"/>
      <c r="W24" s="128"/>
      <c r="X24" s="129"/>
      <c r="Y24" s="128"/>
      <c r="Z24" s="129"/>
      <c r="AA24" s="128"/>
      <c r="AB24" s="129"/>
      <c r="AC24" s="128"/>
      <c r="AD24" s="129"/>
      <c r="AE24" s="128"/>
      <c r="AF24" s="129"/>
      <c r="AG24" s="128"/>
      <c r="AH24" s="118"/>
    </row>
    <row r="25">
      <c r="A25" s="4">
        <v>5.0</v>
      </c>
      <c r="B25" s="4">
        <v>132.0</v>
      </c>
      <c r="C25" t="str">
        <f>'Mens Varsity Results'!F30</f>
        <v/>
      </c>
      <c r="D25">
        <f>'Mens Varsity Results'!C30</f>
        <v>6</v>
      </c>
      <c r="G25" s="130"/>
      <c r="H25" s="131"/>
      <c r="I25" s="132"/>
      <c r="J25" s="131"/>
      <c r="K25" s="132"/>
      <c r="L25" s="131"/>
      <c r="M25" s="132"/>
      <c r="N25" s="131"/>
      <c r="O25" s="132"/>
      <c r="P25" s="131"/>
      <c r="Q25" s="132"/>
      <c r="R25" s="131"/>
      <c r="S25" s="132"/>
      <c r="T25" s="131"/>
      <c r="U25" s="132"/>
      <c r="V25" s="131"/>
      <c r="W25" s="132"/>
      <c r="X25" s="131"/>
      <c r="Y25" s="132"/>
      <c r="Z25" s="131"/>
      <c r="AA25" s="132"/>
      <c r="AB25" s="131"/>
      <c r="AC25" s="132"/>
      <c r="AD25" s="131"/>
      <c r="AE25" s="132"/>
      <c r="AF25" s="131"/>
      <c r="AG25" s="132"/>
      <c r="AH25" s="133"/>
    </row>
    <row r="26">
      <c r="A26" s="4">
        <v>6.0</v>
      </c>
      <c r="B26" s="4">
        <v>132.0</v>
      </c>
      <c r="C26" t="str">
        <f>'Mens Varsity Results'!F31</f>
        <v/>
      </c>
      <c r="D26">
        <f>'Mens Varsity Results'!C31</f>
        <v>5</v>
      </c>
      <c r="G26" s="112"/>
      <c r="H26" s="129"/>
      <c r="I26" s="128"/>
      <c r="J26" s="129"/>
      <c r="K26" s="128"/>
      <c r="L26" s="129"/>
      <c r="M26" s="128"/>
      <c r="N26" s="129"/>
      <c r="O26" s="128"/>
      <c r="P26" s="129"/>
      <c r="Q26" s="128"/>
      <c r="R26" s="129"/>
      <c r="S26" s="128"/>
      <c r="T26" s="129"/>
      <c r="U26" s="128"/>
      <c r="V26" s="129"/>
      <c r="W26" s="128"/>
      <c r="X26" s="129"/>
      <c r="Y26" s="128"/>
      <c r="Z26" s="129"/>
      <c r="AA26" s="128"/>
      <c r="AB26" s="129"/>
      <c r="AC26" s="128"/>
      <c r="AD26" s="129"/>
      <c r="AE26" s="128"/>
      <c r="AF26" s="129"/>
      <c r="AG26" s="128"/>
      <c r="AH26" s="118"/>
    </row>
    <row r="27">
      <c r="A27" s="4">
        <v>7.0</v>
      </c>
      <c r="B27" s="4">
        <v>132.0</v>
      </c>
      <c r="C27" t="str">
        <f>'Mens Varsity Results'!F32</f>
        <v/>
      </c>
      <c r="D27">
        <f>'Mens Varsity Results'!C32</f>
        <v>4</v>
      </c>
      <c r="G27" s="130"/>
      <c r="H27" s="131"/>
      <c r="I27" s="132"/>
      <c r="J27" s="131"/>
      <c r="K27" s="132"/>
      <c r="L27" s="131"/>
      <c r="M27" s="132"/>
      <c r="N27" s="131"/>
      <c r="O27" s="132"/>
      <c r="P27" s="131"/>
      <c r="Q27" s="132"/>
      <c r="R27" s="131"/>
      <c r="S27" s="132"/>
      <c r="T27" s="131"/>
      <c r="U27" s="132"/>
      <c r="V27" s="131"/>
      <c r="W27" s="132"/>
      <c r="X27" s="131"/>
      <c r="Y27" s="132"/>
      <c r="Z27" s="131"/>
      <c r="AA27" s="132"/>
      <c r="AB27" s="131"/>
      <c r="AC27" s="132"/>
      <c r="AD27" s="131"/>
      <c r="AE27" s="132"/>
      <c r="AF27" s="131"/>
      <c r="AG27" s="132"/>
      <c r="AH27" s="133"/>
    </row>
    <row r="28">
      <c r="A28" s="4">
        <v>8.0</v>
      </c>
      <c r="B28" s="4">
        <v>132.0</v>
      </c>
      <c r="C28" t="str">
        <f>'Mens Varsity Results'!F33</f>
        <v/>
      </c>
      <c r="D28">
        <f>'Mens Varsity Results'!C33</f>
        <v>3</v>
      </c>
      <c r="G28" s="112"/>
      <c r="H28" s="129"/>
      <c r="I28" s="128"/>
      <c r="J28" s="129"/>
      <c r="K28" s="128"/>
      <c r="L28" s="129"/>
      <c r="M28" s="128"/>
      <c r="N28" s="129"/>
      <c r="O28" s="128"/>
      <c r="P28" s="129"/>
      <c r="Q28" s="128"/>
      <c r="R28" s="129"/>
      <c r="S28" s="128"/>
      <c r="T28" s="129"/>
      <c r="U28" s="128"/>
      <c r="V28" s="129"/>
      <c r="W28" s="128"/>
      <c r="X28" s="129"/>
      <c r="Y28" s="128"/>
      <c r="Z28" s="129"/>
      <c r="AA28" s="128"/>
      <c r="AB28" s="129"/>
      <c r="AC28" s="128"/>
      <c r="AD28" s="129"/>
      <c r="AE28" s="128"/>
      <c r="AF28" s="129"/>
      <c r="AG28" s="128"/>
      <c r="AH28" s="118"/>
    </row>
    <row r="29">
      <c r="A29" s="4">
        <v>9.0</v>
      </c>
      <c r="B29" s="4">
        <v>132.0</v>
      </c>
      <c r="C29" t="str">
        <f>'Mens Varsity Results'!F34</f>
        <v/>
      </c>
      <c r="D29">
        <f>'Mens Varsity Results'!C34</f>
        <v>2</v>
      </c>
      <c r="G29" s="130"/>
      <c r="H29" s="131"/>
      <c r="I29" s="132"/>
      <c r="J29" s="131"/>
      <c r="K29" s="132"/>
      <c r="L29" s="131"/>
      <c r="M29" s="132"/>
      <c r="N29" s="131"/>
      <c r="O29" s="132"/>
      <c r="P29" s="131"/>
      <c r="Q29" s="132"/>
      <c r="R29" s="131"/>
      <c r="S29" s="132"/>
      <c r="T29" s="131"/>
      <c r="U29" s="132"/>
      <c r="V29" s="131"/>
      <c r="W29" s="132"/>
      <c r="X29" s="131"/>
      <c r="Y29" s="132"/>
      <c r="Z29" s="131"/>
      <c r="AA29" s="132"/>
      <c r="AB29" s="131"/>
      <c r="AC29" s="132"/>
      <c r="AD29" s="131"/>
      <c r="AE29" s="132"/>
      <c r="AF29" s="131"/>
      <c r="AG29" s="132"/>
      <c r="AH29" s="133"/>
    </row>
    <row r="30">
      <c r="A30" s="4">
        <v>10.0</v>
      </c>
      <c r="B30" s="4">
        <v>132.0</v>
      </c>
      <c r="C30" t="str">
        <f>'Mens Varsity Results'!F35</f>
        <v/>
      </c>
      <c r="D30">
        <f>'Mens Varsity Results'!C35</f>
        <v>1</v>
      </c>
      <c r="G30" s="112"/>
      <c r="H30" s="129"/>
      <c r="I30" s="128"/>
      <c r="J30" s="129"/>
      <c r="K30" s="128"/>
      <c r="L30" s="129"/>
      <c r="M30" s="128"/>
      <c r="N30" s="129"/>
      <c r="O30" s="128"/>
      <c r="P30" s="129"/>
      <c r="Q30" s="128"/>
      <c r="R30" s="129"/>
      <c r="S30" s="128"/>
      <c r="T30" s="129"/>
      <c r="U30" s="128"/>
      <c r="V30" s="129"/>
      <c r="W30" s="128"/>
      <c r="X30" s="129"/>
      <c r="Y30" s="128"/>
      <c r="Z30" s="129"/>
      <c r="AA30" s="128"/>
      <c r="AB30" s="129"/>
      <c r="AC30" s="128"/>
      <c r="AD30" s="129"/>
      <c r="AE30" s="128"/>
      <c r="AF30" s="129"/>
      <c r="AG30" s="128"/>
      <c r="AH30" s="118"/>
    </row>
    <row r="31">
      <c r="A31" s="4">
        <v>1.0</v>
      </c>
      <c r="B31" s="4">
        <v>145.0</v>
      </c>
      <c r="C31" t="str">
        <f>'Mens Varsity Results'!F36</f>
        <v/>
      </c>
      <c r="D31">
        <f>'Mens Varsity Results'!C36</f>
        <v>12</v>
      </c>
      <c r="G31" s="130"/>
      <c r="H31" s="131"/>
      <c r="I31" s="132"/>
      <c r="J31" s="131"/>
      <c r="K31" s="132"/>
      <c r="L31" s="131"/>
      <c r="M31" s="132"/>
      <c r="N31" s="131"/>
      <c r="O31" s="132"/>
      <c r="P31" s="131"/>
      <c r="Q31" s="132"/>
      <c r="R31" s="131"/>
      <c r="S31" s="132"/>
      <c r="T31" s="131"/>
      <c r="U31" s="132"/>
      <c r="V31" s="131"/>
      <c r="W31" s="132"/>
      <c r="X31" s="131"/>
      <c r="Y31" s="132"/>
      <c r="Z31" s="131"/>
      <c r="AA31" s="132"/>
      <c r="AB31" s="131"/>
      <c r="AC31" s="132"/>
      <c r="AD31" s="131"/>
      <c r="AE31" s="132"/>
      <c r="AF31" s="131"/>
      <c r="AG31" s="132"/>
      <c r="AH31" s="133"/>
    </row>
    <row r="32">
      <c r="A32" s="4">
        <v>2.0</v>
      </c>
      <c r="B32" s="4">
        <v>145.0</v>
      </c>
      <c r="C32" t="str">
        <f>'Mens Varsity Results'!F37</f>
        <v/>
      </c>
      <c r="D32">
        <f>'Mens Varsity Results'!C37</f>
        <v>9</v>
      </c>
      <c r="G32" s="112"/>
      <c r="H32" s="129"/>
      <c r="I32" s="128"/>
      <c r="J32" s="129"/>
      <c r="K32" s="128"/>
      <c r="L32" s="129"/>
      <c r="M32" s="128"/>
      <c r="N32" s="129"/>
      <c r="O32" s="128"/>
      <c r="P32" s="129"/>
      <c r="Q32" s="128"/>
      <c r="R32" s="129"/>
      <c r="S32" s="128"/>
      <c r="T32" s="129"/>
      <c r="U32" s="128"/>
      <c r="V32" s="129"/>
      <c r="W32" s="128"/>
      <c r="X32" s="129"/>
      <c r="Y32" s="128"/>
      <c r="Z32" s="129"/>
      <c r="AA32" s="128"/>
      <c r="AB32" s="129"/>
      <c r="AC32" s="128"/>
      <c r="AD32" s="129"/>
      <c r="AE32" s="128"/>
      <c r="AF32" s="129"/>
      <c r="AG32" s="128"/>
      <c r="AH32" s="118"/>
    </row>
    <row r="33">
      <c r="A33" s="4">
        <v>3.0</v>
      </c>
      <c r="B33" s="4">
        <v>145.0</v>
      </c>
      <c r="C33" t="str">
        <f>'Mens Varsity Results'!F38</f>
        <v/>
      </c>
      <c r="D33">
        <f>'Mens Varsity Results'!C38</f>
        <v>8</v>
      </c>
      <c r="G33" s="130"/>
      <c r="H33" s="131"/>
      <c r="I33" s="132"/>
      <c r="J33" s="131"/>
      <c r="K33" s="132"/>
      <c r="L33" s="131"/>
      <c r="M33" s="132"/>
      <c r="N33" s="131"/>
      <c r="O33" s="132"/>
      <c r="P33" s="131"/>
      <c r="Q33" s="132"/>
      <c r="R33" s="131"/>
      <c r="S33" s="132"/>
      <c r="T33" s="131"/>
      <c r="U33" s="132"/>
      <c r="V33" s="131"/>
      <c r="W33" s="132"/>
      <c r="X33" s="131"/>
      <c r="Y33" s="132"/>
      <c r="Z33" s="131"/>
      <c r="AA33" s="132"/>
      <c r="AB33" s="131"/>
      <c r="AC33" s="132"/>
      <c r="AD33" s="131"/>
      <c r="AE33" s="132"/>
      <c r="AF33" s="131"/>
      <c r="AG33" s="132"/>
      <c r="AH33" s="133"/>
    </row>
    <row r="34">
      <c r="A34" s="4">
        <v>4.0</v>
      </c>
      <c r="B34" s="4">
        <v>145.0</v>
      </c>
      <c r="C34" t="str">
        <f>'Mens Varsity Results'!F39</f>
        <v/>
      </c>
      <c r="D34">
        <f>'Mens Varsity Results'!C39</f>
        <v>7</v>
      </c>
      <c r="G34" s="112"/>
      <c r="H34" s="129"/>
      <c r="I34" s="128"/>
      <c r="J34" s="129"/>
      <c r="K34" s="128"/>
      <c r="L34" s="129"/>
      <c r="M34" s="128"/>
      <c r="N34" s="129"/>
      <c r="O34" s="128"/>
      <c r="P34" s="129"/>
      <c r="Q34" s="128"/>
      <c r="R34" s="129"/>
      <c r="S34" s="128"/>
      <c r="T34" s="129"/>
      <c r="U34" s="128"/>
      <c r="V34" s="129"/>
      <c r="W34" s="128"/>
      <c r="X34" s="129"/>
      <c r="Y34" s="128"/>
      <c r="Z34" s="129"/>
      <c r="AA34" s="128"/>
      <c r="AB34" s="129"/>
      <c r="AC34" s="128"/>
      <c r="AD34" s="129"/>
      <c r="AE34" s="128"/>
      <c r="AF34" s="129"/>
      <c r="AG34" s="128"/>
      <c r="AH34" s="118"/>
    </row>
    <row r="35">
      <c r="A35" s="4">
        <v>5.0</v>
      </c>
      <c r="B35" s="4">
        <v>145.0</v>
      </c>
      <c r="C35" t="str">
        <f>'Mens Varsity Results'!F40</f>
        <v/>
      </c>
      <c r="D35">
        <f>'Mens Varsity Results'!C40</f>
        <v>6</v>
      </c>
      <c r="G35" s="130"/>
      <c r="H35" s="131"/>
      <c r="I35" s="132"/>
      <c r="J35" s="131"/>
      <c r="K35" s="132"/>
      <c r="L35" s="131"/>
      <c r="M35" s="132"/>
      <c r="N35" s="131"/>
      <c r="O35" s="132"/>
      <c r="P35" s="131"/>
      <c r="Q35" s="132"/>
      <c r="R35" s="131"/>
      <c r="S35" s="132"/>
      <c r="T35" s="131"/>
      <c r="U35" s="132"/>
      <c r="V35" s="131"/>
      <c r="W35" s="132"/>
      <c r="X35" s="131"/>
      <c r="Y35" s="132"/>
      <c r="Z35" s="131"/>
      <c r="AA35" s="132"/>
      <c r="AB35" s="131"/>
      <c r="AC35" s="132"/>
      <c r="AD35" s="131"/>
      <c r="AE35" s="132"/>
      <c r="AF35" s="131"/>
      <c r="AG35" s="132"/>
      <c r="AH35" s="133"/>
    </row>
    <row r="36">
      <c r="A36" s="4">
        <v>6.0</v>
      </c>
      <c r="B36" s="4">
        <v>145.0</v>
      </c>
      <c r="C36" t="str">
        <f>'Mens Varsity Results'!F41</f>
        <v/>
      </c>
      <c r="D36">
        <f>'Mens Varsity Results'!C41</f>
        <v>5</v>
      </c>
      <c r="G36" s="112"/>
      <c r="H36" s="129"/>
      <c r="I36" s="128"/>
      <c r="J36" s="129"/>
      <c r="K36" s="128"/>
      <c r="L36" s="129"/>
      <c r="M36" s="128"/>
      <c r="N36" s="129"/>
      <c r="O36" s="128"/>
      <c r="P36" s="129"/>
      <c r="Q36" s="128"/>
      <c r="R36" s="129"/>
      <c r="S36" s="128"/>
      <c r="T36" s="129"/>
      <c r="U36" s="128"/>
      <c r="V36" s="129"/>
      <c r="W36" s="128"/>
      <c r="X36" s="129"/>
      <c r="Y36" s="128"/>
      <c r="Z36" s="129"/>
      <c r="AA36" s="128"/>
      <c r="AB36" s="129"/>
      <c r="AC36" s="128"/>
      <c r="AD36" s="129"/>
      <c r="AE36" s="128"/>
      <c r="AF36" s="129"/>
      <c r="AG36" s="128"/>
      <c r="AH36" s="118"/>
    </row>
    <row r="37">
      <c r="A37" s="4">
        <v>7.0</v>
      </c>
      <c r="B37" s="4">
        <v>145.0</v>
      </c>
      <c r="C37" t="str">
        <f>'Mens Varsity Results'!F42</f>
        <v/>
      </c>
      <c r="D37">
        <f>'Mens Varsity Results'!C42</f>
        <v>4</v>
      </c>
      <c r="G37" s="130"/>
      <c r="H37" s="131"/>
      <c r="I37" s="132"/>
      <c r="J37" s="131"/>
      <c r="K37" s="132"/>
      <c r="L37" s="131"/>
      <c r="M37" s="132"/>
      <c r="N37" s="131"/>
      <c r="O37" s="132"/>
      <c r="P37" s="131"/>
      <c r="Q37" s="132"/>
      <c r="R37" s="131"/>
      <c r="S37" s="132"/>
      <c r="T37" s="131"/>
      <c r="U37" s="132"/>
      <c r="V37" s="131"/>
      <c r="W37" s="132"/>
      <c r="X37" s="131"/>
      <c r="Y37" s="132"/>
      <c r="Z37" s="131"/>
      <c r="AA37" s="132"/>
      <c r="AB37" s="131"/>
      <c r="AC37" s="132"/>
      <c r="AD37" s="131"/>
      <c r="AE37" s="132"/>
      <c r="AF37" s="131"/>
      <c r="AG37" s="132"/>
      <c r="AH37" s="133"/>
    </row>
    <row r="38">
      <c r="A38" s="4">
        <v>8.0</v>
      </c>
      <c r="B38" s="4">
        <v>145.0</v>
      </c>
      <c r="C38" t="str">
        <f>'Mens Varsity Results'!F43</f>
        <v/>
      </c>
      <c r="D38">
        <f>'Mens Varsity Results'!C43</f>
        <v>3</v>
      </c>
      <c r="G38" s="112"/>
      <c r="H38" s="129"/>
      <c r="I38" s="128"/>
      <c r="J38" s="129"/>
      <c r="K38" s="128"/>
      <c r="L38" s="129"/>
      <c r="M38" s="128"/>
      <c r="N38" s="129"/>
      <c r="O38" s="128"/>
      <c r="P38" s="129"/>
      <c r="Q38" s="128"/>
      <c r="R38" s="129"/>
      <c r="S38" s="128"/>
      <c r="T38" s="129"/>
      <c r="U38" s="128"/>
      <c r="V38" s="129"/>
      <c r="W38" s="128"/>
      <c r="X38" s="129"/>
      <c r="Y38" s="128"/>
      <c r="Z38" s="129"/>
      <c r="AA38" s="128"/>
      <c r="AB38" s="129"/>
      <c r="AC38" s="128"/>
      <c r="AD38" s="129"/>
      <c r="AE38" s="128"/>
      <c r="AF38" s="129"/>
      <c r="AG38" s="128"/>
      <c r="AH38" s="118"/>
    </row>
    <row r="39">
      <c r="A39" s="4">
        <v>9.0</v>
      </c>
      <c r="B39" s="4">
        <v>145.0</v>
      </c>
      <c r="C39" t="str">
        <f>'Mens Varsity Results'!F44</f>
        <v/>
      </c>
      <c r="D39">
        <f>'Mens Varsity Results'!C44</f>
        <v>2</v>
      </c>
      <c r="G39" s="130"/>
      <c r="H39" s="131"/>
      <c r="I39" s="132"/>
      <c r="J39" s="131"/>
      <c r="K39" s="132"/>
      <c r="L39" s="131"/>
      <c r="M39" s="132"/>
      <c r="N39" s="131"/>
      <c r="O39" s="132"/>
      <c r="P39" s="131"/>
      <c r="Q39" s="132"/>
      <c r="R39" s="131"/>
      <c r="S39" s="132"/>
      <c r="T39" s="131"/>
      <c r="U39" s="132"/>
      <c r="V39" s="131"/>
      <c r="W39" s="132"/>
      <c r="X39" s="131"/>
      <c r="Y39" s="132"/>
      <c r="Z39" s="131"/>
      <c r="AA39" s="132"/>
      <c r="AB39" s="131"/>
      <c r="AC39" s="132"/>
      <c r="AD39" s="131"/>
      <c r="AE39" s="132"/>
      <c r="AF39" s="131"/>
      <c r="AG39" s="132"/>
      <c r="AH39" s="133"/>
    </row>
    <row r="40">
      <c r="A40" s="4">
        <v>10.0</v>
      </c>
      <c r="B40" s="4">
        <v>145.0</v>
      </c>
      <c r="C40" t="str">
        <f>'Mens Varsity Results'!F45</f>
        <v/>
      </c>
      <c r="D40">
        <f>'Mens Varsity Results'!C45</f>
        <v>1</v>
      </c>
      <c r="G40" s="112"/>
      <c r="H40" s="129"/>
      <c r="I40" s="128"/>
      <c r="J40" s="129"/>
      <c r="K40" s="128"/>
      <c r="L40" s="129"/>
      <c r="M40" s="128"/>
      <c r="N40" s="129"/>
      <c r="O40" s="128"/>
      <c r="P40" s="129"/>
      <c r="Q40" s="128"/>
      <c r="R40" s="129"/>
      <c r="S40" s="128"/>
      <c r="T40" s="129"/>
      <c r="U40" s="128"/>
      <c r="V40" s="129"/>
      <c r="W40" s="128"/>
      <c r="X40" s="129"/>
      <c r="Y40" s="128"/>
      <c r="Z40" s="129"/>
      <c r="AA40" s="128"/>
      <c r="AB40" s="129"/>
      <c r="AC40" s="128"/>
      <c r="AD40" s="129"/>
      <c r="AE40" s="128"/>
      <c r="AF40" s="129"/>
      <c r="AG40" s="128"/>
      <c r="AH40" s="118"/>
    </row>
    <row r="41">
      <c r="A41" s="4">
        <v>1.0</v>
      </c>
      <c r="B41" s="4">
        <v>155.0</v>
      </c>
      <c r="C41" t="str">
        <f>'Mens Varsity Results'!F46</f>
        <v/>
      </c>
      <c r="D41">
        <f>'Mens Varsity Results'!C46</f>
        <v>12</v>
      </c>
      <c r="G41" s="130"/>
      <c r="H41" s="131"/>
      <c r="I41" s="132"/>
      <c r="J41" s="131"/>
      <c r="K41" s="132"/>
      <c r="L41" s="131"/>
      <c r="M41" s="132"/>
      <c r="N41" s="131"/>
      <c r="O41" s="132"/>
      <c r="P41" s="131"/>
      <c r="Q41" s="132"/>
      <c r="R41" s="131"/>
      <c r="S41" s="132"/>
      <c r="T41" s="131"/>
      <c r="U41" s="132"/>
      <c r="V41" s="131"/>
      <c r="W41" s="132"/>
      <c r="X41" s="131"/>
      <c r="Y41" s="132"/>
      <c r="Z41" s="131"/>
      <c r="AA41" s="132"/>
      <c r="AB41" s="131"/>
      <c r="AC41" s="132"/>
      <c r="AD41" s="131"/>
      <c r="AE41" s="132"/>
      <c r="AF41" s="131"/>
      <c r="AG41" s="132"/>
      <c r="AH41" s="133"/>
    </row>
    <row r="42">
      <c r="A42" s="4">
        <v>2.0</v>
      </c>
      <c r="B42" s="4">
        <v>155.0</v>
      </c>
      <c r="C42" t="str">
        <f>'Mens Varsity Results'!F47</f>
        <v/>
      </c>
      <c r="D42">
        <f>'Mens Varsity Results'!C47</f>
        <v>9</v>
      </c>
      <c r="G42" s="112"/>
      <c r="H42" s="129"/>
      <c r="I42" s="128"/>
      <c r="J42" s="129"/>
      <c r="K42" s="128"/>
      <c r="L42" s="129"/>
      <c r="M42" s="128"/>
      <c r="N42" s="129"/>
      <c r="O42" s="128"/>
      <c r="P42" s="129"/>
      <c r="Q42" s="128"/>
      <c r="R42" s="129"/>
      <c r="S42" s="128"/>
      <c r="T42" s="129"/>
      <c r="U42" s="128"/>
      <c r="V42" s="129"/>
      <c r="W42" s="128"/>
      <c r="X42" s="129"/>
      <c r="Y42" s="128"/>
      <c r="Z42" s="129"/>
      <c r="AA42" s="128"/>
      <c r="AB42" s="129"/>
      <c r="AC42" s="128"/>
      <c r="AD42" s="129"/>
      <c r="AE42" s="128"/>
      <c r="AF42" s="129"/>
      <c r="AG42" s="128"/>
      <c r="AH42" s="118"/>
    </row>
    <row r="43">
      <c r="A43" s="4">
        <v>3.0</v>
      </c>
      <c r="B43" s="4">
        <v>155.0</v>
      </c>
      <c r="C43" t="str">
        <f>'Mens Varsity Results'!F48</f>
        <v/>
      </c>
      <c r="D43">
        <f>'Mens Varsity Results'!C48</f>
        <v>8</v>
      </c>
      <c r="G43" s="130"/>
      <c r="H43" s="131"/>
      <c r="I43" s="132"/>
      <c r="J43" s="131"/>
      <c r="K43" s="132"/>
      <c r="L43" s="131"/>
      <c r="M43" s="132"/>
      <c r="N43" s="131"/>
      <c r="O43" s="132"/>
      <c r="P43" s="131"/>
      <c r="Q43" s="132"/>
      <c r="R43" s="131"/>
      <c r="S43" s="132"/>
      <c r="T43" s="131"/>
      <c r="U43" s="132"/>
      <c r="V43" s="131"/>
      <c r="W43" s="132"/>
      <c r="X43" s="131"/>
      <c r="Y43" s="132"/>
      <c r="Z43" s="131"/>
      <c r="AA43" s="132"/>
      <c r="AB43" s="131"/>
      <c r="AC43" s="132"/>
      <c r="AD43" s="131"/>
      <c r="AE43" s="132"/>
      <c r="AF43" s="131"/>
      <c r="AG43" s="132"/>
      <c r="AH43" s="133"/>
    </row>
    <row r="44">
      <c r="A44" s="4">
        <v>4.0</v>
      </c>
      <c r="B44" s="4">
        <v>155.0</v>
      </c>
      <c r="C44" t="str">
        <f>'Mens Varsity Results'!F49</f>
        <v/>
      </c>
      <c r="D44">
        <f>'Mens Varsity Results'!C49</f>
        <v>7</v>
      </c>
      <c r="G44" s="112"/>
      <c r="H44" s="129"/>
      <c r="I44" s="128"/>
      <c r="J44" s="129"/>
      <c r="K44" s="128"/>
      <c r="L44" s="129"/>
      <c r="M44" s="128"/>
      <c r="N44" s="129"/>
      <c r="O44" s="128"/>
      <c r="P44" s="129"/>
      <c r="Q44" s="128"/>
      <c r="R44" s="129"/>
      <c r="S44" s="128"/>
      <c r="T44" s="129"/>
      <c r="U44" s="128"/>
      <c r="V44" s="129"/>
      <c r="W44" s="128"/>
      <c r="X44" s="129"/>
      <c r="Y44" s="128"/>
      <c r="Z44" s="129"/>
      <c r="AA44" s="128"/>
      <c r="AB44" s="129"/>
      <c r="AC44" s="128"/>
      <c r="AD44" s="129"/>
      <c r="AE44" s="128"/>
      <c r="AF44" s="129"/>
      <c r="AG44" s="128"/>
      <c r="AH44" s="118"/>
    </row>
    <row r="45">
      <c r="A45" s="4">
        <v>5.0</v>
      </c>
      <c r="B45" s="4">
        <v>155.0</v>
      </c>
      <c r="C45" t="str">
        <f>'Mens Varsity Results'!F50</f>
        <v/>
      </c>
      <c r="D45">
        <f>'Mens Varsity Results'!C50</f>
        <v>6</v>
      </c>
      <c r="G45" s="130"/>
      <c r="H45" s="131"/>
      <c r="I45" s="132"/>
      <c r="J45" s="131"/>
      <c r="K45" s="132"/>
      <c r="L45" s="131"/>
      <c r="M45" s="132"/>
      <c r="N45" s="131"/>
      <c r="O45" s="132"/>
      <c r="P45" s="131"/>
      <c r="Q45" s="132"/>
      <c r="R45" s="131"/>
      <c r="S45" s="132"/>
      <c r="T45" s="131"/>
      <c r="U45" s="132"/>
      <c r="V45" s="131"/>
      <c r="W45" s="132"/>
      <c r="X45" s="131"/>
      <c r="Y45" s="132"/>
      <c r="Z45" s="131"/>
      <c r="AA45" s="132"/>
      <c r="AB45" s="131"/>
      <c r="AC45" s="132"/>
      <c r="AD45" s="131"/>
      <c r="AE45" s="132"/>
      <c r="AF45" s="131"/>
      <c r="AG45" s="132"/>
      <c r="AH45" s="133"/>
    </row>
    <row r="46">
      <c r="A46" s="4">
        <v>6.0</v>
      </c>
      <c r="B46" s="4">
        <v>155.0</v>
      </c>
      <c r="C46" t="str">
        <f>'Mens Varsity Results'!F51</f>
        <v/>
      </c>
      <c r="D46">
        <f>'Mens Varsity Results'!C51</f>
        <v>5</v>
      </c>
      <c r="G46" s="112"/>
      <c r="H46" s="129"/>
      <c r="I46" s="128"/>
      <c r="J46" s="129"/>
      <c r="K46" s="128"/>
      <c r="L46" s="129"/>
      <c r="M46" s="128"/>
      <c r="N46" s="129"/>
      <c r="O46" s="128"/>
      <c r="P46" s="129"/>
      <c r="Q46" s="128"/>
      <c r="R46" s="129"/>
      <c r="S46" s="128"/>
      <c r="T46" s="129"/>
      <c r="U46" s="128"/>
      <c r="V46" s="129"/>
      <c r="W46" s="128"/>
      <c r="X46" s="129"/>
      <c r="Y46" s="128"/>
      <c r="Z46" s="129"/>
      <c r="AA46" s="128"/>
      <c r="AB46" s="129"/>
      <c r="AC46" s="128"/>
      <c r="AD46" s="129"/>
      <c r="AE46" s="128"/>
      <c r="AF46" s="129"/>
      <c r="AG46" s="128"/>
      <c r="AH46" s="118"/>
    </row>
    <row r="47">
      <c r="A47" s="4">
        <v>7.0</v>
      </c>
      <c r="B47" s="4">
        <v>155.0</v>
      </c>
      <c r="C47" t="str">
        <f>'Mens Varsity Results'!F52</f>
        <v/>
      </c>
      <c r="D47">
        <f>'Mens Varsity Results'!C52</f>
        <v>4</v>
      </c>
      <c r="G47" s="130"/>
      <c r="H47" s="131"/>
      <c r="I47" s="132"/>
      <c r="J47" s="131"/>
      <c r="K47" s="132"/>
      <c r="L47" s="131"/>
      <c r="M47" s="132"/>
      <c r="N47" s="131"/>
      <c r="O47" s="132"/>
      <c r="P47" s="131"/>
      <c r="Q47" s="132"/>
      <c r="R47" s="131"/>
      <c r="S47" s="132"/>
      <c r="T47" s="131"/>
      <c r="U47" s="132"/>
      <c r="V47" s="131"/>
      <c r="W47" s="132"/>
      <c r="X47" s="131"/>
      <c r="Y47" s="132"/>
      <c r="Z47" s="131"/>
      <c r="AA47" s="132"/>
      <c r="AB47" s="131"/>
      <c r="AC47" s="132"/>
      <c r="AD47" s="131"/>
      <c r="AE47" s="132"/>
      <c r="AF47" s="131"/>
      <c r="AG47" s="132"/>
      <c r="AH47" s="133"/>
    </row>
    <row r="48">
      <c r="A48" s="4">
        <v>8.0</v>
      </c>
      <c r="B48" s="4">
        <v>155.0</v>
      </c>
      <c r="C48" t="str">
        <f>'Mens Varsity Results'!F53</f>
        <v/>
      </c>
      <c r="D48">
        <f>'Mens Varsity Results'!C53</f>
        <v>3</v>
      </c>
      <c r="G48" s="112"/>
      <c r="H48" s="129"/>
      <c r="I48" s="128"/>
      <c r="J48" s="129"/>
      <c r="K48" s="128"/>
      <c r="L48" s="129"/>
      <c r="M48" s="128"/>
      <c r="N48" s="129"/>
      <c r="O48" s="128"/>
      <c r="P48" s="129"/>
      <c r="Q48" s="128"/>
      <c r="R48" s="129"/>
      <c r="S48" s="128"/>
      <c r="T48" s="129"/>
      <c r="U48" s="128"/>
      <c r="V48" s="129"/>
      <c r="W48" s="128"/>
      <c r="X48" s="129"/>
      <c r="Y48" s="128"/>
      <c r="Z48" s="129"/>
      <c r="AA48" s="128"/>
      <c r="AB48" s="129"/>
      <c r="AC48" s="128"/>
      <c r="AD48" s="129"/>
      <c r="AE48" s="128"/>
      <c r="AF48" s="129"/>
      <c r="AG48" s="128"/>
      <c r="AH48" s="118"/>
    </row>
    <row r="49">
      <c r="A49" s="4">
        <v>9.0</v>
      </c>
      <c r="B49" s="4">
        <v>155.0</v>
      </c>
      <c r="C49" t="str">
        <f>'Mens Varsity Results'!F54</f>
        <v/>
      </c>
      <c r="D49">
        <f>'Mens Varsity Results'!C54</f>
        <v>2</v>
      </c>
      <c r="G49" s="130"/>
      <c r="H49" s="131"/>
      <c r="I49" s="132"/>
      <c r="J49" s="131"/>
      <c r="K49" s="132"/>
      <c r="L49" s="131"/>
      <c r="M49" s="132"/>
      <c r="N49" s="131"/>
      <c r="O49" s="132"/>
      <c r="P49" s="131"/>
      <c r="Q49" s="132"/>
      <c r="R49" s="131"/>
      <c r="S49" s="132"/>
      <c r="T49" s="131"/>
      <c r="U49" s="132"/>
      <c r="V49" s="131"/>
      <c r="W49" s="132"/>
      <c r="X49" s="131"/>
      <c r="Y49" s="132"/>
      <c r="Z49" s="131"/>
      <c r="AA49" s="132"/>
      <c r="AB49" s="131"/>
      <c r="AC49" s="132"/>
      <c r="AD49" s="131"/>
      <c r="AE49" s="132"/>
      <c r="AF49" s="131"/>
      <c r="AG49" s="132"/>
      <c r="AH49" s="133"/>
    </row>
    <row r="50">
      <c r="A50" s="4">
        <v>10.0</v>
      </c>
      <c r="B50" s="4">
        <v>155.0</v>
      </c>
      <c r="C50" t="str">
        <f>'Mens Varsity Results'!F55</f>
        <v/>
      </c>
      <c r="D50">
        <f>'Mens Varsity Results'!C55</f>
        <v>1</v>
      </c>
      <c r="G50" s="112"/>
      <c r="H50" s="129"/>
      <c r="I50" s="128"/>
      <c r="J50" s="129"/>
      <c r="K50" s="128"/>
      <c r="L50" s="129"/>
      <c r="M50" s="128"/>
      <c r="N50" s="129"/>
      <c r="O50" s="128"/>
      <c r="P50" s="129"/>
      <c r="Q50" s="128"/>
      <c r="R50" s="129"/>
      <c r="S50" s="128"/>
      <c r="T50" s="129"/>
      <c r="U50" s="128"/>
      <c r="V50" s="129"/>
      <c r="W50" s="128"/>
      <c r="X50" s="129"/>
      <c r="Y50" s="128"/>
      <c r="Z50" s="129"/>
      <c r="AA50" s="128"/>
      <c r="AB50" s="129"/>
      <c r="AC50" s="128"/>
      <c r="AD50" s="129"/>
      <c r="AE50" s="128"/>
      <c r="AF50" s="129"/>
      <c r="AG50" s="128"/>
      <c r="AH50" s="118"/>
    </row>
    <row r="51">
      <c r="A51" s="4">
        <v>1.0</v>
      </c>
      <c r="B51" s="4">
        <v>165.0</v>
      </c>
      <c r="C51" t="str">
        <f>'Mens Varsity Results'!F56</f>
        <v/>
      </c>
      <c r="D51">
        <f>'Mens Varsity Results'!C56</f>
        <v>12</v>
      </c>
      <c r="G51" s="130"/>
      <c r="H51" s="131"/>
      <c r="I51" s="132"/>
      <c r="J51" s="131"/>
      <c r="K51" s="132"/>
      <c r="L51" s="131"/>
      <c r="M51" s="132"/>
      <c r="N51" s="131"/>
      <c r="O51" s="132"/>
      <c r="P51" s="131"/>
      <c r="Q51" s="132"/>
      <c r="R51" s="131"/>
      <c r="S51" s="132"/>
      <c r="T51" s="131"/>
      <c r="U51" s="132"/>
      <c r="V51" s="131"/>
      <c r="W51" s="132"/>
      <c r="X51" s="131"/>
      <c r="Y51" s="132"/>
      <c r="Z51" s="131"/>
      <c r="AA51" s="132"/>
      <c r="AB51" s="131"/>
      <c r="AC51" s="132"/>
      <c r="AD51" s="131"/>
      <c r="AE51" s="132"/>
      <c r="AF51" s="131"/>
      <c r="AG51" s="132"/>
      <c r="AH51" s="133"/>
    </row>
    <row r="52">
      <c r="A52" s="4">
        <v>2.0</v>
      </c>
      <c r="B52" s="4">
        <v>165.0</v>
      </c>
      <c r="C52" t="str">
        <f>'Mens Varsity Results'!F57</f>
        <v/>
      </c>
      <c r="D52">
        <f>'Mens Varsity Results'!C57</f>
        <v>9</v>
      </c>
      <c r="G52" s="112"/>
      <c r="H52" s="129"/>
      <c r="I52" s="128"/>
      <c r="J52" s="129"/>
      <c r="K52" s="128"/>
      <c r="L52" s="129"/>
      <c r="M52" s="128"/>
      <c r="N52" s="129"/>
      <c r="O52" s="128"/>
      <c r="P52" s="129"/>
      <c r="Q52" s="128"/>
      <c r="R52" s="129"/>
      <c r="S52" s="128"/>
      <c r="T52" s="129"/>
      <c r="U52" s="128"/>
      <c r="V52" s="129"/>
      <c r="W52" s="128"/>
      <c r="X52" s="129"/>
      <c r="Y52" s="128"/>
      <c r="Z52" s="129"/>
      <c r="AA52" s="128"/>
      <c r="AB52" s="129"/>
      <c r="AC52" s="128"/>
      <c r="AD52" s="129"/>
      <c r="AE52" s="128"/>
      <c r="AF52" s="129"/>
      <c r="AG52" s="128"/>
      <c r="AH52" s="118"/>
    </row>
    <row r="53">
      <c r="A53" s="4">
        <v>3.0</v>
      </c>
      <c r="B53" s="4">
        <v>165.0</v>
      </c>
      <c r="C53" t="str">
        <f>'Mens Varsity Results'!F58</f>
        <v/>
      </c>
      <c r="D53">
        <f>'Mens Varsity Results'!C58</f>
        <v>8</v>
      </c>
      <c r="G53" s="130"/>
      <c r="H53" s="131"/>
      <c r="I53" s="132"/>
      <c r="J53" s="131"/>
      <c r="K53" s="132"/>
      <c r="L53" s="131"/>
      <c r="M53" s="132"/>
      <c r="N53" s="131"/>
      <c r="O53" s="132"/>
      <c r="P53" s="131"/>
      <c r="Q53" s="132"/>
      <c r="R53" s="131"/>
      <c r="S53" s="132"/>
      <c r="T53" s="131"/>
      <c r="U53" s="132"/>
      <c r="V53" s="131"/>
      <c r="W53" s="132"/>
      <c r="X53" s="131"/>
      <c r="Y53" s="132"/>
      <c r="Z53" s="131"/>
      <c r="AA53" s="132"/>
      <c r="AB53" s="131"/>
      <c r="AC53" s="132"/>
      <c r="AD53" s="131"/>
      <c r="AE53" s="132"/>
      <c r="AF53" s="131"/>
      <c r="AG53" s="132"/>
      <c r="AH53" s="133"/>
    </row>
    <row r="54">
      <c r="A54" s="4">
        <v>4.0</v>
      </c>
      <c r="B54" s="4">
        <v>165.0</v>
      </c>
      <c r="C54" t="str">
        <f>'Mens Varsity Results'!F59</f>
        <v/>
      </c>
      <c r="D54">
        <f>'Mens Varsity Results'!C59</f>
        <v>7</v>
      </c>
      <c r="G54" s="112"/>
      <c r="H54" s="129"/>
      <c r="I54" s="128"/>
      <c r="J54" s="129"/>
      <c r="K54" s="128"/>
      <c r="L54" s="129"/>
      <c r="M54" s="128"/>
      <c r="N54" s="129"/>
      <c r="O54" s="128"/>
      <c r="P54" s="129"/>
      <c r="Q54" s="128"/>
      <c r="R54" s="129"/>
      <c r="S54" s="128"/>
      <c r="T54" s="129"/>
      <c r="U54" s="128"/>
      <c r="V54" s="129"/>
      <c r="W54" s="128"/>
      <c r="X54" s="129"/>
      <c r="Y54" s="128"/>
      <c r="Z54" s="129"/>
      <c r="AA54" s="128"/>
      <c r="AB54" s="129"/>
      <c r="AC54" s="128"/>
      <c r="AD54" s="129"/>
      <c r="AE54" s="128"/>
      <c r="AF54" s="129"/>
      <c r="AG54" s="128"/>
      <c r="AH54" s="118"/>
    </row>
    <row r="55">
      <c r="A55" s="4">
        <v>5.0</v>
      </c>
      <c r="B55" s="4">
        <v>165.0</v>
      </c>
      <c r="C55" t="str">
        <f>'Mens Varsity Results'!F60</f>
        <v/>
      </c>
      <c r="D55">
        <f>'Mens Varsity Results'!C60</f>
        <v>6</v>
      </c>
      <c r="G55" s="130"/>
      <c r="H55" s="131"/>
      <c r="I55" s="132"/>
      <c r="J55" s="131"/>
      <c r="K55" s="132"/>
      <c r="L55" s="131"/>
      <c r="M55" s="132"/>
      <c r="N55" s="131"/>
      <c r="O55" s="132"/>
      <c r="P55" s="131"/>
      <c r="Q55" s="132"/>
      <c r="R55" s="131"/>
      <c r="S55" s="132"/>
      <c r="T55" s="131"/>
      <c r="U55" s="132"/>
      <c r="V55" s="131"/>
      <c r="W55" s="132"/>
      <c r="X55" s="131"/>
      <c r="Y55" s="132"/>
      <c r="Z55" s="131"/>
      <c r="AA55" s="132"/>
      <c r="AB55" s="131"/>
      <c r="AC55" s="132"/>
      <c r="AD55" s="131"/>
      <c r="AE55" s="132"/>
      <c r="AF55" s="131"/>
      <c r="AG55" s="132"/>
      <c r="AH55" s="133"/>
    </row>
    <row r="56">
      <c r="A56" s="4">
        <v>6.0</v>
      </c>
      <c r="B56" s="4">
        <v>165.0</v>
      </c>
      <c r="C56" t="str">
        <f>'Mens Varsity Results'!F61</f>
        <v/>
      </c>
      <c r="D56">
        <f>'Mens Varsity Results'!C61</f>
        <v>5</v>
      </c>
      <c r="G56" s="112"/>
      <c r="H56" s="129"/>
      <c r="I56" s="128"/>
      <c r="J56" s="129"/>
      <c r="K56" s="128"/>
      <c r="L56" s="129"/>
      <c r="M56" s="128"/>
      <c r="N56" s="129"/>
      <c r="O56" s="128"/>
      <c r="P56" s="129"/>
      <c r="Q56" s="128"/>
      <c r="R56" s="129"/>
      <c r="S56" s="128"/>
      <c r="T56" s="129"/>
      <c r="U56" s="128"/>
      <c r="V56" s="129"/>
      <c r="W56" s="128"/>
      <c r="X56" s="129"/>
      <c r="Y56" s="128"/>
      <c r="Z56" s="129"/>
      <c r="AA56" s="128"/>
      <c r="AB56" s="129"/>
      <c r="AC56" s="128"/>
      <c r="AD56" s="129"/>
      <c r="AE56" s="128"/>
      <c r="AF56" s="129"/>
      <c r="AG56" s="128"/>
      <c r="AH56" s="118"/>
    </row>
    <row r="57">
      <c r="A57" s="4">
        <v>7.0</v>
      </c>
      <c r="B57" s="4">
        <v>165.0</v>
      </c>
      <c r="C57" t="str">
        <f>'Mens Varsity Results'!F62</f>
        <v/>
      </c>
      <c r="D57">
        <f>'Mens Varsity Results'!C62</f>
        <v>4</v>
      </c>
      <c r="G57" s="130"/>
      <c r="H57" s="131"/>
      <c r="I57" s="132"/>
      <c r="J57" s="131"/>
      <c r="K57" s="132"/>
      <c r="L57" s="131"/>
      <c r="M57" s="132"/>
      <c r="N57" s="131"/>
      <c r="O57" s="132"/>
      <c r="P57" s="131"/>
      <c r="Q57" s="132"/>
      <c r="R57" s="131"/>
      <c r="S57" s="132"/>
      <c r="T57" s="131"/>
      <c r="U57" s="132"/>
      <c r="V57" s="131"/>
      <c r="W57" s="132"/>
      <c r="X57" s="131"/>
      <c r="Y57" s="132"/>
      <c r="Z57" s="131"/>
      <c r="AA57" s="132"/>
      <c r="AB57" s="131"/>
      <c r="AC57" s="132"/>
      <c r="AD57" s="131"/>
      <c r="AE57" s="132"/>
      <c r="AF57" s="131"/>
      <c r="AG57" s="132"/>
      <c r="AH57" s="133"/>
    </row>
    <row r="58">
      <c r="A58" s="4">
        <v>8.0</v>
      </c>
      <c r="B58" s="4">
        <v>165.0</v>
      </c>
      <c r="C58" t="str">
        <f>'Mens Varsity Results'!F63</f>
        <v/>
      </c>
      <c r="D58">
        <f>'Mens Varsity Results'!C63</f>
        <v>3</v>
      </c>
      <c r="G58" s="112"/>
      <c r="H58" s="129"/>
      <c r="I58" s="128"/>
      <c r="J58" s="129"/>
      <c r="K58" s="128"/>
      <c r="L58" s="129"/>
      <c r="M58" s="128"/>
      <c r="N58" s="129"/>
      <c r="O58" s="128"/>
      <c r="P58" s="129"/>
      <c r="Q58" s="128"/>
      <c r="R58" s="129"/>
      <c r="S58" s="128"/>
      <c r="T58" s="129"/>
      <c r="U58" s="128"/>
      <c r="V58" s="129"/>
      <c r="W58" s="128"/>
      <c r="X58" s="129"/>
      <c r="Y58" s="128"/>
      <c r="Z58" s="129"/>
      <c r="AA58" s="128"/>
      <c r="AB58" s="129"/>
      <c r="AC58" s="128"/>
      <c r="AD58" s="129"/>
      <c r="AE58" s="128"/>
      <c r="AF58" s="129"/>
      <c r="AG58" s="128"/>
      <c r="AH58" s="118"/>
    </row>
    <row r="59">
      <c r="A59" s="4">
        <v>9.0</v>
      </c>
      <c r="B59" s="4">
        <v>165.0</v>
      </c>
      <c r="C59" t="str">
        <f>'Mens Varsity Results'!F64</f>
        <v/>
      </c>
      <c r="D59">
        <f>'Mens Varsity Results'!C64</f>
        <v>2</v>
      </c>
      <c r="G59" s="130"/>
      <c r="H59" s="131"/>
      <c r="I59" s="132"/>
      <c r="J59" s="131"/>
      <c r="K59" s="132"/>
      <c r="L59" s="131"/>
      <c r="M59" s="132"/>
      <c r="N59" s="131"/>
      <c r="O59" s="132"/>
      <c r="P59" s="131"/>
      <c r="Q59" s="132"/>
      <c r="R59" s="131"/>
      <c r="S59" s="132"/>
      <c r="T59" s="131"/>
      <c r="U59" s="132"/>
      <c r="V59" s="131"/>
      <c r="W59" s="132"/>
      <c r="X59" s="131"/>
      <c r="Y59" s="132"/>
      <c r="Z59" s="131"/>
      <c r="AA59" s="132"/>
      <c r="AB59" s="131"/>
      <c r="AC59" s="132"/>
      <c r="AD59" s="131"/>
      <c r="AE59" s="132"/>
      <c r="AF59" s="131"/>
      <c r="AG59" s="132"/>
      <c r="AH59" s="133"/>
    </row>
    <row r="60">
      <c r="A60" s="4">
        <v>10.0</v>
      </c>
      <c r="B60" s="4">
        <v>165.0</v>
      </c>
      <c r="C60" t="str">
        <f>'Mens Varsity Results'!F65</f>
        <v/>
      </c>
      <c r="D60">
        <f>'Mens Varsity Results'!C65</f>
        <v>1</v>
      </c>
      <c r="G60" s="112"/>
      <c r="H60" s="129"/>
      <c r="I60" s="128"/>
      <c r="J60" s="129"/>
      <c r="K60" s="128"/>
      <c r="L60" s="129"/>
      <c r="M60" s="128"/>
      <c r="N60" s="129"/>
      <c r="O60" s="128"/>
      <c r="P60" s="129"/>
      <c r="Q60" s="128"/>
      <c r="R60" s="129"/>
      <c r="S60" s="128"/>
      <c r="T60" s="129"/>
      <c r="U60" s="128"/>
      <c r="V60" s="129"/>
      <c r="W60" s="128"/>
      <c r="X60" s="129"/>
      <c r="Y60" s="128"/>
      <c r="Z60" s="129"/>
      <c r="AA60" s="128"/>
      <c r="AB60" s="129"/>
      <c r="AC60" s="128"/>
      <c r="AD60" s="129"/>
      <c r="AE60" s="128"/>
      <c r="AF60" s="129"/>
      <c r="AG60" s="128"/>
      <c r="AH60" s="118"/>
    </row>
    <row r="61">
      <c r="A61" s="4">
        <v>1.0</v>
      </c>
      <c r="B61" s="4">
        <v>181.0</v>
      </c>
      <c r="C61" t="str">
        <f>'Mens Varsity Results'!F66</f>
        <v/>
      </c>
      <c r="D61">
        <f>'Mens Varsity Results'!C66</f>
        <v>12</v>
      </c>
      <c r="G61" s="130"/>
      <c r="H61" s="131"/>
      <c r="I61" s="132"/>
      <c r="J61" s="131"/>
      <c r="K61" s="132"/>
      <c r="L61" s="131"/>
      <c r="M61" s="132"/>
      <c r="N61" s="131"/>
      <c r="O61" s="132"/>
      <c r="P61" s="131"/>
      <c r="Q61" s="132"/>
      <c r="R61" s="131"/>
      <c r="S61" s="132"/>
      <c r="T61" s="131"/>
      <c r="U61" s="132"/>
      <c r="V61" s="131"/>
      <c r="W61" s="132"/>
      <c r="X61" s="131"/>
      <c r="Y61" s="132"/>
      <c r="Z61" s="131"/>
      <c r="AA61" s="132"/>
      <c r="AB61" s="131"/>
      <c r="AC61" s="132"/>
      <c r="AD61" s="131"/>
      <c r="AE61" s="132"/>
      <c r="AF61" s="131"/>
      <c r="AG61" s="132"/>
      <c r="AH61" s="133"/>
    </row>
    <row r="62">
      <c r="A62" s="4">
        <v>2.0</v>
      </c>
      <c r="B62" s="4">
        <v>181.0</v>
      </c>
      <c r="C62" t="str">
        <f>'Mens Varsity Results'!F67</f>
        <v/>
      </c>
      <c r="D62">
        <f>'Mens Varsity Results'!C67</f>
        <v>9</v>
      </c>
      <c r="G62" s="112"/>
      <c r="H62" s="129"/>
      <c r="I62" s="128"/>
      <c r="J62" s="129"/>
      <c r="K62" s="128"/>
      <c r="L62" s="129"/>
      <c r="M62" s="128"/>
      <c r="N62" s="129"/>
      <c r="O62" s="128"/>
      <c r="P62" s="129"/>
      <c r="Q62" s="128"/>
      <c r="R62" s="129"/>
      <c r="S62" s="128"/>
      <c r="T62" s="129"/>
      <c r="U62" s="128"/>
      <c r="V62" s="129"/>
      <c r="W62" s="128"/>
      <c r="X62" s="129"/>
      <c r="Y62" s="128"/>
      <c r="Z62" s="129"/>
      <c r="AA62" s="128"/>
      <c r="AB62" s="129"/>
      <c r="AC62" s="128"/>
      <c r="AD62" s="129"/>
      <c r="AE62" s="128"/>
      <c r="AF62" s="129"/>
      <c r="AG62" s="128"/>
      <c r="AH62" s="118"/>
    </row>
    <row r="63">
      <c r="A63" s="4">
        <v>3.0</v>
      </c>
      <c r="B63" s="4">
        <v>181.0</v>
      </c>
      <c r="C63" t="str">
        <f>'Mens Varsity Results'!F68</f>
        <v/>
      </c>
      <c r="D63">
        <f>'Mens Varsity Results'!C68</f>
        <v>8</v>
      </c>
      <c r="G63" s="130"/>
      <c r="H63" s="131"/>
      <c r="I63" s="132"/>
      <c r="J63" s="131"/>
      <c r="K63" s="132"/>
      <c r="L63" s="131"/>
      <c r="M63" s="132"/>
      <c r="N63" s="131"/>
      <c r="O63" s="132"/>
      <c r="P63" s="131"/>
      <c r="Q63" s="132"/>
      <c r="R63" s="131"/>
      <c r="S63" s="132"/>
      <c r="T63" s="131"/>
      <c r="U63" s="132"/>
      <c r="V63" s="131"/>
      <c r="W63" s="132"/>
      <c r="X63" s="131"/>
      <c r="Y63" s="132"/>
      <c r="Z63" s="131"/>
      <c r="AA63" s="132"/>
      <c r="AB63" s="131"/>
      <c r="AC63" s="132"/>
      <c r="AD63" s="131"/>
      <c r="AE63" s="132"/>
      <c r="AF63" s="131"/>
      <c r="AG63" s="132"/>
      <c r="AH63" s="133"/>
    </row>
    <row r="64">
      <c r="A64" s="4">
        <v>4.0</v>
      </c>
      <c r="B64" s="4">
        <v>181.0</v>
      </c>
      <c r="C64" t="str">
        <f>'Mens Varsity Results'!F69</f>
        <v/>
      </c>
      <c r="D64">
        <f>'Mens Varsity Results'!C69</f>
        <v>7</v>
      </c>
      <c r="G64" s="112"/>
      <c r="H64" s="129"/>
      <c r="I64" s="128"/>
      <c r="J64" s="129"/>
      <c r="K64" s="128"/>
      <c r="L64" s="129"/>
      <c r="M64" s="128"/>
      <c r="N64" s="129"/>
      <c r="O64" s="128"/>
      <c r="P64" s="129"/>
      <c r="Q64" s="128"/>
      <c r="R64" s="129"/>
      <c r="S64" s="128"/>
      <c r="T64" s="129"/>
      <c r="U64" s="128"/>
      <c r="V64" s="129"/>
      <c r="W64" s="128"/>
      <c r="X64" s="129"/>
      <c r="Y64" s="128"/>
      <c r="Z64" s="129"/>
      <c r="AA64" s="128"/>
      <c r="AB64" s="129"/>
      <c r="AC64" s="128"/>
      <c r="AD64" s="129"/>
      <c r="AE64" s="128"/>
      <c r="AF64" s="129"/>
      <c r="AG64" s="128"/>
      <c r="AH64" s="118"/>
    </row>
    <row r="65">
      <c r="A65" s="4">
        <v>5.0</v>
      </c>
      <c r="B65" s="4">
        <v>181.0</v>
      </c>
      <c r="C65" t="str">
        <f>'Mens Varsity Results'!F70</f>
        <v/>
      </c>
      <c r="D65">
        <f>'Mens Varsity Results'!C70</f>
        <v>6</v>
      </c>
      <c r="G65" s="130"/>
      <c r="H65" s="131"/>
      <c r="I65" s="132"/>
      <c r="J65" s="131"/>
      <c r="K65" s="132"/>
      <c r="L65" s="131"/>
      <c r="M65" s="132"/>
      <c r="N65" s="131"/>
      <c r="O65" s="132"/>
      <c r="P65" s="131"/>
      <c r="Q65" s="132"/>
      <c r="R65" s="131"/>
      <c r="S65" s="132"/>
      <c r="T65" s="131"/>
      <c r="U65" s="132"/>
      <c r="V65" s="131"/>
      <c r="W65" s="132"/>
      <c r="X65" s="131"/>
      <c r="Y65" s="132"/>
      <c r="Z65" s="131"/>
      <c r="AA65" s="132"/>
      <c r="AB65" s="131"/>
      <c r="AC65" s="132"/>
      <c r="AD65" s="131"/>
      <c r="AE65" s="132"/>
      <c r="AF65" s="131"/>
      <c r="AG65" s="132"/>
      <c r="AH65" s="133"/>
    </row>
    <row r="66">
      <c r="A66" s="4">
        <v>6.0</v>
      </c>
      <c r="B66" s="4">
        <v>181.0</v>
      </c>
      <c r="C66" t="str">
        <f>'Mens Varsity Results'!F71</f>
        <v/>
      </c>
      <c r="D66">
        <f>'Mens Varsity Results'!C71</f>
        <v>5</v>
      </c>
      <c r="G66" s="112"/>
      <c r="H66" s="129"/>
      <c r="I66" s="128"/>
      <c r="J66" s="129"/>
      <c r="K66" s="128"/>
      <c r="L66" s="129"/>
      <c r="M66" s="128"/>
      <c r="N66" s="129"/>
      <c r="O66" s="128"/>
      <c r="P66" s="129"/>
      <c r="Q66" s="128"/>
      <c r="R66" s="129"/>
      <c r="S66" s="128"/>
      <c r="T66" s="129"/>
      <c r="U66" s="128"/>
      <c r="V66" s="129"/>
      <c r="W66" s="128"/>
      <c r="X66" s="129"/>
      <c r="Y66" s="128"/>
      <c r="Z66" s="129"/>
      <c r="AA66" s="128"/>
      <c r="AB66" s="129"/>
      <c r="AC66" s="128"/>
      <c r="AD66" s="129"/>
      <c r="AE66" s="128"/>
      <c r="AF66" s="129"/>
      <c r="AG66" s="128"/>
      <c r="AH66" s="118"/>
    </row>
    <row r="67">
      <c r="A67" s="4">
        <v>7.0</v>
      </c>
      <c r="B67" s="4">
        <v>181.0</v>
      </c>
      <c r="C67" t="str">
        <f>'Mens Varsity Results'!F72</f>
        <v/>
      </c>
      <c r="D67">
        <f>'Mens Varsity Results'!C72</f>
        <v>4</v>
      </c>
      <c r="G67" s="130"/>
      <c r="H67" s="131"/>
      <c r="I67" s="132"/>
      <c r="J67" s="131"/>
      <c r="K67" s="132"/>
      <c r="L67" s="131"/>
      <c r="M67" s="132"/>
      <c r="N67" s="131"/>
      <c r="O67" s="132"/>
      <c r="P67" s="131"/>
      <c r="Q67" s="132"/>
      <c r="R67" s="131"/>
      <c r="S67" s="132"/>
      <c r="T67" s="131"/>
      <c r="U67" s="132"/>
      <c r="V67" s="131"/>
      <c r="W67" s="132"/>
      <c r="X67" s="131"/>
      <c r="Y67" s="132"/>
      <c r="Z67" s="131"/>
      <c r="AA67" s="132"/>
      <c r="AB67" s="131"/>
      <c r="AC67" s="132"/>
      <c r="AD67" s="131"/>
      <c r="AE67" s="132"/>
      <c r="AF67" s="131"/>
      <c r="AG67" s="132"/>
      <c r="AH67" s="133"/>
    </row>
    <row r="68">
      <c r="A68" s="4">
        <v>8.0</v>
      </c>
      <c r="B68" s="4">
        <v>181.0</v>
      </c>
      <c r="C68" t="str">
        <f>'Mens Varsity Results'!F73</f>
        <v/>
      </c>
      <c r="D68">
        <f>'Mens Varsity Results'!C73</f>
        <v>3</v>
      </c>
      <c r="G68" s="112"/>
      <c r="H68" s="129"/>
      <c r="I68" s="128"/>
      <c r="J68" s="129"/>
      <c r="K68" s="128"/>
      <c r="L68" s="129"/>
      <c r="M68" s="128"/>
      <c r="N68" s="129"/>
      <c r="O68" s="128"/>
      <c r="P68" s="129"/>
      <c r="Q68" s="128"/>
      <c r="R68" s="129"/>
      <c r="S68" s="128"/>
      <c r="T68" s="129"/>
      <c r="U68" s="128"/>
      <c r="V68" s="129"/>
      <c r="W68" s="128"/>
      <c r="X68" s="129"/>
      <c r="Y68" s="128"/>
      <c r="Z68" s="129"/>
      <c r="AA68" s="128"/>
      <c r="AB68" s="129"/>
      <c r="AC68" s="128"/>
      <c r="AD68" s="129"/>
      <c r="AE68" s="128"/>
      <c r="AF68" s="129"/>
      <c r="AG68" s="128"/>
      <c r="AH68" s="118"/>
    </row>
    <row r="69">
      <c r="A69" s="4">
        <v>9.0</v>
      </c>
      <c r="B69" s="4">
        <v>181.0</v>
      </c>
      <c r="C69" t="str">
        <f>'Mens Varsity Results'!F74</f>
        <v/>
      </c>
      <c r="D69">
        <f>'Mens Varsity Results'!C74</f>
        <v>2</v>
      </c>
      <c r="G69" s="130"/>
      <c r="H69" s="131"/>
      <c r="I69" s="132"/>
      <c r="J69" s="131"/>
      <c r="K69" s="132"/>
      <c r="L69" s="131"/>
      <c r="M69" s="132"/>
      <c r="N69" s="131"/>
      <c r="O69" s="132"/>
      <c r="P69" s="131"/>
      <c r="Q69" s="132"/>
      <c r="R69" s="131"/>
      <c r="S69" s="132"/>
      <c r="T69" s="131"/>
      <c r="U69" s="132"/>
      <c r="V69" s="131"/>
      <c r="W69" s="132"/>
      <c r="X69" s="131"/>
      <c r="Y69" s="132"/>
      <c r="Z69" s="131"/>
      <c r="AA69" s="132"/>
      <c r="AB69" s="131"/>
      <c r="AC69" s="132"/>
      <c r="AD69" s="131"/>
      <c r="AE69" s="132"/>
      <c r="AF69" s="131"/>
      <c r="AG69" s="132"/>
      <c r="AH69" s="133"/>
    </row>
    <row r="70">
      <c r="A70" s="4">
        <v>10.0</v>
      </c>
      <c r="B70" s="4">
        <v>181.0</v>
      </c>
      <c r="C70" t="str">
        <f>'Mens Varsity Results'!F75</f>
        <v/>
      </c>
      <c r="D70">
        <f>'Mens Varsity Results'!C75</f>
        <v>1</v>
      </c>
      <c r="G70" s="112"/>
      <c r="H70" s="129"/>
      <c r="I70" s="128"/>
      <c r="J70" s="129"/>
      <c r="K70" s="128"/>
      <c r="L70" s="129"/>
      <c r="M70" s="128"/>
      <c r="N70" s="129"/>
      <c r="O70" s="128"/>
      <c r="P70" s="129"/>
      <c r="Q70" s="128"/>
      <c r="R70" s="129"/>
      <c r="S70" s="128"/>
      <c r="T70" s="129"/>
      <c r="U70" s="128"/>
      <c r="V70" s="129"/>
      <c r="W70" s="128"/>
      <c r="X70" s="129"/>
      <c r="Y70" s="128"/>
      <c r="Z70" s="129"/>
      <c r="AA70" s="128"/>
      <c r="AB70" s="129"/>
      <c r="AC70" s="128"/>
      <c r="AD70" s="129"/>
      <c r="AE70" s="128"/>
      <c r="AF70" s="129"/>
      <c r="AG70" s="128"/>
      <c r="AH70" s="118"/>
    </row>
    <row r="71">
      <c r="A71" s="4">
        <v>1.0</v>
      </c>
      <c r="B71" s="4">
        <v>194.0</v>
      </c>
      <c r="C71" t="str">
        <f>'Mens Varsity Results'!F76</f>
        <v/>
      </c>
      <c r="D71">
        <f>'Mens Varsity Results'!C76</f>
        <v>12</v>
      </c>
      <c r="G71" s="130"/>
      <c r="H71" s="131"/>
      <c r="I71" s="132"/>
      <c r="J71" s="131"/>
      <c r="K71" s="132"/>
      <c r="L71" s="131"/>
      <c r="M71" s="132"/>
      <c r="N71" s="131"/>
      <c r="O71" s="132"/>
      <c r="P71" s="131"/>
      <c r="Q71" s="132"/>
      <c r="R71" s="131"/>
      <c r="S71" s="132"/>
      <c r="T71" s="131"/>
      <c r="U71" s="132"/>
      <c r="V71" s="131"/>
      <c r="W71" s="132"/>
      <c r="X71" s="131"/>
      <c r="Y71" s="132"/>
      <c r="Z71" s="131"/>
      <c r="AA71" s="132"/>
      <c r="AB71" s="131"/>
      <c r="AC71" s="132"/>
      <c r="AD71" s="131"/>
      <c r="AE71" s="132"/>
      <c r="AF71" s="131"/>
      <c r="AG71" s="132"/>
      <c r="AH71" s="133"/>
    </row>
    <row r="72">
      <c r="A72" s="4">
        <v>2.0</v>
      </c>
      <c r="B72" s="4">
        <v>194.0</v>
      </c>
      <c r="C72" t="str">
        <f>'Mens Varsity Results'!F77</f>
        <v/>
      </c>
      <c r="D72">
        <f>'Mens Varsity Results'!C77</f>
        <v>9</v>
      </c>
      <c r="G72" s="112"/>
      <c r="H72" s="129"/>
      <c r="I72" s="128"/>
      <c r="J72" s="129"/>
      <c r="K72" s="128"/>
      <c r="L72" s="129"/>
      <c r="M72" s="128"/>
      <c r="N72" s="129"/>
      <c r="O72" s="128"/>
      <c r="P72" s="129"/>
      <c r="Q72" s="128"/>
      <c r="R72" s="129"/>
      <c r="S72" s="128"/>
      <c r="T72" s="129"/>
      <c r="U72" s="128"/>
      <c r="V72" s="129"/>
      <c r="W72" s="128"/>
      <c r="X72" s="129"/>
      <c r="Y72" s="128"/>
      <c r="Z72" s="129"/>
      <c r="AA72" s="128"/>
      <c r="AB72" s="129"/>
      <c r="AC72" s="128"/>
      <c r="AD72" s="129"/>
      <c r="AE72" s="128"/>
      <c r="AF72" s="129"/>
      <c r="AG72" s="128"/>
      <c r="AH72" s="118"/>
    </row>
    <row r="73">
      <c r="A73" s="4">
        <v>3.0</v>
      </c>
      <c r="B73" s="4">
        <v>194.0</v>
      </c>
      <c r="C73" t="str">
        <f>'Mens Varsity Results'!F78</f>
        <v/>
      </c>
      <c r="D73">
        <f>'Mens Varsity Results'!C78</f>
        <v>8</v>
      </c>
      <c r="G73" s="130"/>
      <c r="H73" s="131"/>
      <c r="I73" s="132"/>
      <c r="J73" s="131"/>
      <c r="K73" s="132"/>
      <c r="L73" s="131"/>
      <c r="M73" s="132"/>
      <c r="N73" s="131"/>
      <c r="O73" s="132"/>
      <c r="P73" s="131"/>
      <c r="Q73" s="132"/>
      <c r="R73" s="131"/>
      <c r="S73" s="132"/>
      <c r="T73" s="131"/>
      <c r="U73" s="132"/>
      <c r="V73" s="131"/>
      <c r="W73" s="132"/>
      <c r="X73" s="131"/>
      <c r="Y73" s="132"/>
      <c r="Z73" s="131"/>
      <c r="AA73" s="132"/>
      <c r="AB73" s="131"/>
      <c r="AC73" s="132"/>
      <c r="AD73" s="131"/>
      <c r="AE73" s="132"/>
      <c r="AF73" s="131"/>
      <c r="AG73" s="132"/>
      <c r="AH73" s="133"/>
    </row>
    <row r="74">
      <c r="A74" s="4">
        <v>4.0</v>
      </c>
      <c r="B74" s="4">
        <v>194.0</v>
      </c>
      <c r="C74" t="str">
        <f>'Mens Varsity Results'!F79</f>
        <v/>
      </c>
      <c r="D74">
        <f>'Mens Varsity Results'!C79</f>
        <v>7</v>
      </c>
      <c r="G74" s="112"/>
      <c r="H74" s="129"/>
      <c r="I74" s="128"/>
      <c r="J74" s="129"/>
      <c r="K74" s="128"/>
      <c r="L74" s="129"/>
      <c r="M74" s="128"/>
      <c r="N74" s="129"/>
      <c r="O74" s="128"/>
      <c r="P74" s="129"/>
      <c r="Q74" s="128"/>
      <c r="R74" s="129"/>
      <c r="S74" s="128"/>
      <c r="T74" s="129"/>
      <c r="U74" s="128"/>
      <c r="V74" s="129"/>
      <c r="W74" s="128"/>
      <c r="X74" s="129"/>
      <c r="Y74" s="128"/>
      <c r="Z74" s="129"/>
      <c r="AA74" s="128"/>
      <c r="AB74" s="129"/>
      <c r="AC74" s="128"/>
      <c r="AD74" s="129"/>
      <c r="AE74" s="128"/>
      <c r="AF74" s="129"/>
      <c r="AG74" s="128"/>
      <c r="AH74" s="118"/>
    </row>
    <row r="75">
      <c r="A75" s="4">
        <v>5.0</v>
      </c>
      <c r="B75" s="4">
        <v>194.0</v>
      </c>
      <c r="C75" t="str">
        <f>'Mens Varsity Results'!F80</f>
        <v/>
      </c>
      <c r="D75">
        <f>'Mens Varsity Results'!C80</f>
        <v>6</v>
      </c>
      <c r="G75" s="130"/>
      <c r="H75" s="131"/>
      <c r="I75" s="132"/>
      <c r="J75" s="131"/>
      <c r="K75" s="132"/>
      <c r="L75" s="131"/>
      <c r="M75" s="132"/>
      <c r="N75" s="131"/>
      <c r="O75" s="132"/>
      <c r="P75" s="131"/>
      <c r="Q75" s="132"/>
      <c r="R75" s="131"/>
      <c r="S75" s="132"/>
      <c r="T75" s="131"/>
      <c r="U75" s="132"/>
      <c r="V75" s="131"/>
      <c r="W75" s="132"/>
      <c r="X75" s="131"/>
      <c r="Y75" s="132"/>
      <c r="Z75" s="131"/>
      <c r="AA75" s="132"/>
      <c r="AB75" s="131"/>
      <c r="AC75" s="132"/>
      <c r="AD75" s="131"/>
      <c r="AE75" s="132"/>
      <c r="AF75" s="131"/>
      <c r="AG75" s="132"/>
      <c r="AH75" s="133"/>
    </row>
    <row r="76">
      <c r="A76" s="4">
        <v>6.0</v>
      </c>
      <c r="B76" s="4">
        <v>194.0</v>
      </c>
      <c r="C76" t="str">
        <f>'Mens Varsity Results'!F81</f>
        <v/>
      </c>
      <c r="D76">
        <f>'Mens Varsity Results'!C81</f>
        <v>5</v>
      </c>
      <c r="G76" s="112"/>
      <c r="H76" s="129"/>
      <c r="I76" s="128"/>
      <c r="J76" s="129"/>
      <c r="K76" s="128"/>
      <c r="L76" s="129"/>
      <c r="M76" s="128"/>
      <c r="N76" s="129"/>
      <c r="O76" s="128"/>
      <c r="P76" s="129"/>
      <c r="Q76" s="128"/>
      <c r="R76" s="129"/>
      <c r="S76" s="128"/>
      <c r="T76" s="129"/>
      <c r="U76" s="128"/>
      <c r="V76" s="129"/>
      <c r="W76" s="128"/>
      <c r="X76" s="129"/>
      <c r="Y76" s="128"/>
      <c r="Z76" s="129"/>
      <c r="AA76" s="128"/>
      <c r="AB76" s="129"/>
      <c r="AC76" s="128"/>
      <c r="AD76" s="129"/>
      <c r="AE76" s="128"/>
      <c r="AF76" s="129"/>
      <c r="AG76" s="128"/>
      <c r="AH76" s="118"/>
    </row>
    <row r="77">
      <c r="A77" s="4">
        <v>7.0</v>
      </c>
      <c r="B77" s="4">
        <v>194.0</v>
      </c>
      <c r="C77" t="str">
        <f>'Mens Varsity Results'!F82</f>
        <v/>
      </c>
      <c r="D77">
        <f>'Mens Varsity Results'!C82</f>
        <v>4</v>
      </c>
      <c r="G77" s="130"/>
      <c r="H77" s="131"/>
      <c r="I77" s="132"/>
      <c r="J77" s="131"/>
      <c r="K77" s="132"/>
      <c r="L77" s="131"/>
      <c r="M77" s="132"/>
      <c r="N77" s="131"/>
      <c r="O77" s="132"/>
      <c r="P77" s="131"/>
      <c r="Q77" s="132"/>
      <c r="R77" s="131"/>
      <c r="S77" s="132"/>
      <c r="T77" s="131"/>
      <c r="U77" s="132"/>
      <c r="V77" s="131"/>
      <c r="W77" s="132"/>
      <c r="X77" s="131"/>
      <c r="Y77" s="132"/>
      <c r="Z77" s="131"/>
      <c r="AA77" s="132"/>
      <c r="AB77" s="131"/>
      <c r="AC77" s="132"/>
      <c r="AD77" s="131"/>
      <c r="AE77" s="132"/>
      <c r="AF77" s="131"/>
      <c r="AG77" s="132"/>
      <c r="AH77" s="133"/>
    </row>
    <row r="78">
      <c r="A78" s="4">
        <v>8.0</v>
      </c>
      <c r="B78" s="4">
        <v>194.0</v>
      </c>
      <c r="C78" t="str">
        <f>'Mens Varsity Results'!F83</f>
        <v/>
      </c>
      <c r="D78">
        <f>'Mens Varsity Results'!C83</f>
        <v>3</v>
      </c>
      <c r="G78" s="112"/>
      <c r="H78" s="129"/>
      <c r="I78" s="128"/>
      <c r="J78" s="129"/>
      <c r="K78" s="128"/>
      <c r="L78" s="129"/>
      <c r="M78" s="128"/>
      <c r="N78" s="129"/>
      <c r="O78" s="128"/>
      <c r="P78" s="129"/>
      <c r="Q78" s="128"/>
      <c r="R78" s="129"/>
      <c r="S78" s="128"/>
      <c r="T78" s="129"/>
      <c r="U78" s="128"/>
      <c r="V78" s="129"/>
      <c r="W78" s="128"/>
      <c r="X78" s="129"/>
      <c r="Y78" s="128"/>
      <c r="Z78" s="129"/>
      <c r="AA78" s="128"/>
      <c r="AB78" s="129"/>
      <c r="AC78" s="128"/>
      <c r="AD78" s="129"/>
      <c r="AE78" s="128"/>
      <c r="AF78" s="129"/>
      <c r="AG78" s="128"/>
      <c r="AH78" s="118"/>
    </row>
    <row r="79">
      <c r="A79" s="4">
        <v>9.0</v>
      </c>
      <c r="B79" s="4">
        <v>194.0</v>
      </c>
      <c r="C79" t="str">
        <f>'Mens Varsity Results'!F84</f>
        <v/>
      </c>
      <c r="D79">
        <f>'Mens Varsity Results'!C84</f>
        <v>2</v>
      </c>
      <c r="G79" s="130"/>
      <c r="H79" s="131"/>
      <c r="I79" s="132"/>
      <c r="J79" s="131"/>
      <c r="K79" s="132"/>
      <c r="L79" s="131"/>
      <c r="M79" s="132"/>
      <c r="N79" s="131"/>
      <c r="O79" s="132"/>
      <c r="P79" s="131"/>
      <c r="Q79" s="132"/>
      <c r="R79" s="131"/>
      <c r="S79" s="132"/>
      <c r="T79" s="131"/>
      <c r="U79" s="132"/>
      <c r="V79" s="131"/>
      <c r="W79" s="132"/>
      <c r="X79" s="131"/>
      <c r="Y79" s="132"/>
      <c r="Z79" s="131"/>
      <c r="AA79" s="132"/>
      <c r="AB79" s="131"/>
      <c r="AC79" s="132"/>
      <c r="AD79" s="131"/>
      <c r="AE79" s="132"/>
      <c r="AF79" s="131"/>
      <c r="AG79" s="132"/>
      <c r="AH79" s="133"/>
    </row>
    <row r="80">
      <c r="A80" s="4">
        <v>10.0</v>
      </c>
      <c r="B80" s="4">
        <v>194.0</v>
      </c>
      <c r="C80" t="str">
        <f>'Mens Varsity Results'!F85</f>
        <v/>
      </c>
      <c r="D80">
        <f>'Mens Varsity Results'!C85</f>
        <v>1</v>
      </c>
      <c r="G80" s="112"/>
      <c r="H80" s="129"/>
      <c r="I80" s="128"/>
      <c r="J80" s="129"/>
      <c r="K80" s="128"/>
      <c r="L80" s="129"/>
      <c r="M80" s="128"/>
      <c r="N80" s="129"/>
      <c r="O80" s="128"/>
      <c r="P80" s="129"/>
      <c r="Q80" s="128"/>
      <c r="R80" s="129"/>
      <c r="S80" s="128"/>
      <c r="T80" s="129"/>
      <c r="U80" s="128"/>
      <c r="V80" s="129"/>
      <c r="W80" s="128"/>
      <c r="X80" s="129"/>
      <c r="Y80" s="128"/>
      <c r="Z80" s="129"/>
      <c r="AA80" s="128"/>
      <c r="AB80" s="129"/>
      <c r="AC80" s="128"/>
      <c r="AD80" s="129"/>
      <c r="AE80" s="128"/>
      <c r="AF80" s="129"/>
      <c r="AG80" s="128"/>
      <c r="AH80" s="118"/>
    </row>
    <row r="81">
      <c r="A81" s="4">
        <v>1.0</v>
      </c>
      <c r="B81" s="4">
        <v>207.0</v>
      </c>
      <c r="C81" t="str">
        <f>'Mens Varsity Results'!F86</f>
        <v/>
      </c>
      <c r="D81">
        <f>'Mens Varsity Results'!C86</f>
        <v>12</v>
      </c>
      <c r="G81" s="130"/>
      <c r="H81" s="131"/>
      <c r="I81" s="132"/>
      <c r="J81" s="131"/>
      <c r="K81" s="132"/>
      <c r="L81" s="131"/>
      <c r="M81" s="132"/>
      <c r="N81" s="131"/>
      <c r="O81" s="132"/>
      <c r="P81" s="131"/>
      <c r="Q81" s="132"/>
      <c r="R81" s="131"/>
      <c r="S81" s="132"/>
      <c r="T81" s="131"/>
      <c r="U81" s="132"/>
      <c r="V81" s="131"/>
      <c r="W81" s="132"/>
      <c r="X81" s="131"/>
      <c r="Y81" s="132"/>
      <c r="Z81" s="131"/>
      <c r="AA81" s="132"/>
      <c r="AB81" s="131"/>
      <c r="AC81" s="132"/>
      <c r="AD81" s="131"/>
      <c r="AE81" s="132"/>
      <c r="AF81" s="131"/>
      <c r="AG81" s="132"/>
      <c r="AH81" s="133"/>
    </row>
    <row r="82">
      <c r="A82" s="4">
        <v>2.0</v>
      </c>
      <c r="B82" s="4">
        <v>207.0</v>
      </c>
      <c r="C82" t="str">
        <f>'Mens Varsity Results'!F87</f>
        <v/>
      </c>
      <c r="D82">
        <f>'Mens Varsity Results'!C87</f>
        <v>9</v>
      </c>
      <c r="G82" s="112"/>
      <c r="H82" s="129"/>
      <c r="I82" s="128"/>
      <c r="J82" s="129"/>
      <c r="K82" s="128"/>
      <c r="L82" s="129"/>
      <c r="M82" s="128"/>
      <c r="N82" s="129"/>
      <c r="O82" s="128"/>
      <c r="P82" s="129"/>
      <c r="Q82" s="128"/>
      <c r="R82" s="129"/>
      <c r="S82" s="128"/>
      <c r="T82" s="129"/>
      <c r="U82" s="128"/>
      <c r="V82" s="129"/>
      <c r="W82" s="128"/>
      <c r="X82" s="129"/>
      <c r="Y82" s="128"/>
      <c r="Z82" s="129"/>
      <c r="AA82" s="128"/>
      <c r="AB82" s="129"/>
      <c r="AC82" s="128"/>
      <c r="AD82" s="129"/>
      <c r="AE82" s="128"/>
      <c r="AF82" s="129"/>
      <c r="AG82" s="128"/>
      <c r="AH82" s="118"/>
    </row>
    <row r="83">
      <c r="A83" s="4">
        <v>3.0</v>
      </c>
      <c r="B83" s="4">
        <v>207.0</v>
      </c>
      <c r="C83" t="str">
        <f>'Mens Varsity Results'!F88</f>
        <v/>
      </c>
      <c r="D83">
        <f>'Mens Varsity Results'!C88</f>
        <v>8</v>
      </c>
      <c r="G83" s="130"/>
      <c r="H83" s="131"/>
      <c r="I83" s="132"/>
      <c r="J83" s="131"/>
      <c r="K83" s="132"/>
      <c r="L83" s="131"/>
      <c r="M83" s="132"/>
      <c r="N83" s="131"/>
      <c r="O83" s="132"/>
      <c r="P83" s="131"/>
      <c r="Q83" s="132"/>
      <c r="R83" s="131"/>
      <c r="S83" s="132"/>
      <c r="T83" s="131"/>
      <c r="U83" s="132"/>
      <c r="V83" s="131"/>
      <c r="W83" s="132"/>
      <c r="X83" s="131"/>
      <c r="Y83" s="132"/>
      <c r="Z83" s="131"/>
      <c r="AA83" s="132"/>
      <c r="AB83" s="131"/>
      <c r="AC83" s="132"/>
      <c r="AD83" s="131"/>
      <c r="AE83" s="132"/>
      <c r="AF83" s="131"/>
      <c r="AG83" s="132"/>
      <c r="AH83" s="133"/>
    </row>
    <row r="84">
      <c r="A84" s="4">
        <v>4.0</v>
      </c>
      <c r="B84" s="4">
        <v>207.0</v>
      </c>
      <c r="C84" t="str">
        <f>'Mens Varsity Results'!F89</f>
        <v/>
      </c>
      <c r="D84">
        <f>'Mens Varsity Results'!C89</f>
        <v>7</v>
      </c>
      <c r="G84" s="112"/>
      <c r="H84" s="129"/>
      <c r="I84" s="128"/>
      <c r="J84" s="129"/>
      <c r="K84" s="128"/>
      <c r="L84" s="129"/>
      <c r="M84" s="128"/>
      <c r="N84" s="129"/>
      <c r="O84" s="128"/>
      <c r="P84" s="129"/>
      <c r="Q84" s="128"/>
      <c r="R84" s="129"/>
      <c r="S84" s="128"/>
      <c r="T84" s="129"/>
      <c r="U84" s="128"/>
      <c r="V84" s="129"/>
      <c r="W84" s="128"/>
      <c r="X84" s="129"/>
      <c r="Y84" s="128"/>
      <c r="Z84" s="129"/>
      <c r="AA84" s="128"/>
      <c r="AB84" s="129"/>
      <c r="AC84" s="128"/>
      <c r="AD84" s="129"/>
      <c r="AE84" s="128"/>
      <c r="AF84" s="129"/>
      <c r="AG84" s="128"/>
      <c r="AH84" s="118"/>
    </row>
    <row r="85">
      <c r="A85" s="4">
        <v>5.0</v>
      </c>
      <c r="B85" s="4">
        <v>207.0</v>
      </c>
      <c r="C85" t="str">
        <f>'Mens Varsity Results'!F90</f>
        <v/>
      </c>
      <c r="D85">
        <f>'Mens Varsity Results'!C90</f>
        <v>6</v>
      </c>
      <c r="G85" s="130"/>
      <c r="H85" s="131"/>
      <c r="I85" s="132"/>
      <c r="J85" s="131"/>
      <c r="K85" s="132"/>
      <c r="L85" s="131"/>
      <c r="M85" s="132"/>
      <c r="N85" s="131"/>
      <c r="O85" s="132"/>
      <c r="P85" s="131"/>
      <c r="Q85" s="132"/>
      <c r="R85" s="131"/>
      <c r="S85" s="132"/>
      <c r="T85" s="131"/>
      <c r="U85" s="132"/>
      <c r="V85" s="131"/>
      <c r="W85" s="132"/>
      <c r="X85" s="131"/>
      <c r="Y85" s="132"/>
      <c r="Z85" s="131"/>
      <c r="AA85" s="132"/>
      <c r="AB85" s="131"/>
      <c r="AC85" s="132"/>
      <c r="AD85" s="131"/>
      <c r="AE85" s="132"/>
      <c r="AF85" s="131"/>
      <c r="AG85" s="132"/>
      <c r="AH85" s="133"/>
    </row>
    <row r="86">
      <c r="A86" s="4">
        <v>6.0</v>
      </c>
      <c r="B86" s="4">
        <v>207.0</v>
      </c>
      <c r="C86" t="str">
        <f>'Mens Varsity Results'!F91</f>
        <v/>
      </c>
      <c r="D86">
        <f>'Mens Varsity Results'!C91</f>
        <v>5</v>
      </c>
      <c r="G86" s="112"/>
      <c r="H86" s="129"/>
      <c r="I86" s="128"/>
      <c r="J86" s="129"/>
      <c r="K86" s="128"/>
      <c r="L86" s="129"/>
      <c r="M86" s="128"/>
      <c r="N86" s="129"/>
      <c r="O86" s="128"/>
      <c r="P86" s="129"/>
      <c r="Q86" s="128"/>
      <c r="R86" s="129"/>
      <c r="S86" s="128"/>
      <c r="T86" s="129"/>
      <c r="U86" s="128"/>
      <c r="V86" s="129"/>
      <c r="W86" s="128"/>
      <c r="X86" s="129"/>
      <c r="Y86" s="128"/>
      <c r="Z86" s="129"/>
      <c r="AA86" s="128"/>
      <c r="AB86" s="129"/>
      <c r="AC86" s="128"/>
      <c r="AD86" s="129"/>
      <c r="AE86" s="128"/>
      <c r="AF86" s="129"/>
      <c r="AG86" s="128"/>
      <c r="AH86" s="118"/>
    </row>
    <row r="87">
      <c r="A87" s="4">
        <v>7.0</v>
      </c>
      <c r="B87" s="4">
        <v>207.0</v>
      </c>
      <c r="C87" t="str">
        <f>'Mens Varsity Results'!F92</f>
        <v/>
      </c>
      <c r="D87">
        <f>'Mens Varsity Results'!C92</f>
        <v>4</v>
      </c>
      <c r="G87" s="130"/>
      <c r="H87" s="131"/>
      <c r="I87" s="132"/>
      <c r="J87" s="131"/>
      <c r="K87" s="132"/>
      <c r="L87" s="131"/>
      <c r="M87" s="132"/>
      <c r="N87" s="131"/>
      <c r="O87" s="132"/>
      <c r="P87" s="131"/>
      <c r="Q87" s="132"/>
      <c r="R87" s="131"/>
      <c r="S87" s="132"/>
      <c r="T87" s="131"/>
      <c r="U87" s="132"/>
      <c r="V87" s="131"/>
      <c r="W87" s="132"/>
      <c r="X87" s="131"/>
      <c r="Y87" s="132"/>
      <c r="Z87" s="131"/>
      <c r="AA87" s="132"/>
      <c r="AB87" s="131"/>
      <c r="AC87" s="132"/>
      <c r="AD87" s="131"/>
      <c r="AE87" s="132"/>
      <c r="AF87" s="131"/>
      <c r="AG87" s="132"/>
      <c r="AH87" s="133"/>
    </row>
    <row r="88">
      <c r="A88" s="4">
        <v>8.0</v>
      </c>
      <c r="B88" s="4">
        <v>207.0</v>
      </c>
      <c r="C88" t="str">
        <f>'Mens Varsity Results'!F93</f>
        <v/>
      </c>
      <c r="D88">
        <f>'Mens Varsity Results'!C93</f>
        <v>3</v>
      </c>
      <c r="G88" s="112"/>
      <c r="H88" s="129"/>
      <c r="I88" s="128"/>
      <c r="J88" s="129"/>
      <c r="K88" s="128"/>
      <c r="L88" s="129"/>
      <c r="M88" s="128"/>
      <c r="N88" s="129"/>
      <c r="O88" s="128"/>
      <c r="P88" s="129"/>
      <c r="Q88" s="128"/>
      <c r="R88" s="129"/>
      <c r="S88" s="128"/>
      <c r="T88" s="129"/>
      <c r="U88" s="128"/>
      <c r="V88" s="129"/>
      <c r="W88" s="128"/>
      <c r="X88" s="129"/>
      <c r="Y88" s="128"/>
      <c r="Z88" s="129"/>
      <c r="AA88" s="128"/>
      <c r="AB88" s="129"/>
      <c r="AC88" s="128"/>
      <c r="AD88" s="129"/>
      <c r="AE88" s="128"/>
      <c r="AF88" s="129"/>
      <c r="AG88" s="128"/>
      <c r="AH88" s="118"/>
    </row>
    <row r="89">
      <c r="A89" s="4">
        <v>9.0</v>
      </c>
      <c r="B89" s="4">
        <v>207.0</v>
      </c>
      <c r="C89" t="str">
        <f>'Mens Varsity Results'!F94</f>
        <v/>
      </c>
      <c r="D89">
        <f>'Mens Varsity Results'!C94</f>
        <v>2</v>
      </c>
      <c r="G89" s="130"/>
      <c r="H89" s="131"/>
      <c r="I89" s="132"/>
      <c r="J89" s="131"/>
      <c r="K89" s="132"/>
      <c r="L89" s="131"/>
      <c r="M89" s="132"/>
      <c r="N89" s="131"/>
      <c r="O89" s="132"/>
      <c r="P89" s="131"/>
      <c r="Q89" s="132"/>
      <c r="R89" s="131"/>
      <c r="S89" s="132"/>
      <c r="T89" s="131"/>
      <c r="U89" s="132"/>
      <c r="V89" s="131"/>
      <c r="W89" s="132"/>
      <c r="X89" s="131"/>
      <c r="Y89" s="132"/>
      <c r="Z89" s="131"/>
      <c r="AA89" s="132"/>
      <c r="AB89" s="131"/>
      <c r="AC89" s="132"/>
      <c r="AD89" s="131"/>
      <c r="AE89" s="132"/>
      <c r="AF89" s="131"/>
      <c r="AG89" s="132"/>
      <c r="AH89" s="133"/>
    </row>
    <row r="90">
      <c r="A90" s="4">
        <v>10.0</v>
      </c>
      <c r="B90" s="4">
        <v>207.0</v>
      </c>
      <c r="C90" t="str">
        <f>'Mens Varsity Results'!F95</f>
        <v/>
      </c>
      <c r="D90">
        <f>'Mens Varsity Results'!C95</f>
        <v>1</v>
      </c>
      <c r="G90" s="112"/>
      <c r="H90" s="129"/>
      <c r="I90" s="128"/>
      <c r="J90" s="129"/>
      <c r="K90" s="128"/>
      <c r="L90" s="129"/>
      <c r="M90" s="128"/>
      <c r="N90" s="129"/>
      <c r="O90" s="128"/>
      <c r="P90" s="129"/>
      <c r="Q90" s="128"/>
      <c r="R90" s="129"/>
      <c r="S90" s="128"/>
      <c r="T90" s="129"/>
      <c r="U90" s="128"/>
      <c r="V90" s="129"/>
      <c r="W90" s="128"/>
      <c r="X90" s="129"/>
      <c r="Y90" s="128"/>
      <c r="Z90" s="129"/>
      <c r="AA90" s="128"/>
      <c r="AB90" s="129"/>
      <c r="AC90" s="128"/>
      <c r="AD90" s="129"/>
      <c r="AE90" s="128"/>
      <c r="AF90" s="129"/>
      <c r="AG90" s="128"/>
      <c r="AH90" s="118"/>
    </row>
    <row r="91">
      <c r="A91" s="4">
        <v>1.0</v>
      </c>
      <c r="B91" s="4">
        <v>220.0</v>
      </c>
      <c r="C91" t="str">
        <f>'Mens Varsity Results'!F96</f>
        <v/>
      </c>
      <c r="D91">
        <f>'Mens Varsity Results'!C96</f>
        <v>12</v>
      </c>
      <c r="G91" s="130"/>
      <c r="H91" s="131"/>
      <c r="I91" s="132"/>
      <c r="J91" s="131"/>
      <c r="K91" s="132"/>
      <c r="L91" s="131"/>
      <c r="M91" s="132"/>
      <c r="N91" s="131"/>
      <c r="O91" s="132"/>
      <c r="P91" s="131"/>
      <c r="Q91" s="132"/>
      <c r="R91" s="131"/>
      <c r="S91" s="132"/>
      <c r="T91" s="131"/>
      <c r="U91" s="132"/>
      <c r="V91" s="131"/>
      <c r="W91" s="132"/>
      <c r="X91" s="131"/>
      <c r="Y91" s="132"/>
      <c r="Z91" s="131"/>
      <c r="AA91" s="132"/>
      <c r="AB91" s="131"/>
      <c r="AC91" s="132"/>
      <c r="AD91" s="131"/>
      <c r="AE91" s="132"/>
      <c r="AF91" s="131"/>
      <c r="AG91" s="132"/>
      <c r="AH91" s="133"/>
    </row>
    <row r="92">
      <c r="A92" s="4">
        <v>2.0</v>
      </c>
      <c r="B92" s="4">
        <v>220.0</v>
      </c>
      <c r="C92" t="str">
        <f>'Mens Varsity Results'!F97</f>
        <v/>
      </c>
      <c r="D92">
        <f>'Mens Varsity Results'!C97</f>
        <v>9</v>
      </c>
      <c r="G92" s="112"/>
      <c r="H92" s="129"/>
      <c r="I92" s="128"/>
      <c r="J92" s="129"/>
      <c r="K92" s="128"/>
      <c r="L92" s="129"/>
      <c r="M92" s="128"/>
      <c r="N92" s="129"/>
      <c r="O92" s="128"/>
      <c r="P92" s="129"/>
      <c r="Q92" s="128"/>
      <c r="R92" s="129"/>
      <c r="S92" s="128"/>
      <c r="T92" s="129"/>
      <c r="U92" s="128"/>
      <c r="V92" s="129"/>
      <c r="W92" s="128"/>
      <c r="X92" s="129"/>
      <c r="Y92" s="128"/>
      <c r="Z92" s="129"/>
      <c r="AA92" s="128"/>
      <c r="AB92" s="129"/>
      <c r="AC92" s="128"/>
      <c r="AD92" s="129"/>
      <c r="AE92" s="128"/>
      <c r="AF92" s="129"/>
      <c r="AG92" s="128"/>
      <c r="AH92" s="118"/>
    </row>
    <row r="93">
      <c r="A93" s="4">
        <v>3.0</v>
      </c>
      <c r="B93" s="4">
        <v>220.0</v>
      </c>
      <c r="C93" t="str">
        <f>'Mens Varsity Results'!F98</f>
        <v/>
      </c>
      <c r="D93">
        <f>'Mens Varsity Results'!C98</f>
        <v>8</v>
      </c>
      <c r="G93" s="130"/>
      <c r="H93" s="131"/>
      <c r="I93" s="132"/>
      <c r="J93" s="131"/>
      <c r="K93" s="132"/>
      <c r="L93" s="131"/>
      <c r="M93" s="132"/>
      <c r="N93" s="131"/>
      <c r="O93" s="132"/>
      <c r="P93" s="131"/>
      <c r="Q93" s="132"/>
      <c r="R93" s="131"/>
      <c r="S93" s="132"/>
      <c r="T93" s="131"/>
      <c r="U93" s="132"/>
      <c r="V93" s="131"/>
      <c r="W93" s="132"/>
      <c r="X93" s="131"/>
      <c r="Y93" s="132"/>
      <c r="Z93" s="131"/>
      <c r="AA93" s="132"/>
      <c r="AB93" s="131"/>
      <c r="AC93" s="132"/>
      <c r="AD93" s="131"/>
      <c r="AE93" s="132"/>
      <c r="AF93" s="131"/>
      <c r="AG93" s="132"/>
      <c r="AH93" s="133"/>
    </row>
    <row r="94">
      <c r="A94" s="4">
        <v>4.0</v>
      </c>
      <c r="B94" s="4">
        <v>220.0</v>
      </c>
      <c r="C94" t="str">
        <f>'Mens Varsity Results'!F99</f>
        <v/>
      </c>
      <c r="D94">
        <f>'Mens Varsity Results'!C99</f>
        <v>7</v>
      </c>
      <c r="G94" s="112"/>
      <c r="H94" s="129"/>
      <c r="I94" s="128"/>
      <c r="J94" s="129"/>
      <c r="K94" s="128"/>
      <c r="L94" s="129"/>
      <c r="M94" s="128"/>
      <c r="N94" s="129"/>
      <c r="O94" s="128"/>
      <c r="P94" s="129"/>
      <c r="Q94" s="128"/>
      <c r="R94" s="129"/>
      <c r="S94" s="128"/>
      <c r="T94" s="129"/>
      <c r="U94" s="128"/>
      <c r="V94" s="129"/>
      <c r="W94" s="128"/>
      <c r="X94" s="129"/>
      <c r="Y94" s="128"/>
      <c r="Z94" s="129"/>
      <c r="AA94" s="128"/>
      <c r="AB94" s="129"/>
      <c r="AC94" s="128"/>
      <c r="AD94" s="129"/>
      <c r="AE94" s="128"/>
      <c r="AF94" s="129"/>
      <c r="AG94" s="128"/>
      <c r="AH94" s="118"/>
    </row>
    <row r="95">
      <c r="A95" s="4">
        <v>5.0</v>
      </c>
      <c r="B95" s="4">
        <v>220.0</v>
      </c>
      <c r="C95" t="str">
        <f>'Mens Varsity Results'!F100</f>
        <v/>
      </c>
      <c r="D95">
        <f>'Mens Varsity Results'!C100</f>
        <v>6</v>
      </c>
      <c r="G95" s="130"/>
      <c r="H95" s="131"/>
      <c r="I95" s="132"/>
      <c r="J95" s="131"/>
      <c r="K95" s="132"/>
      <c r="L95" s="131"/>
      <c r="M95" s="132"/>
      <c r="N95" s="131"/>
      <c r="O95" s="132"/>
      <c r="P95" s="131"/>
      <c r="Q95" s="132"/>
      <c r="R95" s="131"/>
      <c r="S95" s="132"/>
      <c r="T95" s="131"/>
      <c r="U95" s="132"/>
      <c r="V95" s="131"/>
      <c r="W95" s="132"/>
      <c r="X95" s="131"/>
      <c r="Y95" s="132"/>
      <c r="Z95" s="131"/>
      <c r="AA95" s="132"/>
      <c r="AB95" s="131"/>
      <c r="AC95" s="132"/>
      <c r="AD95" s="131"/>
      <c r="AE95" s="132"/>
      <c r="AF95" s="131"/>
      <c r="AG95" s="132"/>
      <c r="AH95" s="133"/>
    </row>
    <row r="96">
      <c r="A96" s="4">
        <v>6.0</v>
      </c>
      <c r="B96" s="4">
        <v>220.0</v>
      </c>
      <c r="C96" t="str">
        <f>'Mens Varsity Results'!F101</f>
        <v/>
      </c>
      <c r="D96">
        <f>'Mens Varsity Results'!C101</f>
        <v>5</v>
      </c>
      <c r="G96" s="112"/>
      <c r="H96" s="129"/>
      <c r="I96" s="128"/>
      <c r="J96" s="129"/>
      <c r="K96" s="128"/>
      <c r="L96" s="129"/>
      <c r="M96" s="128"/>
      <c r="N96" s="129"/>
      <c r="O96" s="128"/>
      <c r="P96" s="129"/>
      <c r="Q96" s="128"/>
      <c r="R96" s="129"/>
      <c r="S96" s="128"/>
      <c r="T96" s="129"/>
      <c r="U96" s="128"/>
      <c r="V96" s="129"/>
      <c r="W96" s="128"/>
      <c r="X96" s="129"/>
      <c r="Y96" s="128"/>
      <c r="Z96" s="129"/>
      <c r="AA96" s="128"/>
      <c r="AB96" s="129"/>
      <c r="AC96" s="128"/>
      <c r="AD96" s="129"/>
      <c r="AE96" s="128"/>
      <c r="AF96" s="129"/>
      <c r="AG96" s="128"/>
      <c r="AH96" s="118"/>
    </row>
    <row r="97">
      <c r="A97" s="4">
        <v>7.0</v>
      </c>
      <c r="B97" s="4">
        <v>220.0</v>
      </c>
      <c r="C97" t="str">
        <f>'Mens Varsity Results'!F102</f>
        <v/>
      </c>
      <c r="D97">
        <f>'Mens Varsity Results'!C102</f>
        <v>4</v>
      </c>
      <c r="G97" s="130"/>
      <c r="H97" s="131"/>
      <c r="I97" s="132"/>
      <c r="J97" s="131"/>
      <c r="K97" s="132"/>
      <c r="L97" s="131"/>
      <c r="M97" s="132"/>
      <c r="N97" s="131"/>
      <c r="O97" s="132"/>
      <c r="P97" s="131"/>
      <c r="Q97" s="132"/>
      <c r="R97" s="131"/>
      <c r="S97" s="132"/>
      <c r="T97" s="131"/>
      <c r="U97" s="132"/>
      <c r="V97" s="131"/>
      <c r="W97" s="132"/>
      <c r="X97" s="131"/>
      <c r="Y97" s="132"/>
      <c r="Z97" s="131"/>
      <c r="AA97" s="132"/>
      <c r="AB97" s="131"/>
      <c r="AC97" s="132"/>
      <c r="AD97" s="131"/>
      <c r="AE97" s="132"/>
      <c r="AF97" s="131"/>
      <c r="AG97" s="132"/>
      <c r="AH97" s="133"/>
    </row>
    <row r="98">
      <c r="A98" s="4">
        <v>8.0</v>
      </c>
      <c r="B98" s="4">
        <v>220.0</v>
      </c>
      <c r="C98" t="str">
        <f>'Mens Varsity Results'!F103</f>
        <v/>
      </c>
      <c r="D98">
        <f>'Mens Varsity Results'!C103</f>
        <v>3</v>
      </c>
      <c r="G98" s="112"/>
      <c r="H98" s="129"/>
      <c r="I98" s="128"/>
      <c r="J98" s="129"/>
      <c r="K98" s="128"/>
      <c r="L98" s="129"/>
      <c r="M98" s="128"/>
      <c r="N98" s="129"/>
      <c r="O98" s="128"/>
      <c r="P98" s="129"/>
      <c r="Q98" s="128"/>
      <c r="R98" s="129"/>
      <c r="S98" s="128"/>
      <c r="T98" s="129"/>
      <c r="U98" s="128"/>
      <c r="V98" s="129"/>
      <c r="W98" s="128"/>
      <c r="X98" s="129"/>
      <c r="Y98" s="128"/>
      <c r="Z98" s="129"/>
      <c r="AA98" s="128"/>
      <c r="AB98" s="129"/>
      <c r="AC98" s="128"/>
      <c r="AD98" s="129"/>
      <c r="AE98" s="128"/>
      <c r="AF98" s="129"/>
      <c r="AG98" s="128"/>
      <c r="AH98" s="118"/>
    </row>
    <row r="99">
      <c r="A99" s="4">
        <v>9.0</v>
      </c>
      <c r="B99" s="4">
        <v>220.0</v>
      </c>
      <c r="C99" t="str">
        <f>'Mens Varsity Results'!F104</f>
        <v/>
      </c>
      <c r="D99">
        <f>'Mens Varsity Results'!C104</f>
        <v>2</v>
      </c>
      <c r="G99" s="130"/>
      <c r="H99" s="131"/>
      <c r="I99" s="132"/>
      <c r="J99" s="131"/>
      <c r="K99" s="132"/>
      <c r="L99" s="131"/>
      <c r="M99" s="132"/>
      <c r="N99" s="131"/>
      <c r="O99" s="132"/>
      <c r="P99" s="131"/>
      <c r="Q99" s="132"/>
      <c r="R99" s="131"/>
      <c r="S99" s="132"/>
      <c r="T99" s="131"/>
      <c r="U99" s="132"/>
      <c r="V99" s="131"/>
      <c r="W99" s="132"/>
      <c r="X99" s="131"/>
      <c r="Y99" s="132"/>
      <c r="Z99" s="131"/>
      <c r="AA99" s="132"/>
      <c r="AB99" s="131"/>
      <c r="AC99" s="132"/>
      <c r="AD99" s="131"/>
      <c r="AE99" s="132"/>
      <c r="AF99" s="131"/>
      <c r="AG99" s="132"/>
      <c r="AH99" s="133"/>
    </row>
    <row r="100">
      <c r="A100" s="4">
        <v>10.0</v>
      </c>
      <c r="B100" s="4">
        <v>220.0</v>
      </c>
      <c r="C100" t="str">
        <f>'Mens Varsity Results'!F105</f>
        <v/>
      </c>
      <c r="D100">
        <f>'Mens Varsity Results'!C105</f>
        <v>1</v>
      </c>
      <c r="G100" s="112"/>
      <c r="H100" s="129"/>
      <c r="I100" s="128"/>
      <c r="J100" s="129"/>
      <c r="K100" s="128"/>
      <c r="L100" s="129"/>
      <c r="M100" s="128"/>
      <c r="N100" s="129"/>
      <c r="O100" s="128"/>
      <c r="P100" s="129"/>
      <c r="Q100" s="128"/>
      <c r="R100" s="129"/>
      <c r="S100" s="128"/>
      <c r="T100" s="129"/>
      <c r="U100" s="128"/>
      <c r="V100" s="129"/>
      <c r="W100" s="128"/>
      <c r="X100" s="129"/>
      <c r="Y100" s="128"/>
      <c r="Z100" s="129"/>
      <c r="AA100" s="128"/>
      <c r="AB100" s="129"/>
      <c r="AC100" s="128"/>
      <c r="AD100" s="129"/>
      <c r="AE100" s="128"/>
      <c r="AF100" s="129"/>
      <c r="AG100" s="128"/>
      <c r="AH100" s="118"/>
    </row>
    <row r="101">
      <c r="A101" s="4">
        <v>1.0</v>
      </c>
      <c r="B101" s="4">
        <v>242.0</v>
      </c>
      <c r="C101" t="str">
        <f>'Mens Varsity Results'!F106</f>
        <v/>
      </c>
      <c r="D101">
        <f>'Mens Varsity Results'!C106</f>
        <v>12</v>
      </c>
      <c r="G101" s="130"/>
      <c r="H101" s="131"/>
      <c r="I101" s="132"/>
      <c r="J101" s="131"/>
      <c r="K101" s="132"/>
      <c r="L101" s="131"/>
      <c r="M101" s="132"/>
      <c r="N101" s="131"/>
      <c r="O101" s="132"/>
      <c r="P101" s="131"/>
      <c r="Q101" s="132"/>
      <c r="R101" s="131"/>
      <c r="S101" s="132"/>
      <c r="T101" s="131"/>
      <c r="U101" s="132"/>
      <c r="V101" s="131"/>
      <c r="W101" s="132"/>
      <c r="X101" s="131"/>
      <c r="Y101" s="132"/>
      <c r="Z101" s="131"/>
      <c r="AA101" s="132"/>
      <c r="AB101" s="131"/>
      <c r="AC101" s="132"/>
      <c r="AD101" s="131"/>
      <c r="AE101" s="132"/>
      <c r="AF101" s="131"/>
      <c r="AG101" s="132"/>
      <c r="AH101" s="133"/>
    </row>
    <row r="102">
      <c r="A102" s="4">
        <v>2.0</v>
      </c>
      <c r="B102" s="4">
        <v>242.0</v>
      </c>
      <c r="C102" t="str">
        <f>'Mens Varsity Results'!F107</f>
        <v/>
      </c>
      <c r="D102">
        <f>'Mens Varsity Results'!C107</f>
        <v>9</v>
      </c>
      <c r="G102" s="112"/>
      <c r="H102" s="129"/>
      <c r="I102" s="128"/>
      <c r="J102" s="129"/>
      <c r="K102" s="128"/>
      <c r="L102" s="129"/>
      <c r="M102" s="128"/>
      <c r="N102" s="129"/>
      <c r="O102" s="128"/>
      <c r="P102" s="129"/>
      <c r="Q102" s="128"/>
      <c r="R102" s="129"/>
      <c r="S102" s="128"/>
      <c r="T102" s="129"/>
      <c r="U102" s="128"/>
      <c r="V102" s="129"/>
      <c r="W102" s="128"/>
      <c r="X102" s="129"/>
      <c r="Y102" s="128"/>
      <c r="Z102" s="129"/>
      <c r="AA102" s="128"/>
      <c r="AB102" s="129"/>
      <c r="AC102" s="128"/>
      <c r="AD102" s="129"/>
      <c r="AE102" s="128"/>
      <c r="AF102" s="129"/>
      <c r="AG102" s="128"/>
      <c r="AH102" s="118"/>
    </row>
    <row r="103">
      <c r="A103" s="4">
        <v>3.0</v>
      </c>
      <c r="B103" s="4">
        <v>242.0</v>
      </c>
      <c r="C103" t="str">
        <f>'Mens Varsity Results'!F108</f>
        <v/>
      </c>
      <c r="D103">
        <f>'Mens Varsity Results'!C108</f>
        <v>8</v>
      </c>
      <c r="G103" s="130"/>
      <c r="H103" s="131"/>
      <c r="I103" s="132"/>
      <c r="J103" s="131"/>
      <c r="K103" s="132"/>
      <c r="L103" s="131"/>
      <c r="M103" s="132"/>
      <c r="N103" s="131"/>
      <c r="O103" s="132"/>
      <c r="P103" s="131"/>
      <c r="Q103" s="132"/>
      <c r="R103" s="131"/>
      <c r="S103" s="132"/>
      <c r="T103" s="131"/>
      <c r="U103" s="132"/>
      <c r="V103" s="131"/>
      <c r="W103" s="132"/>
      <c r="X103" s="131"/>
      <c r="Y103" s="132"/>
      <c r="Z103" s="131"/>
      <c r="AA103" s="132"/>
      <c r="AB103" s="131"/>
      <c r="AC103" s="132"/>
      <c r="AD103" s="131"/>
      <c r="AE103" s="132"/>
      <c r="AF103" s="131"/>
      <c r="AG103" s="132"/>
      <c r="AH103" s="133"/>
    </row>
    <row r="104">
      <c r="A104" s="4">
        <v>4.0</v>
      </c>
      <c r="B104" s="4">
        <v>242.0</v>
      </c>
      <c r="C104" t="str">
        <f>'Mens Varsity Results'!F109</f>
        <v/>
      </c>
      <c r="D104">
        <f>'Mens Varsity Results'!C109</f>
        <v>7</v>
      </c>
      <c r="G104" s="112"/>
      <c r="H104" s="129"/>
      <c r="I104" s="128"/>
      <c r="J104" s="129"/>
      <c r="K104" s="128"/>
      <c r="L104" s="129"/>
      <c r="M104" s="128"/>
      <c r="N104" s="129"/>
      <c r="O104" s="128"/>
      <c r="P104" s="129"/>
      <c r="Q104" s="128"/>
      <c r="R104" s="129"/>
      <c r="S104" s="128"/>
      <c r="T104" s="129"/>
      <c r="U104" s="128"/>
      <c r="V104" s="129"/>
      <c r="W104" s="128"/>
      <c r="X104" s="129"/>
      <c r="Y104" s="128"/>
      <c r="Z104" s="129"/>
      <c r="AA104" s="128"/>
      <c r="AB104" s="129"/>
      <c r="AC104" s="128"/>
      <c r="AD104" s="129"/>
      <c r="AE104" s="128"/>
      <c r="AF104" s="129"/>
      <c r="AG104" s="128"/>
      <c r="AH104" s="118"/>
    </row>
    <row r="105">
      <c r="A105" s="4">
        <v>5.0</v>
      </c>
      <c r="B105" s="4">
        <v>242.0</v>
      </c>
      <c r="C105" t="str">
        <f>'Mens Varsity Results'!F110</f>
        <v/>
      </c>
      <c r="D105">
        <f>'Mens Varsity Results'!C110</f>
        <v>6</v>
      </c>
      <c r="G105" s="130"/>
      <c r="H105" s="131"/>
      <c r="I105" s="132"/>
      <c r="J105" s="131"/>
      <c r="K105" s="132"/>
      <c r="L105" s="131"/>
      <c r="M105" s="132"/>
      <c r="N105" s="131"/>
      <c r="O105" s="132"/>
      <c r="P105" s="131"/>
      <c r="Q105" s="132"/>
      <c r="R105" s="131"/>
      <c r="S105" s="132"/>
      <c r="T105" s="131"/>
      <c r="U105" s="132"/>
      <c r="V105" s="131"/>
      <c r="W105" s="132"/>
      <c r="X105" s="131"/>
      <c r="Y105" s="132"/>
      <c r="Z105" s="131"/>
      <c r="AA105" s="132"/>
      <c r="AB105" s="131"/>
      <c r="AC105" s="132"/>
      <c r="AD105" s="131"/>
      <c r="AE105" s="132"/>
      <c r="AF105" s="131"/>
      <c r="AG105" s="132"/>
      <c r="AH105" s="133"/>
    </row>
    <row r="106">
      <c r="A106" s="4">
        <v>6.0</v>
      </c>
      <c r="B106" s="4">
        <v>242.0</v>
      </c>
      <c r="C106" t="str">
        <f>'Mens Varsity Results'!F111</f>
        <v/>
      </c>
      <c r="D106">
        <f>'Mens Varsity Results'!C111</f>
        <v>5</v>
      </c>
      <c r="G106" s="112"/>
      <c r="H106" s="129"/>
      <c r="I106" s="128"/>
      <c r="J106" s="129"/>
      <c r="K106" s="128"/>
      <c r="L106" s="129"/>
      <c r="M106" s="128"/>
      <c r="N106" s="129"/>
      <c r="O106" s="128"/>
      <c r="P106" s="129"/>
      <c r="Q106" s="128"/>
      <c r="R106" s="129"/>
      <c r="S106" s="128"/>
      <c r="T106" s="129"/>
      <c r="U106" s="128"/>
      <c r="V106" s="129"/>
      <c r="W106" s="128"/>
      <c r="X106" s="129"/>
      <c r="Y106" s="128"/>
      <c r="Z106" s="129"/>
      <c r="AA106" s="128"/>
      <c r="AB106" s="129"/>
      <c r="AC106" s="128"/>
      <c r="AD106" s="129"/>
      <c r="AE106" s="128"/>
      <c r="AF106" s="129"/>
      <c r="AG106" s="128"/>
      <c r="AH106" s="118"/>
    </row>
    <row r="107">
      <c r="A107" s="4">
        <v>7.0</v>
      </c>
      <c r="B107" s="4">
        <v>242.0</v>
      </c>
      <c r="C107" t="str">
        <f>'Mens Varsity Results'!F112</f>
        <v/>
      </c>
      <c r="D107">
        <f>'Mens Varsity Results'!C112</f>
        <v>4</v>
      </c>
      <c r="G107" s="130"/>
      <c r="H107" s="131"/>
      <c r="I107" s="132"/>
      <c r="J107" s="131"/>
      <c r="K107" s="132"/>
      <c r="L107" s="131"/>
      <c r="M107" s="132"/>
      <c r="N107" s="131"/>
      <c r="O107" s="132"/>
      <c r="P107" s="131"/>
      <c r="Q107" s="132"/>
      <c r="R107" s="131"/>
      <c r="S107" s="132"/>
      <c r="T107" s="131"/>
      <c r="U107" s="132"/>
      <c r="V107" s="131"/>
      <c r="W107" s="132"/>
      <c r="X107" s="131"/>
      <c r="Y107" s="132"/>
      <c r="Z107" s="131"/>
      <c r="AA107" s="132"/>
      <c r="AB107" s="131"/>
      <c r="AC107" s="132"/>
      <c r="AD107" s="131"/>
      <c r="AE107" s="132"/>
      <c r="AF107" s="131"/>
      <c r="AG107" s="132"/>
      <c r="AH107" s="133"/>
    </row>
    <row r="108">
      <c r="A108" s="4">
        <v>8.0</v>
      </c>
      <c r="B108" s="4">
        <v>242.0</v>
      </c>
      <c r="C108" t="str">
        <f>'Mens Varsity Results'!F113</f>
        <v/>
      </c>
      <c r="D108">
        <f>'Mens Varsity Results'!C113</f>
        <v>3</v>
      </c>
      <c r="G108" s="112"/>
      <c r="H108" s="129"/>
      <c r="I108" s="128"/>
      <c r="J108" s="129"/>
      <c r="K108" s="128"/>
      <c r="L108" s="129"/>
      <c r="M108" s="128"/>
      <c r="N108" s="129"/>
      <c r="O108" s="128"/>
      <c r="P108" s="129"/>
      <c r="Q108" s="128"/>
      <c r="R108" s="129"/>
      <c r="S108" s="128"/>
      <c r="T108" s="129"/>
      <c r="U108" s="128"/>
      <c r="V108" s="129"/>
      <c r="W108" s="128"/>
      <c r="X108" s="129"/>
      <c r="Y108" s="128"/>
      <c r="Z108" s="129"/>
      <c r="AA108" s="128"/>
      <c r="AB108" s="129"/>
      <c r="AC108" s="128"/>
      <c r="AD108" s="129"/>
      <c r="AE108" s="128"/>
      <c r="AF108" s="129"/>
      <c r="AG108" s="128"/>
      <c r="AH108" s="118"/>
    </row>
    <row r="109">
      <c r="A109" s="4">
        <v>9.0</v>
      </c>
      <c r="B109" s="4">
        <v>242.0</v>
      </c>
      <c r="C109" t="str">
        <f>'Mens Varsity Results'!F114</f>
        <v/>
      </c>
      <c r="D109">
        <f>'Mens Varsity Results'!C114</f>
        <v>2</v>
      </c>
      <c r="G109" s="130"/>
      <c r="H109" s="131"/>
      <c r="I109" s="132"/>
      <c r="J109" s="131"/>
      <c r="K109" s="132"/>
      <c r="L109" s="131"/>
      <c r="M109" s="132"/>
      <c r="N109" s="131"/>
      <c r="O109" s="132"/>
      <c r="P109" s="131"/>
      <c r="Q109" s="132"/>
      <c r="R109" s="131"/>
      <c r="S109" s="132"/>
      <c r="T109" s="131"/>
      <c r="U109" s="132"/>
      <c r="V109" s="131"/>
      <c r="W109" s="132"/>
      <c r="X109" s="131"/>
      <c r="Y109" s="132"/>
      <c r="Z109" s="131"/>
      <c r="AA109" s="132"/>
      <c r="AB109" s="131"/>
      <c r="AC109" s="132"/>
      <c r="AD109" s="131"/>
      <c r="AE109" s="132"/>
      <c r="AF109" s="131"/>
      <c r="AG109" s="132"/>
      <c r="AH109" s="133"/>
    </row>
    <row r="110">
      <c r="A110" s="4">
        <v>10.0</v>
      </c>
      <c r="B110" s="4">
        <v>242.0</v>
      </c>
      <c r="C110" t="str">
        <f>'Mens Varsity Results'!F115</f>
        <v/>
      </c>
      <c r="D110">
        <f>'Mens Varsity Results'!C115</f>
        <v>1</v>
      </c>
      <c r="G110" s="112"/>
      <c r="H110" s="129"/>
      <c r="I110" s="128"/>
      <c r="J110" s="129"/>
      <c r="K110" s="128"/>
      <c r="L110" s="129"/>
      <c r="M110" s="128"/>
      <c r="N110" s="129"/>
      <c r="O110" s="128"/>
      <c r="P110" s="129"/>
      <c r="Q110" s="128"/>
      <c r="R110" s="129"/>
      <c r="S110" s="128"/>
      <c r="T110" s="129"/>
      <c r="U110" s="128"/>
      <c r="V110" s="129"/>
      <c r="W110" s="128"/>
      <c r="X110" s="129"/>
      <c r="Y110" s="128"/>
      <c r="Z110" s="129"/>
      <c r="AA110" s="128"/>
      <c r="AB110" s="129"/>
      <c r="AC110" s="128"/>
      <c r="AD110" s="129"/>
      <c r="AE110" s="128"/>
      <c r="AF110" s="129"/>
      <c r="AG110" s="128"/>
      <c r="AH110" s="118"/>
    </row>
    <row r="111">
      <c r="A111" s="4">
        <v>1.0</v>
      </c>
      <c r="B111" s="4">
        <v>275.0</v>
      </c>
      <c r="C111" t="str">
        <f>'Mens Varsity Results'!F116</f>
        <v/>
      </c>
      <c r="D111">
        <f>'Mens Varsity Results'!C116</f>
        <v>12</v>
      </c>
      <c r="G111" s="130"/>
      <c r="H111" s="131"/>
      <c r="I111" s="132"/>
      <c r="J111" s="131"/>
      <c r="K111" s="132"/>
      <c r="L111" s="131"/>
      <c r="M111" s="132"/>
      <c r="N111" s="131"/>
      <c r="O111" s="132"/>
      <c r="P111" s="131"/>
      <c r="Q111" s="132"/>
      <c r="R111" s="131"/>
      <c r="S111" s="132"/>
      <c r="T111" s="131"/>
      <c r="U111" s="132"/>
      <c r="V111" s="131"/>
      <c r="W111" s="132"/>
      <c r="X111" s="131"/>
      <c r="Y111" s="132"/>
      <c r="Z111" s="131"/>
      <c r="AA111" s="132"/>
      <c r="AB111" s="131"/>
      <c r="AC111" s="132"/>
      <c r="AD111" s="131"/>
      <c r="AE111" s="132"/>
      <c r="AF111" s="131"/>
      <c r="AG111" s="132"/>
      <c r="AH111" s="133"/>
    </row>
    <row r="112">
      <c r="A112" s="4">
        <v>2.0</v>
      </c>
      <c r="B112" s="4">
        <v>275.0</v>
      </c>
      <c r="C112" t="str">
        <f>'Mens Varsity Results'!F117</f>
        <v/>
      </c>
      <c r="D112">
        <f>'Mens Varsity Results'!C117</f>
        <v>9</v>
      </c>
      <c r="G112" s="112"/>
      <c r="H112" s="129"/>
      <c r="I112" s="128"/>
      <c r="J112" s="129"/>
      <c r="K112" s="128"/>
      <c r="L112" s="129"/>
      <c r="M112" s="128"/>
      <c r="N112" s="129"/>
      <c r="O112" s="128"/>
      <c r="P112" s="129"/>
      <c r="Q112" s="128"/>
      <c r="R112" s="129"/>
      <c r="S112" s="128"/>
      <c r="T112" s="129"/>
      <c r="U112" s="128"/>
      <c r="V112" s="129"/>
      <c r="W112" s="128"/>
      <c r="X112" s="129"/>
      <c r="Y112" s="128"/>
      <c r="Z112" s="129"/>
      <c r="AA112" s="128"/>
      <c r="AB112" s="129"/>
      <c r="AC112" s="128"/>
      <c r="AD112" s="129"/>
      <c r="AE112" s="128"/>
      <c r="AF112" s="129"/>
      <c r="AG112" s="128"/>
      <c r="AH112" s="118"/>
    </row>
    <row r="113">
      <c r="A113" s="4">
        <v>3.0</v>
      </c>
      <c r="B113" s="4">
        <v>275.0</v>
      </c>
      <c r="C113" t="str">
        <f>'Mens Varsity Results'!F118</f>
        <v/>
      </c>
      <c r="D113">
        <f>'Mens Varsity Results'!C118</f>
        <v>8</v>
      </c>
      <c r="G113" s="130"/>
      <c r="H113" s="131"/>
      <c r="I113" s="132"/>
      <c r="J113" s="131"/>
      <c r="K113" s="132"/>
      <c r="L113" s="131"/>
      <c r="M113" s="132"/>
      <c r="N113" s="131"/>
      <c r="O113" s="132"/>
      <c r="P113" s="131"/>
      <c r="Q113" s="132"/>
      <c r="R113" s="131"/>
      <c r="S113" s="132"/>
      <c r="T113" s="131"/>
      <c r="U113" s="132"/>
      <c r="V113" s="131"/>
      <c r="W113" s="132"/>
      <c r="X113" s="131"/>
      <c r="Y113" s="132"/>
      <c r="Z113" s="131"/>
      <c r="AA113" s="132"/>
      <c r="AB113" s="131"/>
      <c r="AC113" s="132"/>
      <c r="AD113" s="131"/>
      <c r="AE113" s="132"/>
      <c r="AF113" s="131"/>
      <c r="AG113" s="132"/>
      <c r="AH113" s="133"/>
    </row>
    <row r="114">
      <c r="A114" s="4">
        <v>4.0</v>
      </c>
      <c r="B114" s="4">
        <v>275.0</v>
      </c>
      <c r="C114" t="str">
        <f>'Mens Varsity Results'!F119</f>
        <v/>
      </c>
      <c r="D114">
        <f>'Mens Varsity Results'!C119</f>
        <v>7</v>
      </c>
      <c r="G114" s="112"/>
      <c r="H114" s="129"/>
      <c r="I114" s="128"/>
      <c r="J114" s="129"/>
      <c r="K114" s="128"/>
      <c r="L114" s="129"/>
      <c r="M114" s="128"/>
      <c r="N114" s="129"/>
      <c r="O114" s="128"/>
      <c r="P114" s="129"/>
      <c r="Q114" s="128"/>
      <c r="R114" s="129"/>
      <c r="S114" s="128"/>
      <c r="T114" s="129"/>
      <c r="U114" s="128"/>
      <c r="V114" s="129"/>
      <c r="W114" s="128"/>
      <c r="X114" s="129"/>
      <c r="Y114" s="128"/>
      <c r="Z114" s="129"/>
      <c r="AA114" s="128"/>
      <c r="AB114" s="129"/>
      <c r="AC114" s="128"/>
      <c r="AD114" s="129"/>
      <c r="AE114" s="128"/>
      <c r="AF114" s="129"/>
      <c r="AG114" s="128"/>
      <c r="AH114" s="118"/>
    </row>
    <row r="115">
      <c r="A115" s="4">
        <v>5.0</v>
      </c>
      <c r="B115" s="4">
        <v>275.0</v>
      </c>
      <c r="C115" t="str">
        <f>'Mens Varsity Results'!F120</f>
        <v/>
      </c>
      <c r="D115">
        <f>'Mens Varsity Results'!C120</f>
        <v>6</v>
      </c>
      <c r="G115" s="130"/>
      <c r="H115" s="131"/>
      <c r="I115" s="132"/>
      <c r="J115" s="131"/>
      <c r="K115" s="132"/>
      <c r="L115" s="131"/>
      <c r="M115" s="132"/>
      <c r="N115" s="131"/>
      <c r="O115" s="132"/>
      <c r="P115" s="131"/>
      <c r="Q115" s="132"/>
      <c r="R115" s="131"/>
      <c r="S115" s="132"/>
      <c r="T115" s="131"/>
      <c r="U115" s="132"/>
      <c r="V115" s="131"/>
      <c r="W115" s="132"/>
      <c r="X115" s="131"/>
      <c r="Y115" s="132"/>
      <c r="Z115" s="131"/>
      <c r="AA115" s="132"/>
      <c r="AB115" s="131"/>
      <c r="AC115" s="132"/>
      <c r="AD115" s="131"/>
      <c r="AE115" s="132"/>
      <c r="AF115" s="131"/>
      <c r="AG115" s="132"/>
      <c r="AH115" s="133"/>
    </row>
    <row r="116">
      <c r="A116" s="4">
        <v>6.0</v>
      </c>
      <c r="B116" s="4">
        <v>275.0</v>
      </c>
      <c r="C116" t="str">
        <f>'Mens Varsity Results'!F121</f>
        <v/>
      </c>
      <c r="D116">
        <f>'Mens Varsity Results'!C121</f>
        <v>5</v>
      </c>
      <c r="G116" s="112"/>
      <c r="H116" s="129"/>
      <c r="I116" s="128"/>
      <c r="J116" s="129"/>
      <c r="K116" s="128"/>
      <c r="L116" s="129"/>
      <c r="M116" s="128"/>
      <c r="N116" s="129"/>
      <c r="O116" s="128"/>
      <c r="P116" s="129"/>
      <c r="Q116" s="128"/>
      <c r="R116" s="129"/>
      <c r="S116" s="128"/>
      <c r="T116" s="129"/>
      <c r="U116" s="128"/>
      <c r="V116" s="129"/>
      <c r="W116" s="128"/>
      <c r="X116" s="129"/>
      <c r="Y116" s="128"/>
      <c r="Z116" s="129"/>
      <c r="AA116" s="128"/>
      <c r="AB116" s="129"/>
      <c r="AC116" s="128"/>
      <c r="AD116" s="129"/>
      <c r="AE116" s="128"/>
      <c r="AF116" s="129"/>
      <c r="AG116" s="128"/>
      <c r="AH116" s="118"/>
    </row>
    <row r="117">
      <c r="A117" s="4">
        <v>7.0</v>
      </c>
      <c r="B117" s="4">
        <v>275.0</v>
      </c>
      <c r="C117" t="str">
        <f>'Mens Varsity Results'!F122</f>
        <v/>
      </c>
      <c r="D117">
        <f>'Mens Varsity Results'!C122</f>
        <v>4</v>
      </c>
      <c r="G117" s="130"/>
      <c r="H117" s="131"/>
      <c r="I117" s="132"/>
      <c r="J117" s="131"/>
      <c r="K117" s="132"/>
      <c r="L117" s="131"/>
      <c r="M117" s="132"/>
      <c r="N117" s="131"/>
      <c r="O117" s="132"/>
      <c r="P117" s="131"/>
      <c r="Q117" s="132"/>
      <c r="R117" s="131"/>
      <c r="S117" s="132"/>
      <c r="T117" s="131"/>
      <c r="U117" s="132"/>
      <c r="V117" s="131"/>
      <c r="W117" s="132"/>
      <c r="X117" s="131"/>
      <c r="Y117" s="132"/>
      <c r="Z117" s="131"/>
      <c r="AA117" s="132"/>
      <c r="AB117" s="131"/>
      <c r="AC117" s="132"/>
      <c r="AD117" s="131"/>
      <c r="AE117" s="132"/>
      <c r="AF117" s="131"/>
      <c r="AG117" s="132"/>
      <c r="AH117" s="133"/>
    </row>
    <row r="118">
      <c r="A118" s="4">
        <v>8.0</v>
      </c>
      <c r="B118" s="4">
        <v>275.0</v>
      </c>
      <c r="C118" t="str">
        <f>'Mens Varsity Results'!F123</f>
        <v/>
      </c>
      <c r="D118">
        <f>'Mens Varsity Results'!C123</f>
        <v>3</v>
      </c>
      <c r="G118" s="112"/>
      <c r="H118" s="129"/>
      <c r="I118" s="128"/>
      <c r="J118" s="129"/>
      <c r="K118" s="128"/>
      <c r="L118" s="129"/>
      <c r="M118" s="128"/>
      <c r="N118" s="129"/>
      <c r="O118" s="128"/>
      <c r="P118" s="129"/>
      <c r="Q118" s="128"/>
      <c r="R118" s="129"/>
      <c r="S118" s="128"/>
      <c r="T118" s="129"/>
      <c r="U118" s="128"/>
      <c r="V118" s="129"/>
      <c r="W118" s="128"/>
      <c r="X118" s="129"/>
      <c r="Y118" s="128"/>
      <c r="Z118" s="129"/>
      <c r="AA118" s="128"/>
      <c r="AB118" s="129"/>
      <c r="AC118" s="128"/>
      <c r="AD118" s="129"/>
      <c r="AE118" s="128"/>
      <c r="AF118" s="129"/>
      <c r="AG118" s="128"/>
      <c r="AH118" s="118"/>
    </row>
    <row r="119">
      <c r="A119" s="4">
        <v>9.0</v>
      </c>
      <c r="B119" s="4">
        <v>275.0</v>
      </c>
      <c r="C119" t="str">
        <f>'Mens Varsity Results'!F124</f>
        <v/>
      </c>
      <c r="D119">
        <f>'Mens Varsity Results'!C124</f>
        <v>2</v>
      </c>
      <c r="G119" s="130"/>
      <c r="H119" s="131"/>
      <c r="I119" s="132"/>
      <c r="J119" s="131"/>
      <c r="K119" s="132"/>
      <c r="L119" s="131"/>
      <c r="M119" s="132"/>
      <c r="N119" s="131"/>
      <c r="O119" s="132"/>
      <c r="P119" s="131"/>
      <c r="Q119" s="132"/>
      <c r="R119" s="131"/>
      <c r="S119" s="132"/>
      <c r="T119" s="131"/>
      <c r="U119" s="132"/>
      <c r="V119" s="131"/>
      <c r="W119" s="132"/>
      <c r="X119" s="131"/>
      <c r="Y119" s="132"/>
      <c r="Z119" s="131"/>
      <c r="AA119" s="132"/>
      <c r="AB119" s="131"/>
      <c r="AC119" s="132"/>
      <c r="AD119" s="131"/>
      <c r="AE119" s="132"/>
      <c r="AF119" s="131"/>
      <c r="AG119" s="132"/>
      <c r="AH119" s="133"/>
    </row>
    <row r="120">
      <c r="A120" s="4">
        <v>10.0</v>
      </c>
      <c r="B120" s="4">
        <v>275.0</v>
      </c>
      <c r="C120" t="str">
        <f>'Mens Varsity Results'!F125</f>
        <v/>
      </c>
      <c r="D120">
        <f>'Mens Varsity Results'!C125</f>
        <v>1</v>
      </c>
      <c r="G120" s="112"/>
      <c r="H120" s="129"/>
      <c r="I120" s="128"/>
      <c r="J120" s="129"/>
      <c r="K120" s="128"/>
      <c r="L120" s="129"/>
      <c r="M120" s="128"/>
      <c r="N120" s="129"/>
      <c r="O120" s="128"/>
      <c r="P120" s="129"/>
      <c r="Q120" s="128"/>
      <c r="R120" s="129"/>
      <c r="S120" s="128"/>
      <c r="T120" s="129"/>
      <c r="U120" s="128"/>
      <c r="V120" s="129"/>
      <c r="W120" s="128"/>
      <c r="X120" s="129"/>
      <c r="Y120" s="128"/>
      <c r="Z120" s="129"/>
      <c r="AA120" s="128"/>
      <c r="AB120" s="129"/>
      <c r="AC120" s="128"/>
      <c r="AD120" s="129"/>
      <c r="AE120" s="128"/>
      <c r="AF120" s="129"/>
      <c r="AG120" s="128"/>
      <c r="AH120" s="118"/>
    </row>
    <row r="121">
      <c r="A121" s="4">
        <v>1.0</v>
      </c>
      <c r="B121" s="4" t="s">
        <v>130</v>
      </c>
      <c r="C121" t="str">
        <f>'Mens Varsity Results'!F126</f>
        <v/>
      </c>
      <c r="D121">
        <f>'Mens Varsity Results'!C126</f>
        <v>12</v>
      </c>
      <c r="G121" s="130"/>
      <c r="H121" s="131"/>
      <c r="I121" s="132"/>
      <c r="J121" s="131"/>
      <c r="K121" s="132"/>
      <c r="L121" s="131"/>
      <c r="M121" s="132"/>
      <c r="N121" s="131"/>
      <c r="O121" s="132"/>
      <c r="P121" s="131"/>
      <c r="Q121" s="132"/>
      <c r="R121" s="131"/>
      <c r="S121" s="132"/>
      <c r="T121" s="131"/>
      <c r="U121" s="132"/>
      <c r="V121" s="131"/>
      <c r="W121" s="132"/>
      <c r="X121" s="131"/>
      <c r="Y121" s="132"/>
      <c r="Z121" s="131"/>
      <c r="AA121" s="132"/>
      <c r="AB121" s="131"/>
      <c r="AC121" s="132"/>
      <c r="AD121" s="131"/>
      <c r="AE121" s="132"/>
      <c r="AF121" s="131"/>
      <c r="AG121" s="132"/>
      <c r="AH121" s="133"/>
    </row>
    <row r="122">
      <c r="A122" s="4">
        <v>2.0</v>
      </c>
      <c r="B122" s="4" t="s">
        <v>130</v>
      </c>
      <c r="C122" t="str">
        <f>'Mens Varsity Results'!F127</f>
        <v/>
      </c>
      <c r="D122">
        <f>'Mens Varsity Results'!C127</f>
        <v>9</v>
      </c>
      <c r="G122" s="112"/>
      <c r="H122" s="129"/>
      <c r="I122" s="128"/>
      <c r="J122" s="129"/>
      <c r="K122" s="128"/>
      <c r="L122" s="129"/>
      <c r="M122" s="128"/>
      <c r="N122" s="129"/>
      <c r="O122" s="128"/>
      <c r="P122" s="129"/>
      <c r="Q122" s="128"/>
      <c r="R122" s="129"/>
      <c r="S122" s="128"/>
      <c r="T122" s="129"/>
      <c r="U122" s="128"/>
      <c r="V122" s="129"/>
      <c r="W122" s="128"/>
      <c r="X122" s="129"/>
      <c r="Y122" s="128"/>
      <c r="Z122" s="129"/>
      <c r="AA122" s="128"/>
      <c r="AB122" s="129"/>
      <c r="AC122" s="128"/>
      <c r="AD122" s="129"/>
      <c r="AE122" s="128"/>
      <c r="AF122" s="129"/>
      <c r="AG122" s="128"/>
      <c r="AH122" s="118"/>
    </row>
    <row r="123">
      <c r="A123" s="4">
        <v>3.0</v>
      </c>
      <c r="B123" s="4" t="s">
        <v>130</v>
      </c>
      <c r="C123" t="str">
        <f>'Mens Varsity Results'!F128</f>
        <v/>
      </c>
      <c r="D123">
        <f>'Mens Varsity Results'!C128</f>
        <v>8</v>
      </c>
      <c r="G123" s="130"/>
      <c r="H123" s="131"/>
      <c r="I123" s="132"/>
      <c r="J123" s="131"/>
      <c r="K123" s="132"/>
      <c r="L123" s="131"/>
      <c r="M123" s="132"/>
      <c r="N123" s="131"/>
      <c r="O123" s="132"/>
      <c r="P123" s="131"/>
      <c r="Q123" s="132"/>
      <c r="R123" s="131"/>
      <c r="S123" s="132"/>
      <c r="T123" s="131"/>
      <c r="U123" s="132"/>
      <c r="V123" s="131"/>
      <c r="W123" s="132"/>
      <c r="X123" s="131"/>
      <c r="Y123" s="132"/>
      <c r="Z123" s="131"/>
      <c r="AA123" s="132"/>
      <c r="AB123" s="131"/>
      <c r="AC123" s="132"/>
      <c r="AD123" s="131"/>
      <c r="AE123" s="132"/>
      <c r="AF123" s="131"/>
      <c r="AG123" s="132"/>
      <c r="AH123" s="133"/>
    </row>
    <row r="124">
      <c r="A124" s="4">
        <v>4.0</v>
      </c>
      <c r="B124" s="4" t="s">
        <v>130</v>
      </c>
      <c r="C124" t="str">
        <f>'Mens Varsity Results'!F129</f>
        <v/>
      </c>
      <c r="D124">
        <f>'Mens Varsity Results'!C129</f>
        <v>7</v>
      </c>
      <c r="G124" s="112"/>
      <c r="H124" s="129"/>
      <c r="I124" s="128"/>
      <c r="J124" s="129"/>
      <c r="K124" s="128"/>
      <c r="L124" s="129"/>
      <c r="M124" s="128"/>
      <c r="N124" s="129"/>
      <c r="O124" s="128"/>
      <c r="P124" s="129"/>
      <c r="Q124" s="128"/>
      <c r="R124" s="129"/>
      <c r="S124" s="128"/>
      <c r="T124" s="129"/>
      <c r="U124" s="128"/>
      <c r="V124" s="129"/>
      <c r="W124" s="128"/>
      <c r="X124" s="129"/>
      <c r="Y124" s="128"/>
      <c r="Z124" s="129"/>
      <c r="AA124" s="128"/>
      <c r="AB124" s="129"/>
      <c r="AC124" s="128"/>
      <c r="AD124" s="129"/>
      <c r="AE124" s="128"/>
      <c r="AF124" s="129"/>
      <c r="AG124" s="128"/>
      <c r="AH124" s="118"/>
    </row>
    <row r="125">
      <c r="A125" s="4">
        <v>5.0</v>
      </c>
      <c r="B125" s="4" t="s">
        <v>130</v>
      </c>
      <c r="C125" t="str">
        <f>'Mens Varsity Results'!F130</f>
        <v/>
      </c>
      <c r="D125">
        <f>'Mens Varsity Results'!C130</f>
        <v>6</v>
      </c>
      <c r="G125" s="130"/>
      <c r="H125" s="131"/>
      <c r="I125" s="132"/>
      <c r="J125" s="131"/>
      <c r="K125" s="132"/>
      <c r="L125" s="131"/>
      <c r="M125" s="132"/>
      <c r="N125" s="131"/>
      <c r="O125" s="132"/>
      <c r="P125" s="131"/>
      <c r="Q125" s="132"/>
      <c r="R125" s="131"/>
      <c r="S125" s="132"/>
      <c r="T125" s="131"/>
      <c r="U125" s="132"/>
      <c r="V125" s="131"/>
      <c r="W125" s="132"/>
      <c r="X125" s="131"/>
      <c r="Y125" s="132"/>
      <c r="Z125" s="131"/>
      <c r="AA125" s="132"/>
      <c r="AB125" s="131"/>
      <c r="AC125" s="132"/>
      <c r="AD125" s="131"/>
      <c r="AE125" s="132"/>
      <c r="AF125" s="131"/>
      <c r="AG125" s="132"/>
      <c r="AH125" s="133"/>
    </row>
    <row r="126">
      <c r="A126" s="4">
        <v>6.0</v>
      </c>
      <c r="B126" s="4" t="s">
        <v>130</v>
      </c>
      <c r="C126" t="str">
        <f>'Mens Varsity Results'!F131</f>
        <v/>
      </c>
      <c r="D126">
        <f>'Mens Varsity Results'!C131</f>
        <v>5</v>
      </c>
      <c r="G126" s="112"/>
      <c r="H126" s="129"/>
      <c r="I126" s="128"/>
      <c r="J126" s="129"/>
      <c r="K126" s="128"/>
      <c r="L126" s="129"/>
      <c r="M126" s="128"/>
      <c r="N126" s="129"/>
      <c r="O126" s="128"/>
      <c r="P126" s="129"/>
      <c r="Q126" s="128"/>
      <c r="R126" s="129"/>
      <c r="S126" s="128"/>
      <c r="T126" s="129"/>
      <c r="U126" s="128"/>
      <c r="V126" s="129"/>
      <c r="W126" s="128"/>
      <c r="X126" s="129"/>
      <c r="Y126" s="128"/>
      <c r="Z126" s="129"/>
      <c r="AA126" s="128"/>
      <c r="AB126" s="129"/>
      <c r="AC126" s="128"/>
      <c r="AD126" s="129"/>
      <c r="AE126" s="128"/>
      <c r="AF126" s="129"/>
      <c r="AG126" s="128"/>
      <c r="AH126" s="118"/>
    </row>
    <row r="127">
      <c r="A127" s="4">
        <v>7.0</v>
      </c>
      <c r="B127" s="4" t="s">
        <v>130</v>
      </c>
      <c r="C127" t="str">
        <f>'Mens Varsity Results'!F132</f>
        <v/>
      </c>
      <c r="D127">
        <f>'Mens Varsity Results'!C132</f>
        <v>4</v>
      </c>
      <c r="G127" s="130"/>
      <c r="H127" s="131"/>
      <c r="I127" s="132"/>
      <c r="J127" s="131"/>
      <c r="K127" s="132"/>
      <c r="L127" s="131"/>
      <c r="M127" s="132"/>
      <c r="N127" s="131"/>
      <c r="O127" s="132"/>
      <c r="P127" s="131"/>
      <c r="Q127" s="132"/>
      <c r="R127" s="131"/>
      <c r="S127" s="132"/>
      <c r="T127" s="131"/>
      <c r="U127" s="132"/>
      <c r="V127" s="131"/>
      <c r="W127" s="132"/>
      <c r="X127" s="131"/>
      <c r="Y127" s="132"/>
      <c r="Z127" s="131"/>
      <c r="AA127" s="132"/>
      <c r="AB127" s="131"/>
      <c r="AC127" s="132"/>
      <c r="AD127" s="131"/>
      <c r="AE127" s="132"/>
      <c r="AF127" s="131"/>
      <c r="AG127" s="132"/>
      <c r="AH127" s="133"/>
    </row>
    <row r="128">
      <c r="A128" s="4">
        <v>8.0</v>
      </c>
      <c r="B128" s="4" t="s">
        <v>130</v>
      </c>
      <c r="C128" t="str">
        <f>'Mens Varsity Results'!F133</f>
        <v/>
      </c>
      <c r="D128">
        <f>'Mens Varsity Results'!C133</f>
        <v>3</v>
      </c>
      <c r="G128" s="112"/>
      <c r="H128" s="129"/>
      <c r="I128" s="128"/>
      <c r="J128" s="129"/>
      <c r="K128" s="128"/>
      <c r="L128" s="129"/>
      <c r="M128" s="128"/>
      <c r="N128" s="129"/>
      <c r="O128" s="128"/>
      <c r="P128" s="129"/>
      <c r="Q128" s="128"/>
      <c r="R128" s="129"/>
      <c r="S128" s="128"/>
      <c r="T128" s="129"/>
      <c r="U128" s="128"/>
      <c r="V128" s="129"/>
      <c r="W128" s="128"/>
      <c r="X128" s="129"/>
      <c r="Y128" s="128"/>
      <c r="Z128" s="129"/>
      <c r="AA128" s="128"/>
      <c r="AB128" s="129"/>
      <c r="AC128" s="128"/>
      <c r="AD128" s="129"/>
      <c r="AE128" s="128"/>
      <c r="AF128" s="129"/>
      <c r="AG128" s="128"/>
      <c r="AH128" s="118"/>
    </row>
    <row r="129">
      <c r="A129" s="4">
        <v>9.0</v>
      </c>
      <c r="B129" s="4" t="s">
        <v>130</v>
      </c>
      <c r="C129" t="str">
        <f>'Mens Varsity Results'!F134</f>
        <v/>
      </c>
      <c r="D129">
        <f>'Mens Varsity Results'!C134</f>
        <v>2</v>
      </c>
      <c r="G129" s="130"/>
      <c r="H129" s="131"/>
      <c r="I129" s="132"/>
      <c r="J129" s="131"/>
      <c r="K129" s="132"/>
      <c r="L129" s="131"/>
      <c r="M129" s="132"/>
      <c r="N129" s="131"/>
      <c r="O129" s="132"/>
      <c r="P129" s="131"/>
      <c r="Q129" s="132"/>
      <c r="R129" s="131"/>
      <c r="S129" s="132"/>
      <c r="T129" s="131"/>
      <c r="U129" s="132"/>
      <c r="V129" s="131"/>
      <c r="W129" s="132"/>
      <c r="X129" s="131"/>
      <c r="Y129" s="132"/>
      <c r="Z129" s="131"/>
      <c r="AA129" s="132"/>
      <c r="AB129" s="131"/>
      <c r="AC129" s="132"/>
      <c r="AD129" s="131"/>
      <c r="AE129" s="132"/>
      <c r="AF129" s="131"/>
      <c r="AG129" s="132"/>
      <c r="AH129" s="133"/>
    </row>
    <row r="130">
      <c r="A130" s="4">
        <v>10.0</v>
      </c>
      <c r="B130" s="4" t="s">
        <v>130</v>
      </c>
      <c r="C130" t="str">
        <f>'Mens Varsity Results'!F135</f>
        <v/>
      </c>
      <c r="D130">
        <f>'Mens Varsity Results'!C135</f>
        <v>1</v>
      </c>
      <c r="G130" s="112"/>
      <c r="H130" s="129"/>
      <c r="I130" s="128"/>
      <c r="J130" s="129"/>
      <c r="K130" s="128"/>
      <c r="L130" s="129"/>
      <c r="M130" s="128"/>
      <c r="N130" s="129"/>
      <c r="O130" s="128"/>
      <c r="P130" s="129"/>
      <c r="Q130" s="128"/>
      <c r="R130" s="129"/>
      <c r="S130" s="128"/>
      <c r="T130" s="129"/>
      <c r="U130" s="128"/>
      <c r="V130" s="129"/>
      <c r="W130" s="128"/>
      <c r="X130" s="129"/>
      <c r="Y130" s="128"/>
      <c r="Z130" s="129"/>
      <c r="AA130" s="128"/>
      <c r="AB130" s="129"/>
      <c r="AC130" s="128"/>
      <c r="AD130" s="129"/>
      <c r="AE130" s="128"/>
      <c r="AF130" s="129"/>
      <c r="AG130" s="128"/>
      <c r="AH130" s="118"/>
    </row>
    <row r="131">
      <c r="G131" s="134"/>
      <c r="H131" s="135"/>
      <c r="I131" s="136"/>
      <c r="J131" s="135"/>
      <c r="K131" s="136"/>
      <c r="L131" s="135"/>
      <c r="M131" s="136"/>
      <c r="N131" s="135"/>
      <c r="O131" s="136"/>
      <c r="P131" s="135"/>
      <c r="Q131" s="136"/>
      <c r="R131" s="135"/>
      <c r="S131" s="136"/>
      <c r="T131" s="137"/>
      <c r="U131" s="136"/>
      <c r="V131" s="135"/>
      <c r="W131" s="136"/>
      <c r="X131" s="135"/>
      <c r="Y131" s="136"/>
      <c r="Z131" s="135"/>
      <c r="AA131" s="136"/>
      <c r="AB131" s="135"/>
      <c r="AC131" s="136"/>
      <c r="AD131" s="135"/>
      <c r="AE131" s="136"/>
      <c r="AF131" s="135"/>
      <c r="AG131" s="136"/>
      <c r="AH131" s="138"/>
    </row>
    <row r="132" hidden="1">
      <c r="H132" s="139">
        <v>114.0</v>
      </c>
      <c r="J132" s="139">
        <v>123.0</v>
      </c>
      <c r="L132" s="139">
        <v>132.0</v>
      </c>
      <c r="N132" s="139">
        <v>145.0</v>
      </c>
      <c r="P132" s="139">
        <v>155.0</v>
      </c>
      <c r="R132" s="139">
        <v>165.0</v>
      </c>
      <c r="T132" s="139">
        <v>181.0</v>
      </c>
      <c r="V132" s="139">
        <v>194.0</v>
      </c>
      <c r="X132" s="139">
        <v>207.0</v>
      </c>
      <c r="Z132" s="139">
        <v>220.0</v>
      </c>
      <c r="AB132" s="139">
        <v>242.0</v>
      </c>
      <c r="AD132" s="139">
        <v>275.0</v>
      </c>
      <c r="AF132" s="139" t="s">
        <v>130</v>
      </c>
      <c r="AH132" s="140" t="s">
        <v>118</v>
      </c>
    </row>
    <row r="133" hidden="1">
      <c r="F133" s="4">
        <v>1.0</v>
      </c>
      <c r="G133" t="str">
        <f>IFERROR(__xludf.DUMMYFUNCTION("unique(C:C)"),"")</f>
        <v/>
      </c>
      <c r="H133" t="str">
        <f t="shared" ref="H133:H270" si="1">IFERROR(__xludf.DUMMYFUNCTION("if(isblank($G133),, if(iserror(index(filter($C$1:$D$10,$C$1:$C$10=$G133),1,2)),,index(filter($C$1:$D$10,$C$1:$C$10=$G133),1,2)))"),"")</f>
        <v/>
      </c>
      <c r="I133" t="str">
        <f t="shared" ref="I133:I270" si="2">IFERROR(__xludf.DUMMYFUNCTION("if(isblank($G133),, if(iserror(index(filter($C$1:$D$10,$C$1:$C$10=$G133),2,2)),,index(filter($C$1:$D$10,$C$1:$C$10=$G133),2,2)))"),"")</f>
        <v/>
      </c>
      <c r="J133" t="str">
        <f t="shared" ref="J133:J270" si="3">IFERROR(__xludf.DUMMYFUNCTION("if(isblank($G133),, if(iserror(index(filter($C$11:$D$20,$C$11:$C$20=$G133),1,2)),,index(filter($C$11:$D$20,$C$11:$C$20=$G133),1,2)))"),"")</f>
        <v/>
      </c>
      <c r="K133" t="str">
        <f t="shared" ref="K133:K270" si="4">IFERROR(__xludf.DUMMYFUNCTION("if(isblank($G133),, if(iserror(index(filter($C$11:$D$20,$C$11:$C$20=$G133),2,2)),,index(filter($C$11:$D$20,$C$11:$C$20=$G133),2,2)))"),"")</f>
        <v/>
      </c>
      <c r="L133" t="str">
        <f t="shared" ref="L133:L270" si="5">IFERROR(__xludf.DUMMYFUNCTION("if(isblank($G133),, if(iserror(index(filter($C$21:$D$30,$C$21:$C$30=$G133),1,2)),,index(filter($C$21:$D$30,$C$21:$C$30=$G133),1,2)))"),"")</f>
        <v/>
      </c>
      <c r="M133" t="str">
        <f t="shared" ref="M133:M270" si="6">IFERROR(__xludf.DUMMYFUNCTION("if(isblank($G133),, if(iserror(index(filter($C$21:$D$30,$C$21:$C$30=$G133),2,2)),,index(filter($C$21:$D$30,$C$21:$C$30=$G133),2,2)))"),"")</f>
        <v/>
      </c>
      <c r="N133" t="str">
        <f t="shared" ref="N133:N270" si="7">IFERROR(__xludf.DUMMYFUNCTION("if(isblank($G133),, if(iserror(index(filter($C$31:$D$40,$C$31:$C$40=$G133),1,2)),,index(filter($C$31:$D$40,$C$31:$C$40=$G133),1,2)))"),"")</f>
        <v/>
      </c>
      <c r="O133" t="str">
        <f t="shared" ref="O133:O270" si="8">IFERROR(__xludf.DUMMYFUNCTION("if(isblank($G133),, if(iserror(index(filter($C$31:$D$40,$C$31:$C$40=$G133),2,2)),,index(filter($C$31:$D$40,$C$31:$C$40=$G133),2,2)))"),"")</f>
        <v/>
      </c>
      <c r="P133" t="str">
        <f t="shared" ref="P133:P270" si="9">IFERROR(__xludf.DUMMYFUNCTION("if(isblank($G133),, if(iserror(index(filter($C$41:$D$50,$C$41:$C$50=$G133),1,2)),,index(filter($C$41:$D$50,$C$41:$C$50=$G133),1,2)))"),"")</f>
        <v/>
      </c>
      <c r="Q133" t="str">
        <f t="shared" ref="Q133:Q270" si="10">IFERROR(__xludf.DUMMYFUNCTION("if(isblank($G133),, if(iserror(index(filter($C$41:$D$50,$C$41:$C$50=$G133),2,2)),,index(filter($C$41:$D$50,$C$41:$C$50=$G133),2,2)))"),"")</f>
        <v/>
      </c>
      <c r="R133" t="str">
        <f t="shared" ref="R133:R270" si="11">IFERROR(__xludf.DUMMYFUNCTION("if(isblank($G133),, if(iserror(index(filter($C$51:$D$60,$C$51:$C$60=$G133),1,2)),,index(filter($C$51:$D$60,$C$51:$C$60=$G133),1,2)))"),"")</f>
        <v/>
      </c>
      <c r="S133" t="str">
        <f t="shared" ref="S133:S270" si="12">IFERROR(__xludf.DUMMYFUNCTION("if(isblank($G133),, if(iserror(index(filter($C$51:$D$60,$C$51:$C$60=$G133),2,2)),,index(filter($C$51:$D$60,$C$51:$C$60=$G133),2,2)))"),"")</f>
        <v/>
      </c>
      <c r="T133" t="str">
        <f t="shared" ref="T133:T270" si="13">IFERROR(__xludf.DUMMYFUNCTION("if(isblank($G133),, if(iserror(index(filter($C$61:$D$70,$C$61:$C$70=$G133),1,2)),,index(filter($C$61:$D$70,$C$61:$C$70=$G133),1,2)))"),"")</f>
        <v/>
      </c>
      <c r="U133" t="str">
        <f t="shared" ref="U133:U270" si="14">IFERROR(__xludf.DUMMYFUNCTION("if(isblank($G133),, if(iserror(index(filter($C$61:$D$70,$C$61:$C$70=$G133),2,2)),,index(filter($C$61:$D$70,$C$61:$C$70=$G133),2,2)))"),"")</f>
        <v/>
      </c>
      <c r="V133" t="str">
        <f t="shared" ref="V133:V270" si="15">IFERROR(__xludf.DUMMYFUNCTION("if(isblank($G133),, if(iserror(index(filter($C$71:$D$80,$C$71:$C$80=$G133),1,2)),,index(filter($C$71:$D$80,$C$71:$C$80=$G133),1,2)))"),"")</f>
        <v/>
      </c>
      <c r="W133" t="str">
        <f t="shared" ref="W133:W270" si="16">IFERROR(__xludf.DUMMYFUNCTION("if(isblank($G133),, if(iserror(index(filter($C$71:$D$80,$C$71:$C$80=$G133),2,2)),,index(filter($C$71:$D$80,$C$71:$C$80=$G133),2,2)))"),"")</f>
        <v/>
      </c>
      <c r="X133" t="str">
        <f t="shared" ref="X133:X270" si="17">IFERROR(__xludf.DUMMYFUNCTION("if(isblank($G133),, if(iserror(index(filter($C$81:$D$90,$C$81:$C$90=$G133),1,2)),,index(filter($C$81:$D$90,$C$81:$C$90=$G133),1,2)))"),"")</f>
        <v/>
      </c>
      <c r="Y133" t="str">
        <f t="shared" ref="Y133:Y270" si="18">IFERROR(__xludf.DUMMYFUNCTION("if(isblank($G133),, if(iserror(index(filter($C$81:$D$90,$C$81:$C$90=$G133),2,2)),,index(filter($C$81:$D$90,$C$81:$C$90=$G133),2,2)))"),"")</f>
        <v/>
      </c>
      <c r="Z133" t="str">
        <f t="shared" ref="Z133:Z270" si="19">IFERROR(__xludf.DUMMYFUNCTION("if(isblank($G133),, if(iserror(index(filter($C$91:$D$100,$C$91:$C$100=$G133),1,2)),,index(filter($C$91:$D$100,$C$91:$C$100=$G133),1,2)))"),"")</f>
        <v/>
      </c>
      <c r="AA133" t="str">
        <f t="shared" ref="AA133:AA270" si="20">IFERROR(__xludf.DUMMYFUNCTION("if(isblank($G133),, if(iserror(index(filter($C$91:$D$100,$C$91:$C$100=$G133),2,2)),,index(filter($C$91:$D$100,$C$91:$C$100=$G133),2,2)))"),"")</f>
        <v/>
      </c>
      <c r="AB133" t="str">
        <f t="shared" ref="AB133:AB270" si="21">IFERROR(__xludf.DUMMYFUNCTION("if(isblank($G133),, if(iserror(index(filter($C$101:$D$110,$C$101:$C$110=$G133),1,2)),,index(filter($C$101:$D$110,$C$101:$C$110=$G133),1,2)))"),"")</f>
        <v/>
      </c>
      <c r="AC133" t="str">
        <f t="shared" ref="AC133:AC270" si="22">IFERROR(__xludf.DUMMYFUNCTION("if(isblank($G133),, if(iserror(index(filter($C$101:$D$110,$C$101:$C$110=$G133),2,2)),,index(filter($C$101:$D$110,$C$101:$C$110=$G133),2,2)))"),"")</f>
        <v/>
      </c>
      <c r="AD133" t="str">
        <f t="shared" ref="AD133:AD270" si="23">IFERROR(__xludf.DUMMYFUNCTION("if(isblank($G133),, if(iserror(index(filter($C$111:$D$120,$C$111:$C$120=$G133),1,2)),,index(filter($C$111:$D$120,$C$111:$C$120=$G133),1,2)))"),"")</f>
        <v/>
      </c>
      <c r="AE133" t="str">
        <f t="shared" ref="AE133:AE270" si="24">IFERROR(__xludf.DUMMYFUNCTION("if(isblank($G133),, if(iserror(index(filter($C$111:$D$120,$C$111:$C$120=$G133),2,2)),,index(filter($C$111:$D$120,$C$111:$C$120=$G133),2,2)))"),"")</f>
        <v/>
      </c>
      <c r="AF133" t="str">
        <f t="shared" ref="AF133:AF270" si="25">IFERROR(__xludf.DUMMYFUNCTION("if(isblank($G133),, if(iserror(index(filter($C$121:$D$130,$C$121:$C$130=$G133),1,2)),,index(filter($C$121:$D$130,$C$121:$C$130=$G133),1,2)))"),"")</f>
        <v/>
      </c>
      <c r="AG133" t="str">
        <f t="shared" ref="AG133:AG270" si="26">IFERROR(__xludf.DUMMYFUNCTION("if(isblank($G133),, if(iserror(index(filter($C$121:$D$130,$C$121:$C$130=$G133),2,2)),,index(filter($C$121:$D$130,$C$121:$C$130=$G133),2,2)))"),"")</f>
        <v/>
      </c>
      <c r="AH133" s="65" t="str">
        <f t="array" ref="AH133">if(sum(H133:AG133)=0,,sum(sort(TRANSPOSE(H133:AG133),1,false)))</f>
        <v/>
      </c>
    </row>
    <row r="134" hidden="1">
      <c r="F134" s="4">
        <v>2.0</v>
      </c>
      <c r="H134" t="str">
        <f t="shared" si="1"/>
        <v/>
      </c>
      <c r="I134" t="str">
        <f t="shared" si="2"/>
        <v/>
      </c>
      <c r="J134" t="str">
        <f t="shared" si="3"/>
        <v/>
      </c>
      <c r="K134" t="str">
        <f t="shared" si="4"/>
        <v/>
      </c>
      <c r="L134" t="str">
        <f t="shared" si="5"/>
        <v/>
      </c>
      <c r="M134" t="str">
        <f t="shared" si="6"/>
        <v/>
      </c>
      <c r="N134" t="str">
        <f t="shared" si="7"/>
        <v/>
      </c>
      <c r="O134" t="str">
        <f t="shared" si="8"/>
        <v/>
      </c>
      <c r="P134" t="str">
        <f t="shared" si="9"/>
        <v/>
      </c>
      <c r="Q134" t="str">
        <f t="shared" si="10"/>
        <v/>
      </c>
      <c r="R134" t="str">
        <f t="shared" si="11"/>
        <v/>
      </c>
      <c r="S134" t="str">
        <f t="shared" si="12"/>
        <v/>
      </c>
      <c r="T134" t="str">
        <f t="shared" si="13"/>
        <v/>
      </c>
      <c r="U134" t="str">
        <f t="shared" si="14"/>
        <v/>
      </c>
      <c r="V134" t="str">
        <f t="shared" si="15"/>
        <v/>
      </c>
      <c r="W134" t="str">
        <f t="shared" si="16"/>
        <v/>
      </c>
      <c r="X134" t="str">
        <f t="shared" si="17"/>
        <v/>
      </c>
      <c r="Y134" t="str">
        <f t="shared" si="18"/>
        <v/>
      </c>
      <c r="Z134" t="str">
        <f t="shared" si="19"/>
        <v/>
      </c>
      <c r="AA134" t="str">
        <f t="shared" si="20"/>
        <v/>
      </c>
      <c r="AB134" t="str">
        <f t="shared" si="21"/>
        <v/>
      </c>
      <c r="AC134" t="str">
        <f t="shared" si="22"/>
        <v/>
      </c>
      <c r="AD134" t="str">
        <f t="shared" si="23"/>
        <v/>
      </c>
      <c r="AE134" t="str">
        <f t="shared" si="24"/>
        <v/>
      </c>
      <c r="AF134" t="str">
        <f t="shared" si="25"/>
        <v/>
      </c>
      <c r="AG134" t="str">
        <f t="shared" si="26"/>
        <v/>
      </c>
      <c r="AH134" s="65" t="str">
        <f t="array" ref="AH134">if(sum(H134:AG134)=0,,sum(sort(TRANSPOSE(H134:AG134),1,false)))</f>
        <v/>
      </c>
    </row>
    <row r="135" hidden="1">
      <c r="F135" s="4">
        <v>3.0</v>
      </c>
      <c r="G135" s="141"/>
      <c r="H135" t="str">
        <f t="shared" si="1"/>
        <v/>
      </c>
      <c r="I135" t="str">
        <f t="shared" si="2"/>
        <v/>
      </c>
      <c r="J135" t="str">
        <f t="shared" si="3"/>
        <v/>
      </c>
      <c r="K135" t="str">
        <f t="shared" si="4"/>
        <v/>
      </c>
      <c r="L135" t="str">
        <f t="shared" si="5"/>
        <v/>
      </c>
      <c r="M135" t="str">
        <f t="shared" si="6"/>
        <v/>
      </c>
      <c r="N135" t="str">
        <f t="shared" si="7"/>
        <v/>
      </c>
      <c r="O135" t="str">
        <f t="shared" si="8"/>
        <v/>
      </c>
      <c r="P135" t="str">
        <f t="shared" si="9"/>
        <v/>
      </c>
      <c r="Q135" t="str">
        <f t="shared" si="10"/>
        <v/>
      </c>
      <c r="R135" t="str">
        <f t="shared" si="11"/>
        <v/>
      </c>
      <c r="S135" t="str">
        <f t="shared" si="12"/>
        <v/>
      </c>
      <c r="T135" t="str">
        <f t="shared" si="13"/>
        <v/>
      </c>
      <c r="U135" t="str">
        <f t="shared" si="14"/>
        <v/>
      </c>
      <c r="V135" t="str">
        <f t="shared" si="15"/>
        <v/>
      </c>
      <c r="W135" t="str">
        <f t="shared" si="16"/>
        <v/>
      </c>
      <c r="X135" t="str">
        <f t="shared" si="17"/>
        <v/>
      </c>
      <c r="Y135" t="str">
        <f t="shared" si="18"/>
        <v/>
      </c>
      <c r="Z135" t="str">
        <f t="shared" si="19"/>
        <v/>
      </c>
      <c r="AA135" t="str">
        <f t="shared" si="20"/>
        <v/>
      </c>
      <c r="AB135" t="str">
        <f t="shared" si="21"/>
        <v/>
      </c>
      <c r="AC135" t="str">
        <f t="shared" si="22"/>
        <v/>
      </c>
      <c r="AD135" t="str">
        <f t="shared" si="23"/>
        <v/>
      </c>
      <c r="AE135" t="str">
        <f t="shared" si="24"/>
        <v/>
      </c>
      <c r="AF135" t="str">
        <f t="shared" si="25"/>
        <v/>
      </c>
      <c r="AG135" t="str">
        <f t="shared" si="26"/>
        <v/>
      </c>
      <c r="AH135" s="65" t="str">
        <f t="array" ref="AH135">if(sum(H135:AG135)=0,,sum(sort(TRANSPOSE(H135:AG135),1,false)))</f>
        <v/>
      </c>
    </row>
    <row r="136" hidden="1">
      <c r="F136" s="4">
        <v>4.0</v>
      </c>
      <c r="G136" s="141"/>
      <c r="H136" t="str">
        <f t="shared" si="1"/>
        <v/>
      </c>
      <c r="I136" t="str">
        <f t="shared" si="2"/>
        <v/>
      </c>
      <c r="J136" t="str">
        <f t="shared" si="3"/>
        <v/>
      </c>
      <c r="K136" t="str">
        <f t="shared" si="4"/>
        <v/>
      </c>
      <c r="L136" t="str">
        <f t="shared" si="5"/>
        <v/>
      </c>
      <c r="M136" t="str">
        <f t="shared" si="6"/>
        <v/>
      </c>
      <c r="N136" t="str">
        <f t="shared" si="7"/>
        <v/>
      </c>
      <c r="O136" t="str">
        <f t="shared" si="8"/>
        <v/>
      </c>
      <c r="P136" t="str">
        <f t="shared" si="9"/>
        <v/>
      </c>
      <c r="Q136" t="str">
        <f t="shared" si="10"/>
        <v/>
      </c>
      <c r="R136" t="str">
        <f t="shared" si="11"/>
        <v/>
      </c>
      <c r="S136" t="str">
        <f t="shared" si="12"/>
        <v/>
      </c>
      <c r="T136" t="str">
        <f t="shared" si="13"/>
        <v/>
      </c>
      <c r="U136" t="str">
        <f t="shared" si="14"/>
        <v/>
      </c>
      <c r="V136" t="str">
        <f t="shared" si="15"/>
        <v/>
      </c>
      <c r="W136" t="str">
        <f t="shared" si="16"/>
        <v/>
      </c>
      <c r="X136" t="str">
        <f t="shared" si="17"/>
        <v/>
      </c>
      <c r="Y136" t="str">
        <f t="shared" si="18"/>
        <v/>
      </c>
      <c r="Z136" t="str">
        <f t="shared" si="19"/>
        <v/>
      </c>
      <c r="AA136" t="str">
        <f t="shared" si="20"/>
        <v/>
      </c>
      <c r="AB136" t="str">
        <f t="shared" si="21"/>
        <v/>
      </c>
      <c r="AC136" t="str">
        <f t="shared" si="22"/>
        <v/>
      </c>
      <c r="AD136" t="str">
        <f t="shared" si="23"/>
        <v/>
      </c>
      <c r="AE136" t="str">
        <f t="shared" si="24"/>
        <v/>
      </c>
      <c r="AF136" t="str">
        <f t="shared" si="25"/>
        <v/>
      </c>
      <c r="AG136" t="str">
        <f t="shared" si="26"/>
        <v/>
      </c>
      <c r="AH136" s="65" t="str">
        <f t="array" ref="AH136">if(sum(H136:AG136)=0,,sum(sort(TRANSPOSE(H136:AG136),1,false)))</f>
        <v/>
      </c>
    </row>
    <row r="137" hidden="1">
      <c r="F137" s="4">
        <v>5.0</v>
      </c>
      <c r="G137" s="141"/>
      <c r="H137" t="str">
        <f t="shared" si="1"/>
        <v/>
      </c>
      <c r="I137" t="str">
        <f t="shared" si="2"/>
        <v/>
      </c>
      <c r="J137" t="str">
        <f t="shared" si="3"/>
        <v/>
      </c>
      <c r="K137" t="str">
        <f t="shared" si="4"/>
        <v/>
      </c>
      <c r="L137" t="str">
        <f t="shared" si="5"/>
        <v/>
      </c>
      <c r="M137" t="str">
        <f t="shared" si="6"/>
        <v/>
      </c>
      <c r="N137" t="str">
        <f t="shared" si="7"/>
        <v/>
      </c>
      <c r="O137" t="str">
        <f t="shared" si="8"/>
        <v/>
      </c>
      <c r="P137" t="str">
        <f t="shared" si="9"/>
        <v/>
      </c>
      <c r="Q137" t="str">
        <f t="shared" si="10"/>
        <v/>
      </c>
      <c r="R137" t="str">
        <f t="shared" si="11"/>
        <v/>
      </c>
      <c r="S137" t="str">
        <f t="shared" si="12"/>
        <v/>
      </c>
      <c r="T137" t="str">
        <f t="shared" si="13"/>
        <v/>
      </c>
      <c r="U137" t="str">
        <f t="shared" si="14"/>
        <v/>
      </c>
      <c r="V137" t="str">
        <f t="shared" si="15"/>
        <v/>
      </c>
      <c r="W137" t="str">
        <f t="shared" si="16"/>
        <v/>
      </c>
      <c r="X137" t="str">
        <f t="shared" si="17"/>
        <v/>
      </c>
      <c r="Y137" t="str">
        <f t="shared" si="18"/>
        <v/>
      </c>
      <c r="Z137" t="str">
        <f t="shared" si="19"/>
        <v/>
      </c>
      <c r="AA137" t="str">
        <f t="shared" si="20"/>
        <v/>
      </c>
      <c r="AB137" t="str">
        <f t="shared" si="21"/>
        <v/>
      </c>
      <c r="AC137" t="str">
        <f t="shared" si="22"/>
        <v/>
      </c>
      <c r="AD137" t="str">
        <f t="shared" si="23"/>
        <v/>
      </c>
      <c r="AE137" t="str">
        <f t="shared" si="24"/>
        <v/>
      </c>
      <c r="AF137" t="str">
        <f t="shared" si="25"/>
        <v/>
      </c>
      <c r="AG137" t="str">
        <f t="shared" si="26"/>
        <v/>
      </c>
      <c r="AH137" s="65" t="str">
        <f t="array" ref="AH137">if(sum(H137:AG137)=0,,sum(sort(TRANSPOSE(H137:AG137),1,false)))</f>
        <v/>
      </c>
    </row>
    <row r="138" hidden="1">
      <c r="F138" s="4">
        <v>6.0</v>
      </c>
      <c r="G138" s="141"/>
      <c r="H138" t="str">
        <f t="shared" si="1"/>
        <v/>
      </c>
      <c r="I138" t="str">
        <f t="shared" si="2"/>
        <v/>
      </c>
      <c r="J138" t="str">
        <f t="shared" si="3"/>
        <v/>
      </c>
      <c r="K138" t="str">
        <f t="shared" si="4"/>
        <v/>
      </c>
      <c r="L138" t="str">
        <f t="shared" si="5"/>
        <v/>
      </c>
      <c r="M138" t="str">
        <f t="shared" si="6"/>
        <v/>
      </c>
      <c r="N138" t="str">
        <f t="shared" si="7"/>
        <v/>
      </c>
      <c r="O138" t="str">
        <f t="shared" si="8"/>
        <v/>
      </c>
      <c r="P138" t="str">
        <f t="shared" si="9"/>
        <v/>
      </c>
      <c r="Q138" t="str">
        <f t="shared" si="10"/>
        <v/>
      </c>
      <c r="R138" t="str">
        <f t="shared" si="11"/>
        <v/>
      </c>
      <c r="S138" t="str">
        <f t="shared" si="12"/>
        <v/>
      </c>
      <c r="T138" t="str">
        <f t="shared" si="13"/>
        <v/>
      </c>
      <c r="U138" t="str">
        <f t="shared" si="14"/>
        <v/>
      </c>
      <c r="V138" t="str">
        <f t="shared" si="15"/>
        <v/>
      </c>
      <c r="W138" t="str">
        <f t="shared" si="16"/>
        <v/>
      </c>
      <c r="X138" t="str">
        <f t="shared" si="17"/>
        <v/>
      </c>
      <c r="Y138" t="str">
        <f t="shared" si="18"/>
        <v/>
      </c>
      <c r="Z138" t="str">
        <f t="shared" si="19"/>
        <v/>
      </c>
      <c r="AA138" t="str">
        <f t="shared" si="20"/>
        <v/>
      </c>
      <c r="AB138" t="str">
        <f t="shared" si="21"/>
        <v/>
      </c>
      <c r="AC138" t="str">
        <f t="shared" si="22"/>
        <v/>
      </c>
      <c r="AD138" t="str">
        <f t="shared" si="23"/>
        <v/>
      </c>
      <c r="AE138" t="str">
        <f t="shared" si="24"/>
        <v/>
      </c>
      <c r="AF138" t="str">
        <f t="shared" si="25"/>
        <v/>
      </c>
      <c r="AG138" t="str">
        <f t="shared" si="26"/>
        <v/>
      </c>
      <c r="AH138" s="65" t="str">
        <f t="array" ref="AH138">if(sum(H138:AG138)=0,,sum(sort(TRANSPOSE(H138:AG138),1,false)))</f>
        <v/>
      </c>
    </row>
    <row r="139" hidden="1">
      <c r="F139" s="4">
        <v>7.0</v>
      </c>
      <c r="G139" s="141"/>
      <c r="H139" t="str">
        <f t="shared" si="1"/>
        <v/>
      </c>
      <c r="I139" t="str">
        <f t="shared" si="2"/>
        <v/>
      </c>
      <c r="J139" t="str">
        <f t="shared" si="3"/>
        <v/>
      </c>
      <c r="K139" t="str">
        <f t="shared" si="4"/>
        <v/>
      </c>
      <c r="L139" t="str">
        <f t="shared" si="5"/>
        <v/>
      </c>
      <c r="M139" t="str">
        <f t="shared" si="6"/>
        <v/>
      </c>
      <c r="N139" t="str">
        <f t="shared" si="7"/>
        <v/>
      </c>
      <c r="O139" t="str">
        <f t="shared" si="8"/>
        <v/>
      </c>
      <c r="P139" t="str">
        <f t="shared" si="9"/>
        <v/>
      </c>
      <c r="Q139" t="str">
        <f t="shared" si="10"/>
        <v/>
      </c>
      <c r="R139" t="str">
        <f t="shared" si="11"/>
        <v/>
      </c>
      <c r="S139" t="str">
        <f t="shared" si="12"/>
        <v/>
      </c>
      <c r="T139" t="str">
        <f t="shared" si="13"/>
        <v/>
      </c>
      <c r="U139" t="str">
        <f t="shared" si="14"/>
        <v/>
      </c>
      <c r="V139" t="str">
        <f t="shared" si="15"/>
        <v/>
      </c>
      <c r="W139" t="str">
        <f t="shared" si="16"/>
        <v/>
      </c>
      <c r="X139" t="str">
        <f t="shared" si="17"/>
        <v/>
      </c>
      <c r="Y139" t="str">
        <f t="shared" si="18"/>
        <v/>
      </c>
      <c r="Z139" t="str">
        <f t="shared" si="19"/>
        <v/>
      </c>
      <c r="AA139" t="str">
        <f t="shared" si="20"/>
        <v/>
      </c>
      <c r="AB139" t="str">
        <f t="shared" si="21"/>
        <v/>
      </c>
      <c r="AC139" t="str">
        <f t="shared" si="22"/>
        <v/>
      </c>
      <c r="AD139" t="str">
        <f t="shared" si="23"/>
        <v/>
      </c>
      <c r="AE139" t="str">
        <f t="shared" si="24"/>
        <v/>
      </c>
      <c r="AF139" t="str">
        <f t="shared" si="25"/>
        <v/>
      </c>
      <c r="AG139" t="str">
        <f t="shared" si="26"/>
        <v/>
      </c>
      <c r="AH139" s="65" t="str">
        <f t="array" ref="AH139">if(sum(H139:AG139)=0,,sum(sort(TRANSPOSE(H139:AG139),1,false)))</f>
        <v/>
      </c>
    </row>
    <row r="140" hidden="1">
      <c r="F140" s="4">
        <v>8.0</v>
      </c>
      <c r="G140" s="141"/>
      <c r="H140" t="str">
        <f t="shared" si="1"/>
        <v/>
      </c>
      <c r="I140" t="str">
        <f t="shared" si="2"/>
        <v/>
      </c>
      <c r="J140" t="str">
        <f t="shared" si="3"/>
        <v/>
      </c>
      <c r="K140" t="str">
        <f t="shared" si="4"/>
        <v/>
      </c>
      <c r="L140" t="str">
        <f t="shared" si="5"/>
        <v/>
      </c>
      <c r="M140" t="str">
        <f t="shared" si="6"/>
        <v/>
      </c>
      <c r="N140" t="str">
        <f t="shared" si="7"/>
        <v/>
      </c>
      <c r="O140" t="str">
        <f t="shared" si="8"/>
        <v/>
      </c>
      <c r="P140" t="str">
        <f t="shared" si="9"/>
        <v/>
      </c>
      <c r="Q140" t="str">
        <f t="shared" si="10"/>
        <v/>
      </c>
      <c r="R140" t="str">
        <f t="shared" si="11"/>
        <v/>
      </c>
      <c r="S140" t="str">
        <f t="shared" si="12"/>
        <v/>
      </c>
      <c r="T140" t="str">
        <f t="shared" si="13"/>
        <v/>
      </c>
      <c r="U140" t="str">
        <f t="shared" si="14"/>
        <v/>
      </c>
      <c r="V140" t="str">
        <f t="shared" si="15"/>
        <v/>
      </c>
      <c r="W140" t="str">
        <f t="shared" si="16"/>
        <v/>
      </c>
      <c r="X140" t="str">
        <f t="shared" si="17"/>
        <v/>
      </c>
      <c r="Y140" t="str">
        <f t="shared" si="18"/>
        <v/>
      </c>
      <c r="Z140" t="str">
        <f t="shared" si="19"/>
        <v/>
      </c>
      <c r="AA140" t="str">
        <f t="shared" si="20"/>
        <v/>
      </c>
      <c r="AB140" t="str">
        <f t="shared" si="21"/>
        <v/>
      </c>
      <c r="AC140" t="str">
        <f t="shared" si="22"/>
        <v/>
      </c>
      <c r="AD140" t="str">
        <f t="shared" si="23"/>
        <v/>
      </c>
      <c r="AE140" t="str">
        <f t="shared" si="24"/>
        <v/>
      </c>
      <c r="AF140" t="str">
        <f t="shared" si="25"/>
        <v/>
      </c>
      <c r="AG140" t="str">
        <f t="shared" si="26"/>
        <v/>
      </c>
      <c r="AH140" s="65" t="str">
        <f t="array" ref="AH140">if(sum(H140:AG140)=0,,sum(sort(TRANSPOSE(H140:AG140),1,false)))</f>
        <v/>
      </c>
    </row>
    <row r="141" hidden="1">
      <c r="F141" s="4">
        <v>9.0</v>
      </c>
      <c r="G141" s="141"/>
      <c r="H141" t="str">
        <f t="shared" si="1"/>
        <v/>
      </c>
      <c r="I141" t="str">
        <f t="shared" si="2"/>
        <v/>
      </c>
      <c r="J141" t="str">
        <f t="shared" si="3"/>
        <v/>
      </c>
      <c r="K141" t="str">
        <f t="shared" si="4"/>
        <v/>
      </c>
      <c r="L141" t="str">
        <f t="shared" si="5"/>
        <v/>
      </c>
      <c r="M141" t="str">
        <f t="shared" si="6"/>
        <v/>
      </c>
      <c r="N141" t="str">
        <f t="shared" si="7"/>
        <v/>
      </c>
      <c r="O141" t="str">
        <f t="shared" si="8"/>
        <v/>
      </c>
      <c r="P141" t="str">
        <f t="shared" si="9"/>
        <v/>
      </c>
      <c r="Q141" t="str">
        <f t="shared" si="10"/>
        <v/>
      </c>
      <c r="R141" t="str">
        <f t="shared" si="11"/>
        <v/>
      </c>
      <c r="S141" t="str">
        <f t="shared" si="12"/>
        <v/>
      </c>
      <c r="T141" t="str">
        <f t="shared" si="13"/>
        <v/>
      </c>
      <c r="U141" t="str">
        <f t="shared" si="14"/>
        <v/>
      </c>
      <c r="V141" t="str">
        <f t="shared" si="15"/>
        <v/>
      </c>
      <c r="W141" t="str">
        <f t="shared" si="16"/>
        <v/>
      </c>
      <c r="X141" t="str">
        <f t="shared" si="17"/>
        <v/>
      </c>
      <c r="Y141" t="str">
        <f t="shared" si="18"/>
        <v/>
      </c>
      <c r="Z141" t="str">
        <f t="shared" si="19"/>
        <v/>
      </c>
      <c r="AA141" t="str">
        <f t="shared" si="20"/>
        <v/>
      </c>
      <c r="AB141" t="str">
        <f t="shared" si="21"/>
        <v/>
      </c>
      <c r="AC141" t="str">
        <f t="shared" si="22"/>
        <v/>
      </c>
      <c r="AD141" t="str">
        <f t="shared" si="23"/>
        <v/>
      </c>
      <c r="AE141" t="str">
        <f t="shared" si="24"/>
        <v/>
      </c>
      <c r="AF141" t="str">
        <f t="shared" si="25"/>
        <v/>
      </c>
      <c r="AG141" t="str">
        <f t="shared" si="26"/>
        <v/>
      </c>
      <c r="AH141" s="65" t="str">
        <f t="array" ref="AH141">if(sum(H141:AG141)=0,,sum(sort(TRANSPOSE(H141:AG141),1,false)))</f>
        <v/>
      </c>
    </row>
    <row r="142" hidden="1">
      <c r="F142" s="4">
        <v>10.0</v>
      </c>
      <c r="G142" s="141"/>
      <c r="H142" t="str">
        <f t="shared" si="1"/>
        <v/>
      </c>
      <c r="I142" t="str">
        <f t="shared" si="2"/>
        <v/>
      </c>
      <c r="J142" t="str">
        <f t="shared" si="3"/>
        <v/>
      </c>
      <c r="K142" t="str">
        <f t="shared" si="4"/>
        <v/>
      </c>
      <c r="L142" t="str">
        <f t="shared" si="5"/>
        <v/>
      </c>
      <c r="M142" t="str">
        <f t="shared" si="6"/>
        <v/>
      </c>
      <c r="N142" t="str">
        <f t="shared" si="7"/>
        <v/>
      </c>
      <c r="O142" t="str">
        <f t="shared" si="8"/>
        <v/>
      </c>
      <c r="P142" t="str">
        <f t="shared" si="9"/>
        <v/>
      </c>
      <c r="Q142" t="str">
        <f t="shared" si="10"/>
        <v/>
      </c>
      <c r="R142" t="str">
        <f t="shared" si="11"/>
        <v/>
      </c>
      <c r="S142" t="str">
        <f t="shared" si="12"/>
        <v/>
      </c>
      <c r="T142" t="str">
        <f t="shared" si="13"/>
        <v/>
      </c>
      <c r="U142" t="str">
        <f t="shared" si="14"/>
        <v/>
      </c>
      <c r="V142" t="str">
        <f t="shared" si="15"/>
        <v/>
      </c>
      <c r="W142" t="str">
        <f t="shared" si="16"/>
        <v/>
      </c>
      <c r="X142" t="str">
        <f t="shared" si="17"/>
        <v/>
      </c>
      <c r="Y142" t="str">
        <f t="shared" si="18"/>
        <v/>
      </c>
      <c r="Z142" t="str">
        <f t="shared" si="19"/>
        <v/>
      </c>
      <c r="AA142" t="str">
        <f t="shared" si="20"/>
        <v/>
      </c>
      <c r="AB142" t="str">
        <f t="shared" si="21"/>
        <v/>
      </c>
      <c r="AC142" t="str">
        <f t="shared" si="22"/>
        <v/>
      </c>
      <c r="AD142" t="str">
        <f t="shared" si="23"/>
        <v/>
      </c>
      <c r="AE142" t="str">
        <f t="shared" si="24"/>
        <v/>
      </c>
      <c r="AF142" t="str">
        <f t="shared" si="25"/>
        <v/>
      </c>
      <c r="AG142" t="str">
        <f t="shared" si="26"/>
        <v/>
      </c>
      <c r="AH142" s="65" t="str">
        <f t="array" ref="AH142">if(sum(H142:AG142)=0,,sum(sort(TRANSPOSE(H142:AG142),1,false)))</f>
        <v/>
      </c>
    </row>
    <row r="143" hidden="1">
      <c r="F143" s="4">
        <v>11.0</v>
      </c>
      <c r="G143" s="141"/>
      <c r="H143" t="str">
        <f t="shared" si="1"/>
        <v/>
      </c>
      <c r="I143" t="str">
        <f t="shared" si="2"/>
        <v/>
      </c>
      <c r="J143" t="str">
        <f t="shared" si="3"/>
        <v/>
      </c>
      <c r="K143" t="str">
        <f t="shared" si="4"/>
        <v/>
      </c>
      <c r="L143" t="str">
        <f t="shared" si="5"/>
        <v/>
      </c>
      <c r="M143" t="str">
        <f t="shared" si="6"/>
        <v/>
      </c>
      <c r="N143" t="str">
        <f t="shared" si="7"/>
        <v/>
      </c>
      <c r="O143" t="str">
        <f t="shared" si="8"/>
        <v/>
      </c>
      <c r="P143" t="str">
        <f t="shared" si="9"/>
        <v/>
      </c>
      <c r="Q143" t="str">
        <f t="shared" si="10"/>
        <v/>
      </c>
      <c r="R143" t="str">
        <f t="shared" si="11"/>
        <v/>
      </c>
      <c r="S143" t="str">
        <f t="shared" si="12"/>
        <v/>
      </c>
      <c r="T143" t="str">
        <f t="shared" si="13"/>
        <v/>
      </c>
      <c r="U143" t="str">
        <f t="shared" si="14"/>
        <v/>
      </c>
      <c r="V143" t="str">
        <f t="shared" si="15"/>
        <v/>
      </c>
      <c r="W143" t="str">
        <f t="shared" si="16"/>
        <v/>
      </c>
      <c r="X143" t="str">
        <f t="shared" si="17"/>
        <v/>
      </c>
      <c r="Y143" t="str">
        <f t="shared" si="18"/>
        <v/>
      </c>
      <c r="Z143" t="str">
        <f t="shared" si="19"/>
        <v/>
      </c>
      <c r="AA143" t="str">
        <f t="shared" si="20"/>
        <v/>
      </c>
      <c r="AB143" t="str">
        <f t="shared" si="21"/>
        <v/>
      </c>
      <c r="AC143" t="str">
        <f t="shared" si="22"/>
        <v/>
      </c>
      <c r="AD143" t="str">
        <f t="shared" si="23"/>
        <v/>
      </c>
      <c r="AE143" t="str">
        <f t="shared" si="24"/>
        <v/>
      </c>
      <c r="AF143" t="str">
        <f t="shared" si="25"/>
        <v/>
      </c>
      <c r="AG143" t="str">
        <f t="shared" si="26"/>
        <v/>
      </c>
      <c r="AH143" s="65" t="str">
        <f t="array" ref="AH143">if(sum(H143:AG143)=0,,sum(sort(TRANSPOSE(H143:AG143),1,false)))</f>
        <v/>
      </c>
    </row>
    <row r="144" hidden="1">
      <c r="F144" s="4">
        <v>12.0</v>
      </c>
      <c r="G144" s="141"/>
      <c r="H144" t="str">
        <f t="shared" si="1"/>
        <v/>
      </c>
      <c r="I144" t="str">
        <f t="shared" si="2"/>
        <v/>
      </c>
      <c r="J144" t="str">
        <f t="shared" si="3"/>
        <v/>
      </c>
      <c r="K144" t="str">
        <f t="shared" si="4"/>
        <v/>
      </c>
      <c r="L144" t="str">
        <f t="shared" si="5"/>
        <v/>
      </c>
      <c r="M144" t="str">
        <f t="shared" si="6"/>
        <v/>
      </c>
      <c r="N144" t="str">
        <f t="shared" si="7"/>
        <v/>
      </c>
      <c r="O144" t="str">
        <f t="shared" si="8"/>
        <v/>
      </c>
      <c r="P144" t="str">
        <f t="shared" si="9"/>
        <v/>
      </c>
      <c r="Q144" t="str">
        <f t="shared" si="10"/>
        <v/>
      </c>
      <c r="R144" t="str">
        <f t="shared" si="11"/>
        <v/>
      </c>
      <c r="S144" t="str">
        <f t="shared" si="12"/>
        <v/>
      </c>
      <c r="T144" t="str">
        <f t="shared" si="13"/>
        <v/>
      </c>
      <c r="U144" t="str">
        <f t="shared" si="14"/>
        <v/>
      </c>
      <c r="V144" t="str">
        <f t="shared" si="15"/>
        <v/>
      </c>
      <c r="W144" t="str">
        <f t="shared" si="16"/>
        <v/>
      </c>
      <c r="X144" t="str">
        <f t="shared" si="17"/>
        <v/>
      </c>
      <c r="Y144" t="str">
        <f t="shared" si="18"/>
        <v/>
      </c>
      <c r="Z144" t="str">
        <f t="shared" si="19"/>
        <v/>
      </c>
      <c r="AA144" t="str">
        <f t="shared" si="20"/>
        <v/>
      </c>
      <c r="AB144" t="str">
        <f t="shared" si="21"/>
        <v/>
      </c>
      <c r="AC144" t="str">
        <f t="shared" si="22"/>
        <v/>
      </c>
      <c r="AD144" t="str">
        <f t="shared" si="23"/>
        <v/>
      </c>
      <c r="AE144" t="str">
        <f t="shared" si="24"/>
        <v/>
      </c>
      <c r="AF144" t="str">
        <f t="shared" si="25"/>
        <v/>
      </c>
      <c r="AG144" t="str">
        <f t="shared" si="26"/>
        <v/>
      </c>
      <c r="AH144" s="65" t="str">
        <f t="array" ref="AH144">if(sum(H144:AG144)=0,,sum(sort(TRANSPOSE(H144:AG144),1,false)))</f>
        <v/>
      </c>
    </row>
    <row r="145" hidden="1">
      <c r="F145" s="4">
        <v>13.0</v>
      </c>
      <c r="G145" s="141"/>
      <c r="H145" t="str">
        <f t="shared" si="1"/>
        <v/>
      </c>
      <c r="I145" t="str">
        <f t="shared" si="2"/>
        <v/>
      </c>
      <c r="J145" t="str">
        <f t="shared" si="3"/>
        <v/>
      </c>
      <c r="K145" t="str">
        <f t="shared" si="4"/>
        <v/>
      </c>
      <c r="L145" t="str">
        <f t="shared" si="5"/>
        <v/>
      </c>
      <c r="M145" t="str">
        <f t="shared" si="6"/>
        <v/>
      </c>
      <c r="N145" t="str">
        <f t="shared" si="7"/>
        <v/>
      </c>
      <c r="O145" t="str">
        <f t="shared" si="8"/>
        <v/>
      </c>
      <c r="P145" t="str">
        <f t="shared" si="9"/>
        <v/>
      </c>
      <c r="Q145" t="str">
        <f t="shared" si="10"/>
        <v/>
      </c>
      <c r="R145" t="str">
        <f t="shared" si="11"/>
        <v/>
      </c>
      <c r="S145" t="str">
        <f t="shared" si="12"/>
        <v/>
      </c>
      <c r="T145" t="str">
        <f t="shared" si="13"/>
        <v/>
      </c>
      <c r="U145" t="str">
        <f t="shared" si="14"/>
        <v/>
      </c>
      <c r="V145" t="str">
        <f t="shared" si="15"/>
        <v/>
      </c>
      <c r="W145" t="str">
        <f t="shared" si="16"/>
        <v/>
      </c>
      <c r="X145" t="str">
        <f t="shared" si="17"/>
        <v/>
      </c>
      <c r="Y145" t="str">
        <f t="shared" si="18"/>
        <v/>
      </c>
      <c r="Z145" t="str">
        <f t="shared" si="19"/>
        <v/>
      </c>
      <c r="AA145" t="str">
        <f t="shared" si="20"/>
        <v/>
      </c>
      <c r="AB145" t="str">
        <f t="shared" si="21"/>
        <v/>
      </c>
      <c r="AC145" t="str">
        <f t="shared" si="22"/>
        <v/>
      </c>
      <c r="AD145" t="str">
        <f t="shared" si="23"/>
        <v/>
      </c>
      <c r="AE145" t="str">
        <f t="shared" si="24"/>
        <v/>
      </c>
      <c r="AF145" t="str">
        <f t="shared" si="25"/>
        <v/>
      </c>
      <c r="AG145" t="str">
        <f t="shared" si="26"/>
        <v/>
      </c>
      <c r="AH145" s="65" t="str">
        <f t="array" ref="AH145">if(sum(H145:AG145)=0,,sum(sort(TRANSPOSE(H145:AG145),1,false)))</f>
        <v/>
      </c>
    </row>
    <row r="146" hidden="1">
      <c r="F146" s="4">
        <v>14.0</v>
      </c>
      <c r="H146" t="str">
        <f t="shared" si="1"/>
        <v/>
      </c>
      <c r="I146" t="str">
        <f t="shared" si="2"/>
        <v/>
      </c>
      <c r="J146" t="str">
        <f t="shared" si="3"/>
        <v/>
      </c>
      <c r="K146" t="str">
        <f t="shared" si="4"/>
        <v/>
      </c>
      <c r="L146" t="str">
        <f t="shared" si="5"/>
        <v/>
      </c>
      <c r="M146" t="str">
        <f t="shared" si="6"/>
        <v/>
      </c>
      <c r="N146" t="str">
        <f t="shared" si="7"/>
        <v/>
      </c>
      <c r="O146" t="str">
        <f t="shared" si="8"/>
        <v/>
      </c>
      <c r="P146" t="str">
        <f t="shared" si="9"/>
        <v/>
      </c>
      <c r="Q146" t="str">
        <f t="shared" si="10"/>
        <v/>
      </c>
      <c r="R146" t="str">
        <f t="shared" si="11"/>
        <v/>
      </c>
      <c r="S146" t="str">
        <f t="shared" si="12"/>
        <v/>
      </c>
      <c r="T146" t="str">
        <f t="shared" si="13"/>
        <v/>
      </c>
      <c r="U146" t="str">
        <f t="shared" si="14"/>
        <v/>
      </c>
      <c r="V146" t="str">
        <f t="shared" si="15"/>
        <v/>
      </c>
      <c r="W146" t="str">
        <f t="shared" si="16"/>
        <v/>
      </c>
      <c r="X146" t="str">
        <f t="shared" si="17"/>
        <v/>
      </c>
      <c r="Y146" t="str">
        <f t="shared" si="18"/>
        <v/>
      </c>
      <c r="Z146" t="str">
        <f t="shared" si="19"/>
        <v/>
      </c>
      <c r="AA146" t="str">
        <f t="shared" si="20"/>
        <v/>
      </c>
      <c r="AB146" t="str">
        <f t="shared" si="21"/>
        <v/>
      </c>
      <c r="AC146" t="str">
        <f t="shared" si="22"/>
        <v/>
      </c>
      <c r="AD146" t="str">
        <f t="shared" si="23"/>
        <v/>
      </c>
      <c r="AE146" t="str">
        <f t="shared" si="24"/>
        <v/>
      </c>
      <c r="AF146" t="str">
        <f t="shared" si="25"/>
        <v/>
      </c>
      <c r="AG146" t="str">
        <f t="shared" si="26"/>
        <v/>
      </c>
      <c r="AH146" s="65" t="str">
        <f t="array" ref="AH146">if(sum(H146:AG146)=0,,sum(sort(TRANSPOSE(H146:AG146),1,false)))</f>
        <v/>
      </c>
    </row>
    <row r="147" hidden="1">
      <c r="F147" s="4">
        <v>15.0</v>
      </c>
      <c r="H147" t="str">
        <f t="shared" si="1"/>
        <v/>
      </c>
      <c r="I147" t="str">
        <f t="shared" si="2"/>
        <v/>
      </c>
      <c r="J147" t="str">
        <f t="shared" si="3"/>
        <v/>
      </c>
      <c r="K147" t="str">
        <f t="shared" si="4"/>
        <v/>
      </c>
      <c r="L147" t="str">
        <f t="shared" si="5"/>
        <v/>
      </c>
      <c r="M147" t="str">
        <f t="shared" si="6"/>
        <v/>
      </c>
      <c r="N147" t="str">
        <f t="shared" si="7"/>
        <v/>
      </c>
      <c r="O147" t="str">
        <f t="shared" si="8"/>
        <v/>
      </c>
      <c r="P147" t="str">
        <f t="shared" si="9"/>
        <v/>
      </c>
      <c r="Q147" t="str">
        <f t="shared" si="10"/>
        <v/>
      </c>
      <c r="R147" t="str">
        <f t="shared" si="11"/>
        <v/>
      </c>
      <c r="S147" t="str">
        <f t="shared" si="12"/>
        <v/>
      </c>
      <c r="T147" t="str">
        <f t="shared" si="13"/>
        <v/>
      </c>
      <c r="U147" t="str">
        <f t="shared" si="14"/>
        <v/>
      </c>
      <c r="V147" t="str">
        <f t="shared" si="15"/>
        <v/>
      </c>
      <c r="W147" t="str">
        <f t="shared" si="16"/>
        <v/>
      </c>
      <c r="X147" t="str">
        <f t="shared" si="17"/>
        <v/>
      </c>
      <c r="Y147" t="str">
        <f t="shared" si="18"/>
        <v/>
      </c>
      <c r="Z147" t="str">
        <f t="shared" si="19"/>
        <v/>
      </c>
      <c r="AA147" t="str">
        <f t="shared" si="20"/>
        <v/>
      </c>
      <c r="AB147" t="str">
        <f t="shared" si="21"/>
        <v/>
      </c>
      <c r="AC147" t="str">
        <f t="shared" si="22"/>
        <v/>
      </c>
      <c r="AD147" t="str">
        <f t="shared" si="23"/>
        <v/>
      </c>
      <c r="AE147" t="str">
        <f t="shared" si="24"/>
        <v/>
      </c>
      <c r="AF147" t="str">
        <f t="shared" si="25"/>
        <v/>
      </c>
      <c r="AG147" t="str">
        <f t="shared" si="26"/>
        <v/>
      </c>
      <c r="AH147" s="65" t="str">
        <f t="array" ref="AH147">if(sum(H147:AG147)=0,,sum(sort(TRANSPOSE(H147:AG147),1,false)))</f>
        <v/>
      </c>
    </row>
    <row r="148" hidden="1">
      <c r="F148" s="4">
        <v>16.0</v>
      </c>
      <c r="H148" t="str">
        <f t="shared" si="1"/>
        <v/>
      </c>
      <c r="I148" t="str">
        <f t="shared" si="2"/>
        <v/>
      </c>
      <c r="J148" t="str">
        <f t="shared" si="3"/>
        <v/>
      </c>
      <c r="K148" t="str">
        <f t="shared" si="4"/>
        <v/>
      </c>
      <c r="L148" t="str">
        <f t="shared" si="5"/>
        <v/>
      </c>
      <c r="M148" t="str">
        <f t="shared" si="6"/>
        <v/>
      </c>
      <c r="N148" t="str">
        <f t="shared" si="7"/>
        <v/>
      </c>
      <c r="O148" t="str">
        <f t="shared" si="8"/>
        <v/>
      </c>
      <c r="P148" t="str">
        <f t="shared" si="9"/>
        <v/>
      </c>
      <c r="Q148" t="str">
        <f t="shared" si="10"/>
        <v/>
      </c>
      <c r="R148" t="str">
        <f t="shared" si="11"/>
        <v/>
      </c>
      <c r="S148" t="str">
        <f t="shared" si="12"/>
        <v/>
      </c>
      <c r="T148" t="str">
        <f t="shared" si="13"/>
        <v/>
      </c>
      <c r="U148" t="str">
        <f t="shared" si="14"/>
        <v/>
      </c>
      <c r="V148" t="str">
        <f t="shared" si="15"/>
        <v/>
      </c>
      <c r="W148" t="str">
        <f t="shared" si="16"/>
        <v/>
      </c>
      <c r="X148" t="str">
        <f t="shared" si="17"/>
        <v/>
      </c>
      <c r="Y148" t="str">
        <f t="shared" si="18"/>
        <v/>
      </c>
      <c r="Z148" t="str">
        <f t="shared" si="19"/>
        <v/>
      </c>
      <c r="AA148" t="str">
        <f t="shared" si="20"/>
        <v/>
      </c>
      <c r="AB148" t="str">
        <f t="shared" si="21"/>
        <v/>
      </c>
      <c r="AC148" t="str">
        <f t="shared" si="22"/>
        <v/>
      </c>
      <c r="AD148" t="str">
        <f t="shared" si="23"/>
        <v/>
      </c>
      <c r="AE148" t="str">
        <f t="shared" si="24"/>
        <v/>
      </c>
      <c r="AF148" t="str">
        <f t="shared" si="25"/>
        <v/>
      </c>
      <c r="AG148" t="str">
        <f t="shared" si="26"/>
        <v/>
      </c>
      <c r="AH148" s="65" t="str">
        <f t="array" ref="AH148">if(sum(H148:AG148)=0,,sum(sort(TRANSPOSE(H148:AG148),1,false)))</f>
        <v/>
      </c>
    </row>
    <row r="149" hidden="1">
      <c r="F149" s="4">
        <v>17.0</v>
      </c>
      <c r="H149" t="str">
        <f t="shared" si="1"/>
        <v/>
      </c>
      <c r="I149" t="str">
        <f t="shared" si="2"/>
        <v/>
      </c>
      <c r="J149" t="str">
        <f t="shared" si="3"/>
        <v/>
      </c>
      <c r="K149" t="str">
        <f t="shared" si="4"/>
        <v/>
      </c>
      <c r="L149" t="str">
        <f t="shared" si="5"/>
        <v/>
      </c>
      <c r="M149" t="str">
        <f t="shared" si="6"/>
        <v/>
      </c>
      <c r="N149" t="str">
        <f t="shared" si="7"/>
        <v/>
      </c>
      <c r="O149" t="str">
        <f t="shared" si="8"/>
        <v/>
      </c>
      <c r="P149" t="str">
        <f t="shared" si="9"/>
        <v/>
      </c>
      <c r="Q149" t="str">
        <f t="shared" si="10"/>
        <v/>
      </c>
      <c r="R149" t="str">
        <f t="shared" si="11"/>
        <v/>
      </c>
      <c r="S149" t="str">
        <f t="shared" si="12"/>
        <v/>
      </c>
      <c r="T149" t="str">
        <f t="shared" si="13"/>
        <v/>
      </c>
      <c r="U149" t="str">
        <f t="shared" si="14"/>
        <v/>
      </c>
      <c r="V149" t="str">
        <f t="shared" si="15"/>
        <v/>
      </c>
      <c r="W149" t="str">
        <f t="shared" si="16"/>
        <v/>
      </c>
      <c r="X149" t="str">
        <f t="shared" si="17"/>
        <v/>
      </c>
      <c r="Y149" t="str">
        <f t="shared" si="18"/>
        <v/>
      </c>
      <c r="Z149" t="str">
        <f t="shared" si="19"/>
        <v/>
      </c>
      <c r="AA149" t="str">
        <f t="shared" si="20"/>
        <v/>
      </c>
      <c r="AB149" t="str">
        <f t="shared" si="21"/>
        <v/>
      </c>
      <c r="AC149" t="str">
        <f t="shared" si="22"/>
        <v/>
      </c>
      <c r="AD149" t="str">
        <f t="shared" si="23"/>
        <v/>
      </c>
      <c r="AE149" t="str">
        <f t="shared" si="24"/>
        <v/>
      </c>
      <c r="AF149" t="str">
        <f t="shared" si="25"/>
        <v/>
      </c>
      <c r="AG149" t="str">
        <f t="shared" si="26"/>
        <v/>
      </c>
      <c r="AH149" s="65" t="str">
        <f t="array" ref="AH149">if(sum(H149:AG149)=0,,sum(sort(TRANSPOSE(H149:AG149),1,false)))</f>
        <v/>
      </c>
    </row>
    <row r="150" hidden="1">
      <c r="F150" s="4">
        <v>18.0</v>
      </c>
      <c r="H150" t="str">
        <f t="shared" si="1"/>
        <v/>
      </c>
      <c r="I150" t="str">
        <f t="shared" si="2"/>
        <v/>
      </c>
      <c r="J150" t="str">
        <f t="shared" si="3"/>
        <v/>
      </c>
      <c r="K150" t="str">
        <f t="shared" si="4"/>
        <v/>
      </c>
      <c r="L150" t="str">
        <f t="shared" si="5"/>
        <v/>
      </c>
      <c r="M150" t="str">
        <f t="shared" si="6"/>
        <v/>
      </c>
      <c r="N150" t="str">
        <f t="shared" si="7"/>
        <v/>
      </c>
      <c r="O150" t="str">
        <f t="shared" si="8"/>
        <v/>
      </c>
      <c r="P150" t="str">
        <f t="shared" si="9"/>
        <v/>
      </c>
      <c r="Q150" t="str">
        <f t="shared" si="10"/>
        <v/>
      </c>
      <c r="R150" t="str">
        <f t="shared" si="11"/>
        <v/>
      </c>
      <c r="S150" t="str">
        <f t="shared" si="12"/>
        <v/>
      </c>
      <c r="T150" t="str">
        <f t="shared" si="13"/>
        <v/>
      </c>
      <c r="U150" t="str">
        <f t="shared" si="14"/>
        <v/>
      </c>
      <c r="V150" t="str">
        <f t="shared" si="15"/>
        <v/>
      </c>
      <c r="W150" t="str">
        <f t="shared" si="16"/>
        <v/>
      </c>
      <c r="X150" t="str">
        <f t="shared" si="17"/>
        <v/>
      </c>
      <c r="Y150" t="str">
        <f t="shared" si="18"/>
        <v/>
      </c>
      <c r="Z150" t="str">
        <f t="shared" si="19"/>
        <v/>
      </c>
      <c r="AA150" t="str">
        <f t="shared" si="20"/>
        <v/>
      </c>
      <c r="AB150" t="str">
        <f t="shared" si="21"/>
        <v/>
      </c>
      <c r="AC150" t="str">
        <f t="shared" si="22"/>
        <v/>
      </c>
      <c r="AD150" t="str">
        <f t="shared" si="23"/>
        <v/>
      </c>
      <c r="AE150" t="str">
        <f t="shared" si="24"/>
        <v/>
      </c>
      <c r="AF150" t="str">
        <f t="shared" si="25"/>
        <v/>
      </c>
      <c r="AG150" t="str">
        <f t="shared" si="26"/>
        <v/>
      </c>
      <c r="AH150" s="65" t="str">
        <f t="array" ref="AH150">if(sum(H150:AG150)=0,,sum(sort(TRANSPOSE(H150:AG150),1,false)))</f>
        <v/>
      </c>
    </row>
    <row r="151" hidden="1">
      <c r="F151" s="4">
        <v>19.0</v>
      </c>
      <c r="H151" t="str">
        <f t="shared" si="1"/>
        <v/>
      </c>
      <c r="I151" t="str">
        <f t="shared" si="2"/>
        <v/>
      </c>
      <c r="J151" t="str">
        <f t="shared" si="3"/>
        <v/>
      </c>
      <c r="K151" t="str">
        <f t="shared" si="4"/>
        <v/>
      </c>
      <c r="L151" t="str">
        <f t="shared" si="5"/>
        <v/>
      </c>
      <c r="M151" t="str">
        <f t="shared" si="6"/>
        <v/>
      </c>
      <c r="N151" t="str">
        <f t="shared" si="7"/>
        <v/>
      </c>
      <c r="O151" t="str">
        <f t="shared" si="8"/>
        <v/>
      </c>
      <c r="P151" t="str">
        <f t="shared" si="9"/>
        <v/>
      </c>
      <c r="Q151" t="str">
        <f t="shared" si="10"/>
        <v/>
      </c>
      <c r="R151" t="str">
        <f t="shared" si="11"/>
        <v/>
      </c>
      <c r="S151" t="str">
        <f t="shared" si="12"/>
        <v/>
      </c>
      <c r="T151" t="str">
        <f t="shared" si="13"/>
        <v/>
      </c>
      <c r="U151" t="str">
        <f t="shared" si="14"/>
        <v/>
      </c>
      <c r="V151" t="str">
        <f t="shared" si="15"/>
        <v/>
      </c>
      <c r="W151" t="str">
        <f t="shared" si="16"/>
        <v/>
      </c>
      <c r="X151" t="str">
        <f t="shared" si="17"/>
        <v/>
      </c>
      <c r="Y151" t="str">
        <f t="shared" si="18"/>
        <v/>
      </c>
      <c r="Z151" t="str">
        <f t="shared" si="19"/>
        <v/>
      </c>
      <c r="AA151" t="str">
        <f t="shared" si="20"/>
        <v/>
      </c>
      <c r="AB151" t="str">
        <f t="shared" si="21"/>
        <v/>
      </c>
      <c r="AC151" t="str">
        <f t="shared" si="22"/>
        <v/>
      </c>
      <c r="AD151" t="str">
        <f t="shared" si="23"/>
        <v/>
      </c>
      <c r="AE151" t="str">
        <f t="shared" si="24"/>
        <v/>
      </c>
      <c r="AF151" t="str">
        <f t="shared" si="25"/>
        <v/>
      </c>
      <c r="AG151" t="str">
        <f t="shared" si="26"/>
        <v/>
      </c>
      <c r="AH151" s="65" t="str">
        <f t="array" ref="AH151">if(sum(H151:AG151)=0,,sum(sort(TRANSPOSE(H151:AG151),1,false)))</f>
        <v/>
      </c>
    </row>
    <row r="152" hidden="1">
      <c r="F152" s="4">
        <v>20.0</v>
      </c>
      <c r="H152" t="str">
        <f t="shared" si="1"/>
        <v/>
      </c>
      <c r="I152" t="str">
        <f t="shared" si="2"/>
        <v/>
      </c>
      <c r="J152" t="str">
        <f t="shared" si="3"/>
        <v/>
      </c>
      <c r="K152" t="str">
        <f t="shared" si="4"/>
        <v/>
      </c>
      <c r="L152" t="str">
        <f t="shared" si="5"/>
        <v/>
      </c>
      <c r="M152" t="str">
        <f t="shared" si="6"/>
        <v/>
      </c>
      <c r="N152" t="str">
        <f t="shared" si="7"/>
        <v/>
      </c>
      <c r="O152" t="str">
        <f t="shared" si="8"/>
        <v/>
      </c>
      <c r="P152" t="str">
        <f t="shared" si="9"/>
        <v/>
      </c>
      <c r="Q152" t="str">
        <f t="shared" si="10"/>
        <v/>
      </c>
      <c r="R152" t="str">
        <f t="shared" si="11"/>
        <v/>
      </c>
      <c r="S152" t="str">
        <f t="shared" si="12"/>
        <v/>
      </c>
      <c r="T152" t="str">
        <f t="shared" si="13"/>
        <v/>
      </c>
      <c r="U152" t="str">
        <f t="shared" si="14"/>
        <v/>
      </c>
      <c r="V152" t="str">
        <f t="shared" si="15"/>
        <v/>
      </c>
      <c r="W152" t="str">
        <f t="shared" si="16"/>
        <v/>
      </c>
      <c r="X152" t="str">
        <f t="shared" si="17"/>
        <v/>
      </c>
      <c r="Y152" t="str">
        <f t="shared" si="18"/>
        <v/>
      </c>
      <c r="Z152" t="str">
        <f t="shared" si="19"/>
        <v/>
      </c>
      <c r="AA152" t="str">
        <f t="shared" si="20"/>
        <v/>
      </c>
      <c r="AB152" t="str">
        <f t="shared" si="21"/>
        <v/>
      </c>
      <c r="AC152" t="str">
        <f t="shared" si="22"/>
        <v/>
      </c>
      <c r="AD152" t="str">
        <f t="shared" si="23"/>
        <v/>
      </c>
      <c r="AE152" t="str">
        <f t="shared" si="24"/>
        <v/>
      </c>
      <c r="AF152" t="str">
        <f t="shared" si="25"/>
        <v/>
      </c>
      <c r="AG152" t="str">
        <f t="shared" si="26"/>
        <v/>
      </c>
      <c r="AH152" s="65" t="str">
        <f t="array" ref="AH152">if(sum(H152:AG152)=0,,sum(sort(TRANSPOSE(H152:AG152),1,false)))</f>
        <v/>
      </c>
    </row>
    <row r="153" hidden="1">
      <c r="F153" s="4">
        <v>21.0</v>
      </c>
      <c r="H153" t="str">
        <f t="shared" si="1"/>
        <v/>
      </c>
      <c r="I153" t="str">
        <f t="shared" si="2"/>
        <v/>
      </c>
      <c r="J153" t="str">
        <f t="shared" si="3"/>
        <v/>
      </c>
      <c r="K153" t="str">
        <f t="shared" si="4"/>
        <v/>
      </c>
      <c r="L153" t="str">
        <f t="shared" si="5"/>
        <v/>
      </c>
      <c r="M153" t="str">
        <f t="shared" si="6"/>
        <v/>
      </c>
      <c r="N153" t="str">
        <f t="shared" si="7"/>
        <v/>
      </c>
      <c r="O153" t="str">
        <f t="shared" si="8"/>
        <v/>
      </c>
      <c r="P153" t="str">
        <f t="shared" si="9"/>
        <v/>
      </c>
      <c r="Q153" t="str">
        <f t="shared" si="10"/>
        <v/>
      </c>
      <c r="R153" t="str">
        <f t="shared" si="11"/>
        <v/>
      </c>
      <c r="S153" t="str">
        <f t="shared" si="12"/>
        <v/>
      </c>
      <c r="T153" t="str">
        <f t="shared" si="13"/>
        <v/>
      </c>
      <c r="U153" t="str">
        <f t="shared" si="14"/>
        <v/>
      </c>
      <c r="V153" t="str">
        <f t="shared" si="15"/>
        <v/>
      </c>
      <c r="W153" t="str">
        <f t="shared" si="16"/>
        <v/>
      </c>
      <c r="X153" t="str">
        <f t="shared" si="17"/>
        <v/>
      </c>
      <c r="Y153" t="str">
        <f t="shared" si="18"/>
        <v/>
      </c>
      <c r="Z153" t="str">
        <f t="shared" si="19"/>
        <v/>
      </c>
      <c r="AA153" t="str">
        <f t="shared" si="20"/>
        <v/>
      </c>
      <c r="AB153" t="str">
        <f t="shared" si="21"/>
        <v/>
      </c>
      <c r="AC153" t="str">
        <f t="shared" si="22"/>
        <v/>
      </c>
      <c r="AD153" t="str">
        <f t="shared" si="23"/>
        <v/>
      </c>
      <c r="AE153" t="str">
        <f t="shared" si="24"/>
        <v/>
      </c>
      <c r="AF153" t="str">
        <f t="shared" si="25"/>
        <v/>
      </c>
      <c r="AG153" t="str">
        <f t="shared" si="26"/>
        <v/>
      </c>
      <c r="AH153" s="65" t="str">
        <f t="array" ref="AH153">if(sum(H153:AG153)=0,,sum(sort(TRANSPOSE(H153:AG153),1,false)))</f>
        <v/>
      </c>
    </row>
    <row r="154" hidden="1">
      <c r="F154" s="4">
        <v>22.0</v>
      </c>
      <c r="H154" t="str">
        <f t="shared" si="1"/>
        <v/>
      </c>
      <c r="I154" t="str">
        <f t="shared" si="2"/>
        <v/>
      </c>
      <c r="J154" t="str">
        <f t="shared" si="3"/>
        <v/>
      </c>
      <c r="K154" t="str">
        <f t="shared" si="4"/>
        <v/>
      </c>
      <c r="L154" t="str">
        <f t="shared" si="5"/>
        <v/>
      </c>
      <c r="M154" t="str">
        <f t="shared" si="6"/>
        <v/>
      </c>
      <c r="N154" t="str">
        <f t="shared" si="7"/>
        <v/>
      </c>
      <c r="O154" t="str">
        <f t="shared" si="8"/>
        <v/>
      </c>
      <c r="P154" t="str">
        <f t="shared" si="9"/>
        <v/>
      </c>
      <c r="Q154" t="str">
        <f t="shared" si="10"/>
        <v/>
      </c>
      <c r="R154" t="str">
        <f t="shared" si="11"/>
        <v/>
      </c>
      <c r="S154" t="str">
        <f t="shared" si="12"/>
        <v/>
      </c>
      <c r="T154" t="str">
        <f t="shared" si="13"/>
        <v/>
      </c>
      <c r="U154" t="str">
        <f t="shared" si="14"/>
        <v/>
      </c>
      <c r="V154" t="str">
        <f t="shared" si="15"/>
        <v/>
      </c>
      <c r="W154" t="str">
        <f t="shared" si="16"/>
        <v/>
      </c>
      <c r="X154" t="str">
        <f t="shared" si="17"/>
        <v/>
      </c>
      <c r="Y154" t="str">
        <f t="shared" si="18"/>
        <v/>
      </c>
      <c r="Z154" t="str">
        <f t="shared" si="19"/>
        <v/>
      </c>
      <c r="AA154" t="str">
        <f t="shared" si="20"/>
        <v/>
      </c>
      <c r="AB154" t="str">
        <f t="shared" si="21"/>
        <v/>
      </c>
      <c r="AC154" t="str">
        <f t="shared" si="22"/>
        <v/>
      </c>
      <c r="AD154" t="str">
        <f t="shared" si="23"/>
        <v/>
      </c>
      <c r="AE154" t="str">
        <f t="shared" si="24"/>
        <v/>
      </c>
      <c r="AF154" t="str">
        <f t="shared" si="25"/>
        <v/>
      </c>
      <c r="AG154" t="str">
        <f t="shared" si="26"/>
        <v/>
      </c>
      <c r="AH154" s="65" t="str">
        <f t="array" ref="AH154">if(sum(H154:AG154)=0,,sum(sort(TRANSPOSE(H154:AG154),1,false)))</f>
        <v/>
      </c>
    </row>
    <row r="155" hidden="1">
      <c r="F155" s="4">
        <v>23.0</v>
      </c>
      <c r="H155" t="str">
        <f t="shared" si="1"/>
        <v/>
      </c>
      <c r="I155" t="str">
        <f t="shared" si="2"/>
        <v/>
      </c>
      <c r="J155" t="str">
        <f t="shared" si="3"/>
        <v/>
      </c>
      <c r="K155" t="str">
        <f t="shared" si="4"/>
        <v/>
      </c>
      <c r="L155" t="str">
        <f t="shared" si="5"/>
        <v/>
      </c>
      <c r="M155" t="str">
        <f t="shared" si="6"/>
        <v/>
      </c>
      <c r="N155" t="str">
        <f t="shared" si="7"/>
        <v/>
      </c>
      <c r="O155" t="str">
        <f t="shared" si="8"/>
        <v/>
      </c>
      <c r="P155" t="str">
        <f t="shared" si="9"/>
        <v/>
      </c>
      <c r="Q155" t="str">
        <f t="shared" si="10"/>
        <v/>
      </c>
      <c r="R155" t="str">
        <f t="shared" si="11"/>
        <v/>
      </c>
      <c r="S155" t="str">
        <f t="shared" si="12"/>
        <v/>
      </c>
      <c r="T155" t="str">
        <f t="shared" si="13"/>
        <v/>
      </c>
      <c r="U155" t="str">
        <f t="shared" si="14"/>
        <v/>
      </c>
      <c r="V155" t="str">
        <f t="shared" si="15"/>
        <v/>
      </c>
      <c r="W155" t="str">
        <f t="shared" si="16"/>
        <v/>
      </c>
      <c r="X155" t="str">
        <f t="shared" si="17"/>
        <v/>
      </c>
      <c r="Y155" t="str">
        <f t="shared" si="18"/>
        <v/>
      </c>
      <c r="Z155" t="str">
        <f t="shared" si="19"/>
        <v/>
      </c>
      <c r="AA155" t="str">
        <f t="shared" si="20"/>
        <v/>
      </c>
      <c r="AB155" t="str">
        <f t="shared" si="21"/>
        <v/>
      </c>
      <c r="AC155" t="str">
        <f t="shared" si="22"/>
        <v/>
      </c>
      <c r="AD155" t="str">
        <f t="shared" si="23"/>
        <v/>
      </c>
      <c r="AE155" t="str">
        <f t="shared" si="24"/>
        <v/>
      </c>
      <c r="AF155" t="str">
        <f t="shared" si="25"/>
        <v/>
      </c>
      <c r="AG155" t="str">
        <f t="shared" si="26"/>
        <v/>
      </c>
      <c r="AH155" s="65" t="str">
        <f t="array" ref="AH155">if(sum(H155:AG155)=0,,sum(sort(TRANSPOSE(H155:AG155),1,false)))</f>
        <v/>
      </c>
    </row>
    <row r="156" hidden="1">
      <c r="F156" s="4">
        <v>24.0</v>
      </c>
      <c r="H156" t="str">
        <f t="shared" si="1"/>
        <v/>
      </c>
      <c r="I156" t="str">
        <f t="shared" si="2"/>
        <v/>
      </c>
      <c r="J156" t="str">
        <f t="shared" si="3"/>
        <v/>
      </c>
      <c r="K156" t="str">
        <f t="shared" si="4"/>
        <v/>
      </c>
      <c r="L156" t="str">
        <f t="shared" si="5"/>
        <v/>
      </c>
      <c r="M156" t="str">
        <f t="shared" si="6"/>
        <v/>
      </c>
      <c r="N156" t="str">
        <f t="shared" si="7"/>
        <v/>
      </c>
      <c r="O156" t="str">
        <f t="shared" si="8"/>
        <v/>
      </c>
      <c r="P156" t="str">
        <f t="shared" si="9"/>
        <v/>
      </c>
      <c r="Q156" t="str">
        <f t="shared" si="10"/>
        <v/>
      </c>
      <c r="R156" t="str">
        <f t="shared" si="11"/>
        <v/>
      </c>
      <c r="S156" t="str">
        <f t="shared" si="12"/>
        <v/>
      </c>
      <c r="T156" t="str">
        <f t="shared" si="13"/>
        <v/>
      </c>
      <c r="U156" t="str">
        <f t="shared" si="14"/>
        <v/>
      </c>
      <c r="V156" t="str">
        <f t="shared" si="15"/>
        <v/>
      </c>
      <c r="W156" t="str">
        <f t="shared" si="16"/>
        <v/>
      </c>
      <c r="X156" t="str">
        <f t="shared" si="17"/>
        <v/>
      </c>
      <c r="Y156" t="str">
        <f t="shared" si="18"/>
        <v/>
      </c>
      <c r="Z156" t="str">
        <f t="shared" si="19"/>
        <v/>
      </c>
      <c r="AA156" t="str">
        <f t="shared" si="20"/>
        <v/>
      </c>
      <c r="AB156" t="str">
        <f t="shared" si="21"/>
        <v/>
      </c>
      <c r="AC156" t="str">
        <f t="shared" si="22"/>
        <v/>
      </c>
      <c r="AD156" t="str">
        <f t="shared" si="23"/>
        <v/>
      </c>
      <c r="AE156" t="str">
        <f t="shared" si="24"/>
        <v/>
      </c>
      <c r="AF156" t="str">
        <f t="shared" si="25"/>
        <v/>
      </c>
      <c r="AG156" t="str">
        <f t="shared" si="26"/>
        <v/>
      </c>
      <c r="AH156" s="65" t="str">
        <f t="array" ref="AH156">if(sum(H156:AG156)=0,,sum(sort(TRANSPOSE(H156:AG156),1,false)))</f>
        <v/>
      </c>
    </row>
    <row r="157" hidden="1">
      <c r="F157" s="4">
        <v>25.0</v>
      </c>
      <c r="H157" t="str">
        <f t="shared" si="1"/>
        <v/>
      </c>
      <c r="I157" t="str">
        <f t="shared" si="2"/>
        <v/>
      </c>
      <c r="J157" t="str">
        <f t="shared" si="3"/>
        <v/>
      </c>
      <c r="K157" t="str">
        <f t="shared" si="4"/>
        <v/>
      </c>
      <c r="L157" t="str">
        <f t="shared" si="5"/>
        <v/>
      </c>
      <c r="M157" t="str">
        <f t="shared" si="6"/>
        <v/>
      </c>
      <c r="N157" t="str">
        <f t="shared" si="7"/>
        <v/>
      </c>
      <c r="O157" t="str">
        <f t="shared" si="8"/>
        <v/>
      </c>
      <c r="P157" t="str">
        <f t="shared" si="9"/>
        <v/>
      </c>
      <c r="Q157" t="str">
        <f t="shared" si="10"/>
        <v/>
      </c>
      <c r="R157" t="str">
        <f t="shared" si="11"/>
        <v/>
      </c>
      <c r="S157" t="str">
        <f t="shared" si="12"/>
        <v/>
      </c>
      <c r="T157" t="str">
        <f t="shared" si="13"/>
        <v/>
      </c>
      <c r="U157" t="str">
        <f t="shared" si="14"/>
        <v/>
      </c>
      <c r="V157" t="str">
        <f t="shared" si="15"/>
        <v/>
      </c>
      <c r="W157" t="str">
        <f t="shared" si="16"/>
        <v/>
      </c>
      <c r="X157" t="str">
        <f t="shared" si="17"/>
        <v/>
      </c>
      <c r="Y157" t="str">
        <f t="shared" si="18"/>
        <v/>
      </c>
      <c r="Z157" t="str">
        <f t="shared" si="19"/>
        <v/>
      </c>
      <c r="AA157" t="str">
        <f t="shared" si="20"/>
        <v/>
      </c>
      <c r="AB157" t="str">
        <f t="shared" si="21"/>
        <v/>
      </c>
      <c r="AC157" t="str">
        <f t="shared" si="22"/>
        <v/>
      </c>
      <c r="AD157" t="str">
        <f t="shared" si="23"/>
        <v/>
      </c>
      <c r="AE157" t="str">
        <f t="shared" si="24"/>
        <v/>
      </c>
      <c r="AF157" t="str">
        <f t="shared" si="25"/>
        <v/>
      </c>
      <c r="AG157" t="str">
        <f t="shared" si="26"/>
        <v/>
      </c>
      <c r="AH157" s="65" t="str">
        <f t="array" ref="AH157">if(sum(H157:AG157)=0,,sum(sort(TRANSPOSE(H157:AG157),1,false)))</f>
        <v/>
      </c>
    </row>
    <row r="158" hidden="1">
      <c r="F158" s="4">
        <v>26.0</v>
      </c>
      <c r="H158" t="str">
        <f t="shared" si="1"/>
        <v/>
      </c>
      <c r="I158" t="str">
        <f t="shared" si="2"/>
        <v/>
      </c>
      <c r="J158" t="str">
        <f t="shared" si="3"/>
        <v/>
      </c>
      <c r="K158" t="str">
        <f t="shared" si="4"/>
        <v/>
      </c>
      <c r="L158" t="str">
        <f t="shared" si="5"/>
        <v/>
      </c>
      <c r="M158" t="str">
        <f t="shared" si="6"/>
        <v/>
      </c>
      <c r="N158" t="str">
        <f t="shared" si="7"/>
        <v/>
      </c>
      <c r="O158" t="str">
        <f t="shared" si="8"/>
        <v/>
      </c>
      <c r="P158" t="str">
        <f t="shared" si="9"/>
        <v/>
      </c>
      <c r="Q158" t="str">
        <f t="shared" si="10"/>
        <v/>
      </c>
      <c r="R158" t="str">
        <f t="shared" si="11"/>
        <v/>
      </c>
      <c r="S158" t="str">
        <f t="shared" si="12"/>
        <v/>
      </c>
      <c r="T158" t="str">
        <f t="shared" si="13"/>
        <v/>
      </c>
      <c r="U158" t="str">
        <f t="shared" si="14"/>
        <v/>
      </c>
      <c r="V158" t="str">
        <f t="shared" si="15"/>
        <v/>
      </c>
      <c r="W158" t="str">
        <f t="shared" si="16"/>
        <v/>
      </c>
      <c r="X158" t="str">
        <f t="shared" si="17"/>
        <v/>
      </c>
      <c r="Y158" t="str">
        <f t="shared" si="18"/>
        <v/>
      </c>
      <c r="Z158" t="str">
        <f t="shared" si="19"/>
        <v/>
      </c>
      <c r="AA158" t="str">
        <f t="shared" si="20"/>
        <v/>
      </c>
      <c r="AB158" t="str">
        <f t="shared" si="21"/>
        <v/>
      </c>
      <c r="AC158" t="str">
        <f t="shared" si="22"/>
        <v/>
      </c>
      <c r="AD158" t="str">
        <f t="shared" si="23"/>
        <v/>
      </c>
      <c r="AE158" t="str">
        <f t="shared" si="24"/>
        <v/>
      </c>
      <c r="AF158" t="str">
        <f t="shared" si="25"/>
        <v/>
      </c>
      <c r="AG158" t="str">
        <f t="shared" si="26"/>
        <v/>
      </c>
      <c r="AH158" s="65" t="str">
        <f t="array" ref="AH158">if(sum(H158:AG158)=0,,sum(sort(TRANSPOSE(H158:AG158),1,false)))</f>
        <v/>
      </c>
    </row>
    <row r="159" hidden="1">
      <c r="F159" s="4">
        <v>27.0</v>
      </c>
      <c r="H159" t="str">
        <f t="shared" si="1"/>
        <v/>
      </c>
      <c r="I159" t="str">
        <f t="shared" si="2"/>
        <v/>
      </c>
      <c r="J159" t="str">
        <f t="shared" si="3"/>
        <v/>
      </c>
      <c r="K159" t="str">
        <f t="shared" si="4"/>
        <v/>
      </c>
      <c r="L159" t="str">
        <f t="shared" si="5"/>
        <v/>
      </c>
      <c r="M159" t="str">
        <f t="shared" si="6"/>
        <v/>
      </c>
      <c r="N159" t="str">
        <f t="shared" si="7"/>
        <v/>
      </c>
      <c r="O159" t="str">
        <f t="shared" si="8"/>
        <v/>
      </c>
      <c r="P159" t="str">
        <f t="shared" si="9"/>
        <v/>
      </c>
      <c r="Q159" t="str">
        <f t="shared" si="10"/>
        <v/>
      </c>
      <c r="R159" t="str">
        <f t="shared" si="11"/>
        <v/>
      </c>
      <c r="S159" t="str">
        <f t="shared" si="12"/>
        <v/>
      </c>
      <c r="T159" t="str">
        <f t="shared" si="13"/>
        <v/>
      </c>
      <c r="U159" t="str">
        <f t="shared" si="14"/>
        <v/>
      </c>
      <c r="V159" t="str">
        <f t="shared" si="15"/>
        <v/>
      </c>
      <c r="W159" t="str">
        <f t="shared" si="16"/>
        <v/>
      </c>
      <c r="X159" t="str">
        <f t="shared" si="17"/>
        <v/>
      </c>
      <c r="Y159" t="str">
        <f t="shared" si="18"/>
        <v/>
      </c>
      <c r="Z159" t="str">
        <f t="shared" si="19"/>
        <v/>
      </c>
      <c r="AA159" t="str">
        <f t="shared" si="20"/>
        <v/>
      </c>
      <c r="AB159" t="str">
        <f t="shared" si="21"/>
        <v/>
      </c>
      <c r="AC159" t="str">
        <f t="shared" si="22"/>
        <v/>
      </c>
      <c r="AD159" t="str">
        <f t="shared" si="23"/>
        <v/>
      </c>
      <c r="AE159" t="str">
        <f t="shared" si="24"/>
        <v/>
      </c>
      <c r="AF159" t="str">
        <f t="shared" si="25"/>
        <v/>
      </c>
      <c r="AG159" t="str">
        <f t="shared" si="26"/>
        <v/>
      </c>
      <c r="AH159" s="65" t="str">
        <f t="array" ref="AH159">if(sum(H159:AG159)=0,,sum(sort(TRANSPOSE(H159:AG159),1,false)))</f>
        <v/>
      </c>
    </row>
    <row r="160" hidden="1">
      <c r="F160" s="4">
        <v>28.0</v>
      </c>
      <c r="H160" t="str">
        <f t="shared" si="1"/>
        <v/>
      </c>
      <c r="I160" t="str">
        <f t="shared" si="2"/>
        <v/>
      </c>
      <c r="J160" t="str">
        <f t="shared" si="3"/>
        <v/>
      </c>
      <c r="K160" t="str">
        <f t="shared" si="4"/>
        <v/>
      </c>
      <c r="L160" t="str">
        <f t="shared" si="5"/>
        <v/>
      </c>
      <c r="M160" t="str">
        <f t="shared" si="6"/>
        <v/>
      </c>
      <c r="N160" t="str">
        <f t="shared" si="7"/>
        <v/>
      </c>
      <c r="O160" t="str">
        <f t="shared" si="8"/>
        <v/>
      </c>
      <c r="P160" t="str">
        <f t="shared" si="9"/>
        <v/>
      </c>
      <c r="Q160" t="str">
        <f t="shared" si="10"/>
        <v/>
      </c>
      <c r="R160" t="str">
        <f t="shared" si="11"/>
        <v/>
      </c>
      <c r="S160" t="str">
        <f t="shared" si="12"/>
        <v/>
      </c>
      <c r="T160" t="str">
        <f t="shared" si="13"/>
        <v/>
      </c>
      <c r="U160" t="str">
        <f t="shared" si="14"/>
        <v/>
      </c>
      <c r="V160" t="str">
        <f t="shared" si="15"/>
        <v/>
      </c>
      <c r="W160" t="str">
        <f t="shared" si="16"/>
        <v/>
      </c>
      <c r="X160" t="str">
        <f t="shared" si="17"/>
        <v/>
      </c>
      <c r="Y160" t="str">
        <f t="shared" si="18"/>
        <v/>
      </c>
      <c r="Z160" t="str">
        <f t="shared" si="19"/>
        <v/>
      </c>
      <c r="AA160" t="str">
        <f t="shared" si="20"/>
        <v/>
      </c>
      <c r="AB160" t="str">
        <f t="shared" si="21"/>
        <v/>
      </c>
      <c r="AC160" t="str">
        <f t="shared" si="22"/>
        <v/>
      </c>
      <c r="AD160" t="str">
        <f t="shared" si="23"/>
        <v/>
      </c>
      <c r="AE160" t="str">
        <f t="shared" si="24"/>
        <v/>
      </c>
      <c r="AF160" t="str">
        <f t="shared" si="25"/>
        <v/>
      </c>
      <c r="AG160" t="str">
        <f t="shared" si="26"/>
        <v/>
      </c>
      <c r="AH160" s="65" t="str">
        <f t="array" ref="AH160">if(sum(H160:AG160)=0,,sum(sort(TRANSPOSE(H160:AG160),1,false)))</f>
        <v/>
      </c>
    </row>
    <row r="161" hidden="1">
      <c r="F161" s="4">
        <v>29.0</v>
      </c>
      <c r="H161" t="str">
        <f t="shared" si="1"/>
        <v/>
      </c>
      <c r="I161" t="str">
        <f t="shared" si="2"/>
        <v/>
      </c>
      <c r="J161" t="str">
        <f t="shared" si="3"/>
        <v/>
      </c>
      <c r="K161" t="str">
        <f t="shared" si="4"/>
        <v/>
      </c>
      <c r="L161" t="str">
        <f t="shared" si="5"/>
        <v/>
      </c>
      <c r="M161" t="str">
        <f t="shared" si="6"/>
        <v/>
      </c>
      <c r="N161" t="str">
        <f t="shared" si="7"/>
        <v/>
      </c>
      <c r="O161" t="str">
        <f t="shared" si="8"/>
        <v/>
      </c>
      <c r="P161" t="str">
        <f t="shared" si="9"/>
        <v/>
      </c>
      <c r="Q161" t="str">
        <f t="shared" si="10"/>
        <v/>
      </c>
      <c r="R161" t="str">
        <f t="shared" si="11"/>
        <v/>
      </c>
      <c r="S161" t="str">
        <f t="shared" si="12"/>
        <v/>
      </c>
      <c r="T161" t="str">
        <f t="shared" si="13"/>
        <v/>
      </c>
      <c r="U161" t="str">
        <f t="shared" si="14"/>
        <v/>
      </c>
      <c r="V161" t="str">
        <f t="shared" si="15"/>
        <v/>
      </c>
      <c r="W161" t="str">
        <f t="shared" si="16"/>
        <v/>
      </c>
      <c r="X161" t="str">
        <f t="shared" si="17"/>
        <v/>
      </c>
      <c r="Y161" t="str">
        <f t="shared" si="18"/>
        <v/>
      </c>
      <c r="Z161" t="str">
        <f t="shared" si="19"/>
        <v/>
      </c>
      <c r="AA161" t="str">
        <f t="shared" si="20"/>
        <v/>
      </c>
      <c r="AB161" t="str">
        <f t="shared" si="21"/>
        <v/>
      </c>
      <c r="AC161" t="str">
        <f t="shared" si="22"/>
        <v/>
      </c>
      <c r="AD161" t="str">
        <f t="shared" si="23"/>
        <v/>
      </c>
      <c r="AE161" t="str">
        <f t="shared" si="24"/>
        <v/>
      </c>
      <c r="AF161" t="str">
        <f t="shared" si="25"/>
        <v/>
      </c>
      <c r="AG161" t="str">
        <f t="shared" si="26"/>
        <v/>
      </c>
      <c r="AH161" s="65" t="str">
        <f t="array" ref="AH161">if(sum(H161:AG161)=0,,sum(sort(TRANSPOSE(H161:AG161),1,false)))</f>
        <v/>
      </c>
    </row>
    <row r="162" hidden="1">
      <c r="F162" s="4">
        <v>30.0</v>
      </c>
      <c r="H162" t="str">
        <f t="shared" si="1"/>
        <v/>
      </c>
      <c r="I162" t="str">
        <f t="shared" si="2"/>
        <v/>
      </c>
      <c r="J162" t="str">
        <f t="shared" si="3"/>
        <v/>
      </c>
      <c r="K162" t="str">
        <f t="shared" si="4"/>
        <v/>
      </c>
      <c r="L162" t="str">
        <f t="shared" si="5"/>
        <v/>
      </c>
      <c r="M162" t="str">
        <f t="shared" si="6"/>
        <v/>
      </c>
      <c r="N162" t="str">
        <f t="shared" si="7"/>
        <v/>
      </c>
      <c r="O162" t="str">
        <f t="shared" si="8"/>
        <v/>
      </c>
      <c r="P162" t="str">
        <f t="shared" si="9"/>
        <v/>
      </c>
      <c r="Q162" t="str">
        <f t="shared" si="10"/>
        <v/>
      </c>
      <c r="R162" t="str">
        <f t="shared" si="11"/>
        <v/>
      </c>
      <c r="S162" t="str">
        <f t="shared" si="12"/>
        <v/>
      </c>
      <c r="T162" t="str">
        <f t="shared" si="13"/>
        <v/>
      </c>
      <c r="U162" t="str">
        <f t="shared" si="14"/>
        <v/>
      </c>
      <c r="V162" t="str">
        <f t="shared" si="15"/>
        <v/>
      </c>
      <c r="W162" t="str">
        <f t="shared" si="16"/>
        <v/>
      </c>
      <c r="X162" t="str">
        <f t="shared" si="17"/>
        <v/>
      </c>
      <c r="Y162" t="str">
        <f t="shared" si="18"/>
        <v/>
      </c>
      <c r="Z162" t="str">
        <f t="shared" si="19"/>
        <v/>
      </c>
      <c r="AA162" t="str">
        <f t="shared" si="20"/>
        <v/>
      </c>
      <c r="AB162" t="str">
        <f t="shared" si="21"/>
        <v/>
      </c>
      <c r="AC162" t="str">
        <f t="shared" si="22"/>
        <v/>
      </c>
      <c r="AD162" t="str">
        <f t="shared" si="23"/>
        <v/>
      </c>
      <c r="AE162" t="str">
        <f t="shared" si="24"/>
        <v/>
      </c>
      <c r="AF162" t="str">
        <f t="shared" si="25"/>
        <v/>
      </c>
      <c r="AG162" t="str">
        <f t="shared" si="26"/>
        <v/>
      </c>
      <c r="AH162" s="65" t="str">
        <f t="array" ref="AH162">if(sum(H162:AG162)=0,,sum(sort(TRANSPOSE(H162:AG162),1,false)))</f>
        <v/>
      </c>
    </row>
    <row r="163" hidden="1">
      <c r="F163" s="4">
        <v>31.0</v>
      </c>
      <c r="H163" t="str">
        <f t="shared" si="1"/>
        <v/>
      </c>
      <c r="I163" t="str">
        <f t="shared" si="2"/>
        <v/>
      </c>
      <c r="J163" t="str">
        <f t="shared" si="3"/>
        <v/>
      </c>
      <c r="K163" t="str">
        <f t="shared" si="4"/>
        <v/>
      </c>
      <c r="L163" t="str">
        <f t="shared" si="5"/>
        <v/>
      </c>
      <c r="M163" t="str">
        <f t="shared" si="6"/>
        <v/>
      </c>
      <c r="N163" t="str">
        <f t="shared" si="7"/>
        <v/>
      </c>
      <c r="O163" t="str">
        <f t="shared" si="8"/>
        <v/>
      </c>
      <c r="P163" t="str">
        <f t="shared" si="9"/>
        <v/>
      </c>
      <c r="Q163" t="str">
        <f t="shared" si="10"/>
        <v/>
      </c>
      <c r="R163" t="str">
        <f t="shared" si="11"/>
        <v/>
      </c>
      <c r="S163" t="str">
        <f t="shared" si="12"/>
        <v/>
      </c>
      <c r="T163" t="str">
        <f t="shared" si="13"/>
        <v/>
      </c>
      <c r="U163" t="str">
        <f t="shared" si="14"/>
        <v/>
      </c>
      <c r="V163" t="str">
        <f t="shared" si="15"/>
        <v/>
      </c>
      <c r="W163" t="str">
        <f t="shared" si="16"/>
        <v/>
      </c>
      <c r="X163" t="str">
        <f t="shared" si="17"/>
        <v/>
      </c>
      <c r="Y163" t="str">
        <f t="shared" si="18"/>
        <v/>
      </c>
      <c r="Z163" t="str">
        <f t="shared" si="19"/>
        <v/>
      </c>
      <c r="AA163" t="str">
        <f t="shared" si="20"/>
        <v/>
      </c>
      <c r="AB163" t="str">
        <f t="shared" si="21"/>
        <v/>
      </c>
      <c r="AC163" t="str">
        <f t="shared" si="22"/>
        <v/>
      </c>
      <c r="AD163" t="str">
        <f t="shared" si="23"/>
        <v/>
      </c>
      <c r="AE163" t="str">
        <f t="shared" si="24"/>
        <v/>
      </c>
      <c r="AF163" t="str">
        <f t="shared" si="25"/>
        <v/>
      </c>
      <c r="AG163" t="str">
        <f t="shared" si="26"/>
        <v/>
      </c>
      <c r="AH163" s="65" t="str">
        <f t="array" ref="AH163">if(sum(H163:AG163)=0,,sum(sort(TRANSPOSE(H163:AG163),1,false)))</f>
        <v/>
      </c>
    </row>
    <row r="164" hidden="1">
      <c r="F164" s="4">
        <v>32.0</v>
      </c>
      <c r="H164" t="str">
        <f t="shared" si="1"/>
        <v/>
      </c>
      <c r="I164" t="str">
        <f t="shared" si="2"/>
        <v/>
      </c>
      <c r="J164" t="str">
        <f t="shared" si="3"/>
        <v/>
      </c>
      <c r="K164" t="str">
        <f t="shared" si="4"/>
        <v/>
      </c>
      <c r="L164" t="str">
        <f t="shared" si="5"/>
        <v/>
      </c>
      <c r="M164" t="str">
        <f t="shared" si="6"/>
        <v/>
      </c>
      <c r="N164" t="str">
        <f t="shared" si="7"/>
        <v/>
      </c>
      <c r="O164" t="str">
        <f t="shared" si="8"/>
        <v/>
      </c>
      <c r="P164" t="str">
        <f t="shared" si="9"/>
        <v/>
      </c>
      <c r="Q164" t="str">
        <f t="shared" si="10"/>
        <v/>
      </c>
      <c r="R164" t="str">
        <f t="shared" si="11"/>
        <v/>
      </c>
      <c r="S164" t="str">
        <f t="shared" si="12"/>
        <v/>
      </c>
      <c r="T164" t="str">
        <f t="shared" si="13"/>
        <v/>
      </c>
      <c r="U164" t="str">
        <f t="shared" si="14"/>
        <v/>
      </c>
      <c r="V164" t="str">
        <f t="shared" si="15"/>
        <v/>
      </c>
      <c r="W164" t="str">
        <f t="shared" si="16"/>
        <v/>
      </c>
      <c r="X164" t="str">
        <f t="shared" si="17"/>
        <v/>
      </c>
      <c r="Y164" t="str">
        <f t="shared" si="18"/>
        <v/>
      </c>
      <c r="Z164" t="str">
        <f t="shared" si="19"/>
        <v/>
      </c>
      <c r="AA164" t="str">
        <f t="shared" si="20"/>
        <v/>
      </c>
      <c r="AB164" t="str">
        <f t="shared" si="21"/>
        <v/>
      </c>
      <c r="AC164" t="str">
        <f t="shared" si="22"/>
        <v/>
      </c>
      <c r="AD164" t="str">
        <f t="shared" si="23"/>
        <v/>
      </c>
      <c r="AE164" t="str">
        <f t="shared" si="24"/>
        <v/>
      </c>
      <c r="AF164" t="str">
        <f t="shared" si="25"/>
        <v/>
      </c>
      <c r="AG164" t="str">
        <f t="shared" si="26"/>
        <v/>
      </c>
      <c r="AH164" s="65" t="str">
        <f t="array" ref="AH164">if(sum(H164:AG164)=0,,sum(sort(TRANSPOSE(H164:AG164),1,false)))</f>
        <v/>
      </c>
    </row>
    <row r="165" hidden="1">
      <c r="F165" s="4">
        <v>33.0</v>
      </c>
      <c r="H165" t="str">
        <f t="shared" si="1"/>
        <v/>
      </c>
      <c r="I165" t="str">
        <f t="shared" si="2"/>
        <v/>
      </c>
      <c r="J165" t="str">
        <f t="shared" si="3"/>
        <v/>
      </c>
      <c r="K165" t="str">
        <f t="shared" si="4"/>
        <v/>
      </c>
      <c r="L165" t="str">
        <f t="shared" si="5"/>
        <v/>
      </c>
      <c r="M165" t="str">
        <f t="shared" si="6"/>
        <v/>
      </c>
      <c r="N165" t="str">
        <f t="shared" si="7"/>
        <v/>
      </c>
      <c r="O165" t="str">
        <f t="shared" si="8"/>
        <v/>
      </c>
      <c r="P165" t="str">
        <f t="shared" si="9"/>
        <v/>
      </c>
      <c r="Q165" t="str">
        <f t="shared" si="10"/>
        <v/>
      </c>
      <c r="R165" t="str">
        <f t="shared" si="11"/>
        <v/>
      </c>
      <c r="S165" t="str">
        <f t="shared" si="12"/>
        <v/>
      </c>
      <c r="T165" t="str">
        <f t="shared" si="13"/>
        <v/>
      </c>
      <c r="U165" t="str">
        <f t="shared" si="14"/>
        <v/>
      </c>
      <c r="V165" t="str">
        <f t="shared" si="15"/>
        <v/>
      </c>
      <c r="W165" t="str">
        <f t="shared" si="16"/>
        <v/>
      </c>
      <c r="X165" t="str">
        <f t="shared" si="17"/>
        <v/>
      </c>
      <c r="Y165" t="str">
        <f t="shared" si="18"/>
        <v/>
      </c>
      <c r="Z165" t="str">
        <f t="shared" si="19"/>
        <v/>
      </c>
      <c r="AA165" t="str">
        <f t="shared" si="20"/>
        <v/>
      </c>
      <c r="AB165" t="str">
        <f t="shared" si="21"/>
        <v/>
      </c>
      <c r="AC165" t="str">
        <f t="shared" si="22"/>
        <v/>
      </c>
      <c r="AD165" t="str">
        <f t="shared" si="23"/>
        <v/>
      </c>
      <c r="AE165" t="str">
        <f t="shared" si="24"/>
        <v/>
      </c>
      <c r="AF165" t="str">
        <f t="shared" si="25"/>
        <v/>
      </c>
      <c r="AG165" t="str">
        <f t="shared" si="26"/>
        <v/>
      </c>
      <c r="AH165" s="65" t="str">
        <f t="array" ref="AH165">if(sum(H165:AG165)=0,,sum(sort(TRANSPOSE(H165:AG165),1,false)))</f>
        <v/>
      </c>
    </row>
    <row r="166" hidden="1">
      <c r="F166" s="4">
        <v>34.0</v>
      </c>
      <c r="H166" t="str">
        <f t="shared" si="1"/>
        <v/>
      </c>
      <c r="I166" t="str">
        <f t="shared" si="2"/>
        <v/>
      </c>
      <c r="J166" t="str">
        <f t="shared" si="3"/>
        <v/>
      </c>
      <c r="K166" t="str">
        <f t="shared" si="4"/>
        <v/>
      </c>
      <c r="L166" t="str">
        <f t="shared" si="5"/>
        <v/>
      </c>
      <c r="M166" t="str">
        <f t="shared" si="6"/>
        <v/>
      </c>
      <c r="N166" t="str">
        <f t="shared" si="7"/>
        <v/>
      </c>
      <c r="O166" t="str">
        <f t="shared" si="8"/>
        <v/>
      </c>
      <c r="P166" t="str">
        <f t="shared" si="9"/>
        <v/>
      </c>
      <c r="Q166" t="str">
        <f t="shared" si="10"/>
        <v/>
      </c>
      <c r="R166" t="str">
        <f t="shared" si="11"/>
        <v/>
      </c>
      <c r="S166" t="str">
        <f t="shared" si="12"/>
        <v/>
      </c>
      <c r="T166" t="str">
        <f t="shared" si="13"/>
        <v/>
      </c>
      <c r="U166" t="str">
        <f t="shared" si="14"/>
        <v/>
      </c>
      <c r="V166" t="str">
        <f t="shared" si="15"/>
        <v/>
      </c>
      <c r="W166" t="str">
        <f t="shared" si="16"/>
        <v/>
      </c>
      <c r="X166" t="str">
        <f t="shared" si="17"/>
        <v/>
      </c>
      <c r="Y166" t="str">
        <f t="shared" si="18"/>
        <v/>
      </c>
      <c r="Z166" t="str">
        <f t="shared" si="19"/>
        <v/>
      </c>
      <c r="AA166" t="str">
        <f t="shared" si="20"/>
        <v/>
      </c>
      <c r="AB166" t="str">
        <f t="shared" si="21"/>
        <v/>
      </c>
      <c r="AC166" t="str">
        <f t="shared" si="22"/>
        <v/>
      </c>
      <c r="AD166" t="str">
        <f t="shared" si="23"/>
        <v/>
      </c>
      <c r="AE166" t="str">
        <f t="shared" si="24"/>
        <v/>
      </c>
      <c r="AF166" t="str">
        <f t="shared" si="25"/>
        <v/>
      </c>
      <c r="AG166" t="str">
        <f t="shared" si="26"/>
        <v/>
      </c>
      <c r="AH166" s="65" t="str">
        <f t="array" ref="AH166">if(sum(H166:AG166)=0,,sum(sort(TRANSPOSE(H166:AG166),1,false)))</f>
        <v/>
      </c>
    </row>
    <row r="167" hidden="1">
      <c r="F167" s="4">
        <v>35.0</v>
      </c>
      <c r="H167" t="str">
        <f t="shared" si="1"/>
        <v/>
      </c>
      <c r="I167" t="str">
        <f t="shared" si="2"/>
        <v/>
      </c>
      <c r="J167" t="str">
        <f t="shared" si="3"/>
        <v/>
      </c>
      <c r="K167" t="str">
        <f t="shared" si="4"/>
        <v/>
      </c>
      <c r="L167" t="str">
        <f t="shared" si="5"/>
        <v/>
      </c>
      <c r="M167" t="str">
        <f t="shared" si="6"/>
        <v/>
      </c>
      <c r="N167" t="str">
        <f t="shared" si="7"/>
        <v/>
      </c>
      <c r="O167" t="str">
        <f t="shared" si="8"/>
        <v/>
      </c>
      <c r="P167" t="str">
        <f t="shared" si="9"/>
        <v/>
      </c>
      <c r="Q167" t="str">
        <f t="shared" si="10"/>
        <v/>
      </c>
      <c r="R167" t="str">
        <f t="shared" si="11"/>
        <v/>
      </c>
      <c r="S167" t="str">
        <f t="shared" si="12"/>
        <v/>
      </c>
      <c r="T167" t="str">
        <f t="shared" si="13"/>
        <v/>
      </c>
      <c r="U167" t="str">
        <f t="shared" si="14"/>
        <v/>
      </c>
      <c r="V167" t="str">
        <f t="shared" si="15"/>
        <v/>
      </c>
      <c r="W167" t="str">
        <f t="shared" si="16"/>
        <v/>
      </c>
      <c r="X167" t="str">
        <f t="shared" si="17"/>
        <v/>
      </c>
      <c r="Y167" t="str">
        <f t="shared" si="18"/>
        <v/>
      </c>
      <c r="Z167" t="str">
        <f t="shared" si="19"/>
        <v/>
      </c>
      <c r="AA167" t="str">
        <f t="shared" si="20"/>
        <v/>
      </c>
      <c r="AB167" t="str">
        <f t="shared" si="21"/>
        <v/>
      </c>
      <c r="AC167" t="str">
        <f t="shared" si="22"/>
        <v/>
      </c>
      <c r="AD167" t="str">
        <f t="shared" si="23"/>
        <v/>
      </c>
      <c r="AE167" t="str">
        <f t="shared" si="24"/>
        <v/>
      </c>
      <c r="AF167" t="str">
        <f t="shared" si="25"/>
        <v/>
      </c>
      <c r="AG167" t="str">
        <f t="shared" si="26"/>
        <v/>
      </c>
      <c r="AH167" s="65" t="str">
        <f t="array" ref="AH167">if(sum(H167:AG167)=0,,sum(sort(TRANSPOSE(H167:AG167),1,false)))</f>
        <v/>
      </c>
    </row>
    <row r="168" hidden="1">
      <c r="F168" s="4">
        <v>36.0</v>
      </c>
      <c r="H168" t="str">
        <f t="shared" si="1"/>
        <v/>
      </c>
      <c r="I168" t="str">
        <f t="shared" si="2"/>
        <v/>
      </c>
      <c r="J168" t="str">
        <f t="shared" si="3"/>
        <v/>
      </c>
      <c r="K168" t="str">
        <f t="shared" si="4"/>
        <v/>
      </c>
      <c r="L168" t="str">
        <f t="shared" si="5"/>
        <v/>
      </c>
      <c r="M168" t="str">
        <f t="shared" si="6"/>
        <v/>
      </c>
      <c r="N168" t="str">
        <f t="shared" si="7"/>
        <v/>
      </c>
      <c r="O168" t="str">
        <f t="shared" si="8"/>
        <v/>
      </c>
      <c r="P168" t="str">
        <f t="shared" si="9"/>
        <v/>
      </c>
      <c r="Q168" t="str">
        <f t="shared" si="10"/>
        <v/>
      </c>
      <c r="R168" t="str">
        <f t="shared" si="11"/>
        <v/>
      </c>
      <c r="S168" t="str">
        <f t="shared" si="12"/>
        <v/>
      </c>
      <c r="T168" t="str">
        <f t="shared" si="13"/>
        <v/>
      </c>
      <c r="U168" t="str">
        <f t="shared" si="14"/>
        <v/>
      </c>
      <c r="V168" t="str">
        <f t="shared" si="15"/>
        <v/>
      </c>
      <c r="W168" t="str">
        <f t="shared" si="16"/>
        <v/>
      </c>
      <c r="X168" t="str">
        <f t="shared" si="17"/>
        <v/>
      </c>
      <c r="Y168" t="str">
        <f t="shared" si="18"/>
        <v/>
      </c>
      <c r="Z168" t="str">
        <f t="shared" si="19"/>
        <v/>
      </c>
      <c r="AA168" t="str">
        <f t="shared" si="20"/>
        <v/>
      </c>
      <c r="AB168" t="str">
        <f t="shared" si="21"/>
        <v/>
      </c>
      <c r="AC168" t="str">
        <f t="shared" si="22"/>
        <v/>
      </c>
      <c r="AD168" t="str">
        <f t="shared" si="23"/>
        <v/>
      </c>
      <c r="AE168" t="str">
        <f t="shared" si="24"/>
        <v/>
      </c>
      <c r="AF168" t="str">
        <f t="shared" si="25"/>
        <v/>
      </c>
      <c r="AG168" t="str">
        <f t="shared" si="26"/>
        <v/>
      </c>
      <c r="AH168" s="65" t="str">
        <f t="array" ref="AH168">if(sum(H168:AG168)=0,,sum(sort(TRANSPOSE(H168:AG168),1,false)))</f>
        <v/>
      </c>
    </row>
    <row r="169" hidden="1">
      <c r="F169" s="4">
        <v>37.0</v>
      </c>
      <c r="H169" t="str">
        <f t="shared" si="1"/>
        <v/>
      </c>
      <c r="I169" t="str">
        <f t="shared" si="2"/>
        <v/>
      </c>
      <c r="J169" t="str">
        <f t="shared" si="3"/>
        <v/>
      </c>
      <c r="K169" t="str">
        <f t="shared" si="4"/>
        <v/>
      </c>
      <c r="L169" t="str">
        <f t="shared" si="5"/>
        <v/>
      </c>
      <c r="M169" t="str">
        <f t="shared" si="6"/>
        <v/>
      </c>
      <c r="N169" t="str">
        <f t="shared" si="7"/>
        <v/>
      </c>
      <c r="O169" t="str">
        <f t="shared" si="8"/>
        <v/>
      </c>
      <c r="P169" t="str">
        <f t="shared" si="9"/>
        <v/>
      </c>
      <c r="Q169" t="str">
        <f t="shared" si="10"/>
        <v/>
      </c>
      <c r="R169" t="str">
        <f t="shared" si="11"/>
        <v/>
      </c>
      <c r="S169" t="str">
        <f t="shared" si="12"/>
        <v/>
      </c>
      <c r="T169" t="str">
        <f t="shared" si="13"/>
        <v/>
      </c>
      <c r="U169" t="str">
        <f t="shared" si="14"/>
        <v/>
      </c>
      <c r="V169" t="str">
        <f t="shared" si="15"/>
        <v/>
      </c>
      <c r="W169" t="str">
        <f t="shared" si="16"/>
        <v/>
      </c>
      <c r="X169" t="str">
        <f t="shared" si="17"/>
        <v/>
      </c>
      <c r="Y169" t="str">
        <f t="shared" si="18"/>
        <v/>
      </c>
      <c r="Z169" t="str">
        <f t="shared" si="19"/>
        <v/>
      </c>
      <c r="AA169" t="str">
        <f t="shared" si="20"/>
        <v/>
      </c>
      <c r="AB169" t="str">
        <f t="shared" si="21"/>
        <v/>
      </c>
      <c r="AC169" t="str">
        <f t="shared" si="22"/>
        <v/>
      </c>
      <c r="AD169" t="str">
        <f t="shared" si="23"/>
        <v/>
      </c>
      <c r="AE169" t="str">
        <f t="shared" si="24"/>
        <v/>
      </c>
      <c r="AF169" t="str">
        <f t="shared" si="25"/>
        <v/>
      </c>
      <c r="AG169" t="str">
        <f t="shared" si="26"/>
        <v/>
      </c>
      <c r="AH169" s="65" t="str">
        <f t="array" ref="AH169">if(sum(H169:AG169)=0,,sum(sort(TRANSPOSE(H169:AG169),1,false)))</f>
        <v/>
      </c>
    </row>
    <row r="170" hidden="1">
      <c r="F170" s="4">
        <v>38.0</v>
      </c>
      <c r="H170" t="str">
        <f t="shared" si="1"/>
        <v/>
      </c>
      <c r="I170" t="str">
        <f t="shared" si="2"/>
        <v/>
      </c>
      <c r="J170" t="str">
        <f t="shared" si="3"/>
        <v/>
      </c>
      <c r="K170" t="str">
        <f t="shared" si="4"/>
        <v/>
      </c>
      <c r="L170" t="str">
        <f t="shared" si="5"/>
        <v/>
      </c>
      <c r="M170" t="str">
        <f t="shared" si="6"/>
        <v/>
      </c>
      <c r="N170" t="str">
        <f t="shared" si="7"/>
        <v/>
      </c>
      <c r="O170" t="str">
        <f t="shared" si="8"/>
        <v/>
      </c>
      <c r="P170" t="str">
        <f t="shared" si="9"/>
        <v/>
      </c>
      <c r="Q170" t="str">
        <f t="shared" si="10"/>
        <v/>
      </c>
      <c r="R170" t="str">
        <f t="shared" si="11"/>
        <v/>
      </c>
      <c r="S170" t="str">
        <f t="shared" si="12"/>
        <v/>
      </c>
      <c r="T170" t="str">
        <f t="shared" si="13"/>
        <v/>
      </c>
      <c r="U170" t="str">
        <f t="shared" si="14"/>
        <v/>
      </c>
      <c r="V170" t="str">
        <f t="shared" si="15"/>
        <v/>
      </c>
      <c r="W170" t="str">
        <f t="shared" si="16"/>
        <v/>
      </c>
      <c r="X170" t="str">
        <f t="shared" si="17"/>
        <v/>
      </c>
      <c r="Y170" t="str">
        <f t="shared" si="18"/>
        <v/>
      </c>
      <c r="Z170" t="str">
        <f t="shared" si="19"/>
        <v/>
      </c>
      <c r="AA170" t="str">
        <f t="shared" si="20"/>
        <v/>
      </c>
      <c r="AB170" t="str">
        <f t="shared" si="21"/>
        <v/>
      </c>
      <c r="AC170" t="str">
        <f t="shared" si="22"/>
        <v/>
      </c>
      <c r="AD170" t="str">
        <f t="shared" si="23"/>
        <v/>
      </c>
      <c r="AE170" t="str">
        <f t="shared" si="24"/>
        <v/>
      </c>
      <c r="AF170" t="str">
        <f t="shared" si="25"/>
        <v/>
      </c>
      <c r="AG170" t="str">
        <f t="shared" si="26"/>
        <v/>
      </c>
      <c r="AH170" s="65" t="str">
        <f t="array" ref="AH170">if(sum(H170:AG170)=0,,sum(sort(TRANSPOSE(H170:AG170),1,false)))</f>
        <v/>
      </c>
    </row>
    <row r="171" hidden="1">
      <c r="F171" s="4">
        <v>39.0</v>
      </c>
      <c r="H171" t="str">
        <f t="shared" si="1"/>
        <v/>
      </c>
      <c r="I171" t="str">
        <f t="shared" si="2"/>
        <v/>
      </c>
      <c r="J171" t="str">
        <f t="shared" si="3"/>
        <v/>
      </c>
      <c r="K171" t="str">
        <f t="shared" si="4"/>
        <v/>
      </c>
      <c r="L171" t="str">
        <f t="shared" si="5"/>
        <v/>
      </c>
      <c r="M171" t="str">
        <f t="shared" si="6"/>
        <v/>
      </c>
      <c r="N171" t="str">
        <f t="shared" si="7"/>
        <v/>
      </c>
      <c r="O171" t="str">
        <f t="shared" si="8"/>
        <v/>
      </c>
      <c r="P171" t="str">
        <f t="shared" si="9"/>
        <v/>
      </c>
      <c r="Q171" t="str">
        <f t="shared" si="10"/>
        <v/>
      </c>
      <c r="R171" t="str">
        <f t="shared" si="11"/>
        <v/>
      </c>
      <c r="S171" t="str">
        <f t="shared" si="12"/>
        <v/>
      </c>
      <c r="T171" t="str">
        <f t="shared" si="13"/>
        <v/>
      </c>
      <c r="U171" t="str">
        <f t="shared" si="14"/>
        <v/>
      </c>
      <c r="V171" t="str">
        <f t="shared" si="15"/>
        <v/>
      </c>
      <c r="W171" t="str">
        <f t="shared" si="16"/>
        <v/>
      </c>
      <c r="X171" t="str">
        <f t="shared" si="17"/>
        <v/>
      </c>
      <c r="Y171" t="str">
        <f t="shared" si="18"/>
        <v/>
      </c>
      <c r="Z171" t="str">
        <f t="shared" si="19"/>
        <v/>
      </c>
      <c r="AA171" t="str">
        <f t="shared" si="20"/>
        <v/>
      </c>
      <c r="AB171" t="str">
        <f t="shared" si="21"/>
        <v/>
      </c>
      <c r="AC171" t="str">
        <f t="shared" si="22"/>
        <v/>
      </c>
      <c r="AD171" t="str">
        <f t="shared" si="23"/>
        <v/>
      </c>
      <c r="AE171" t="str">
        <f t="shared" si="24"/>
        <v/>
      </c>
      <c r="AF171" t="str">
        <f t="shared" si="25"/>
        <v/>
      </c>
      <c r="AG171" t="str">
        <f t="shared" si="26"/>
        <v/>
      </c>
      <c r="AH171" s="65" t="str">
        <f t="array" ref="AH171">if(sum(H171:AG171)=0,,sum(sort(TRANSPOSE(H171:AG171),1,false)))</f>
        <v/>
      </c>
    </row>
    <row r="172" hidden="1">
      <c r="F172" s="4">
        <v>40.0</v>
      </c>
      <c r="H172" t="str">
        <f t="shared" si="1"/>
        <v/>
      </c>
      <c r="I172" t="str">
        <f t="shared" si="2"/>
        <v/>
      </c>
      <c r="J172" t="str">
        <f t="shared" si="3"/>
        <v/>
      </c>
      <c r="K172" t="str">
        <f t="shared" si="4"/>
        <v/>
      </c>
      <c r="L172" t="str">
        <f t="shared" si="5"/>
        <v/>
      </c>
      <c r="M172" t="str">
        <f t="shared" si="6"/>
        <v/>
      </c>
      <c r="N172" t="str">
        <f t="shared" si="7"/>
        <v/>
      </c>
      <c r="O172" t="str">
        <f t="shared" si="8"/>
        <v/>
      </c>
      <c r="P172" t="str">
        <f t="shared" si="9"/>
        <v/>
      </c>
      <c r="Q172" t="str">
        <f t="shared" si="10"/>
        <v/>
      </c>
      <c r="R172" t="str">
        <f t="shared" si="11"/>
        <v/>
      </c>
      <c r="S172" t="str">
        <f t="shared" si="12"/>
        <v/>
      </c>
      <c r="T172" t="str">
        <f t="shared" si="13"/>
        <v/>
      </c>
      <c r="U172" t="str">
        <f t="shared" si="14"/>
        <v/>
      </c>
      <c r="V172" t="str">
        <f t="shared" si="15"/>
        <v/>
      </c>
      <c r="W172" t="str">
        <f t="shared" si="16"/>
        <v/>
      </c>
      <c r="X172" t="str">
        <f t="shared" si="17"/>
        <v/>
      </c>
      <c r="Y172" t="str">
        <f t="shared" si="18"/>
        <v/>
      </c>
      <c r="Z172" t="str">
        <f t="shared" si="19"/>
        <v/>
      </c>
      <c r="AA172" t="str">
        <f t="shared" si="20"/>
        <v/>
      </c>
      <c r="AB172" t="str">
        <f t="shared" si="21"/>
        <v/>
      </c>
      <c r="AC172" t="str">
        <f t="shared" si="22"/>
        <v/>
      </c>
      <c r="AD172" t="str">
        <f t="shared" si="23"/>
        <v/>
      </c>
      <c r="AE172" t="str">
        <f t="shared" si="24"/>
        <v/>
      </c>
      <c r="AF172" t="str">
        <f t="shared" si="25"/>
        <v/>
      </c>
      <c r="AG172" t="str">
        <f t="shared" si="26"/>
        <v/>
      </c>
      <c r="AH172" s="65" t="str">
        <f t="array" ref="AH172">if(sum(H172:AG172)=0,,sum(sort(TRANSPOSE(H172:AG172),1,false)))</f>
        <v/>
      </c>
    </row>
    <row r="173" hidden="1">
      <c r="F173" s="4">
        <v>41.0</v>
      </c>
      <c r="H173" t="str">
        <f t="shared" si="1"/>
        <v/>
      </c>
      <c r="I173" t="str">
        <f t="shared" si="2"/>
        <v/>
      </c>
      <c r="J173" t="str">
        <f t="shared" si="3"/>
        <v/>
      </c>
      <c r="K173" t="str">
        <f t="shared" si="4"/>
        <v/>
      </c>
      <c r="L173" t="str">
        <f t="shared" si="5"/>
        <v/>
      </c>
      <c r="M173" t="str">
        <f t="shared" si="6"/>
        <v/>
      </c>
      <c r="N173" t="str">
        <f t="shared" si="7"/>
        <v/>
      </c>
      <c r="O173" t="str">
        <f t="shared" si="8"/>
        <v/>
      </c>
      <c r="P173" t="str">
        <f t="shared" si="9"/>
        <v/>
      </c>
      <c r="Q173" t="str">
        <f t="shared" si="10"/>
        <v/>
      </c>
      <c r="R173" t="str">
        <f t="shared" si="11"/>
        <v/>
      </c>
      <c r="S173" t="str">
        <f t="shared" si="12"/>
        <v/>
      </c>
      <c r="T173" t="str">
        <f t="shared" si="13"/>
        <v/>
      </c>
      <c r="U173" t="str">
        <f t="shared" si="14"/>
        <v/>
      </c>
      <c r="V173" t="str">
        <f t="shared" si="15"/>
        <v/>
      </c>
      <c r="W173" t="str">
        <f t="shared" si="16"/>
        <v/>
      </c>
      <c r="X173" t="str">
        <f t="shared" si="17"/>
        <v/>
      </c>
      <c r="Y173" t="str">
        <f t="shared" si="18"/>
        <v/>
      </c>
      <c r="Z173" t="str">
        <f t="shared" si="19"/>
        <v/>
      </c>
      <c r="AA173" t="str">
        <f t="shared" si="20"/>
        <v/>
      </c>
      <c r="AB173" t="str">
        <f t="shared" si="21"/>
        <v/>
      </c>
      <c r="AC173" t="str">
        <f t="shared" si="22"/>
        <v/>
      </c>
      <c r="AD173" t="str">
        <f t="shared" si="23"/>
        <v/>
      </c>
      <c r="AE173" t="str">
        <f t="shared" si="24"/>
        <v/>
      </c>
      <c r="AF173" t="str">
        <f t="shared" si="25"/>
        <v/>
      </c>
      <c r="AG173" t="str">
        <f t="shared" si="26"/>
        <v/>
      </c>
      <c r="AH173" s="65" t="str">
        <f t="array" ref="AH173">if(sum(H173:AG173)=0,,sum(sort(TRANSPOSE(H173:AG173),1,false)))</f>
        <v/>
      </c>
    </row>
    <row r="174" hidden="1">
      <c r="F174" s="4">
        <v>42.0</v>
      </c>
      <c r="H174" t="str">
        <f t="shared" si="1"/>
        <v/>
      </c>
      <c r="I174" t="str">
        <f t="shared" si="2"/>
        <v/>
      </c>
      <c r="J174" t="str">
        <f t="shared" si="3"/>
        <v/>
      </c>
      <c r="K174" t="str">
        <f t="shared" si="4"/>
        <v/>
      </c>
      <c r="L174" t="str">
        <f t="shared" si="5"/>
        <v/>
      </c>
      <c r="M174" t="str">
        <f t="shared" si="6"/>
        <v/>
      </c>
      <c r="N174" t="str">
        <f t="shared" si="7"/>
        <v/>
      </c>
      <c r="O174" t="str">
        <f t="shared" si="8"/>
        <v/>
      </c>
      <c r="P174" t="str">
        <f t="shared" si="9"/>
        <v/>
      </c>
      <c r="Q174" t="str">
        <f t="shared" si="10"/>
        <v/>
      </c>
      <c r="R174" t="str">
        <f t="shared" si="11"/>
        <v/>
      </c>
      <c r="S174" t="str">
        <f t="shared" si="12"/>
        <v/>
      </c>
      <c r="T174" t="str">
        <f t="shared" si="13"/>
        <v/>
      </c>
      <c r="U174" t="str">
        <f t="shared" si="14"/>
        <v/>
      </c>
      <c r="V174" t="str">
        <f t="shared" si="15"/>
        <v/>
      </c>
      <c r="W174" t="str">
        <f t="shared" si="16"/>
        <v/>
      </c>
      <c r="X174" t="str">
        <f t="shared" si="17"/>
        <v/>
      </c>
      <c r="Y174" t="str">
        <f t="shared" si="18"/>
        <v/>
      </c>
      <c r="Z174" t="str">
        <f t="shared" si="19"/>
        <v/>
      </c>
      <c r="AA174" t="str">
        <f t="shared" si="20"/>
        <v/>
      </c>
      <c r="AB174" t="str">
        <f t="shared" si="21"/>
        <v/>
      </c>
      <c r="AC174" t="str">
        <f t="shared" si="22"/>
        <v/>
      </c>
      <c r="AD174" t="str">
        <f t="shared" si="23"/>
        <v/>
      </c>
      <c r="AE174" t="str">
        <f t="shared" si="24"/>
        <v/>
      </c>
      <c r="AF174" t="str">
        <f t="shared" si="25"/>
        <v/>
      </c>
      <c r="AG174" t="str">
        <f t="shared" si="26"/>
        <v/>
      </c>
      <c r="AH174" s="65" t="str">
        <f t="array" ref="AH174">if(sum(H174:AG174)=0,,sum(sort(TRANSPOSE(H174:AG174),1,false)))</f>
        <v/>
      </c>
    </row>
    <row r="175" hidden="1">
      <c r="F175" s="4">
        <v>43.0</v>
      </c>
      <c r="H175" t="str">
        <f t="shared" si="1"/>
        <v/>
      </c>
      <c r="I175" t="str">
        <f t="shared" si="2"/>
        <v/>
      </c>
      <c r="J175" t="str">
        <f t="shared" si="3"/>
        <v/>
      </c>
      <c r="K175" t="str">
        <f t="shared" si="4"/>
        <v/>
      </c>
      <c r="L175" t="str">
        <f t="shared" si="5"/>
        <v/>
      </c>
      <c r="M175" t="str">
        <f t="shared" si="6"/>
        <v/>
      </c>
      <c r="N175" t="str">
        <f t="shared" si="7"/>
        <v/>
      </c>
      <c r="O175" t="str">
        <f t="shared" si="8"/>
        <v/>
      </c>
      <c r="P175" t="str">
        <f t="shared" si="9"/>
        <v/>
      </c>
      <c r="Q175" t="str">
        <f t="shared" si="10"/>
        <v/>
      </c>
      <c r="R175" t="str">
        <f t="shared" si="11"/>
        <v/>
      </c>
      <c r="S175" t="str">
        <f t="shared" si="12"/>
        <v/>
      </c>
      <c r="T175" t="str">
        <f t="shared" si="13"/>
        <v/>
      </c>
      <c r="U175" t="str">
        <f t="shared" si="14"/>
        <v/>
      </c>
      <c r="V175" t="str">
        <f t="shared" si="15"/>
        <v/>
      </c>
      <c r="W175" t="str">
        <f t="shared" si="16"/>
        <v/>
      </c>
      <c r="X175" t="str">
        <f t="shared" si="17"/>
        <v/>
      </c>
      <c r="Y175" t="str">
        <f t="shared" si="18"/>
        <v/>
      </c>
      <c r="Z175" t="str">
        <f t="shared" si="19"/>
        <v/>
      </c>
      <c r="AA175" t="str">
        <f t="shared" si="20"/>
        <v/>
      </c>
      <c r="AB175" t="str">
        <f t="shared" si="21"/>
        <v/>
      </c>
      <c r="AC175" t="str">
        <f t="shared" si="22"/>
        <v/>
      </c>
      <c r="AD175" t="str">
        <f t="shared" si="23"/>
        <v/>
      </c>
      <c r="AE175" t="str">
        <f t="shared" si="24"/>
        <v/>
      </c>
      <c r="AF175" t="str">
        <f t="shared" si="25"/>
        <v/>
      </c>
      <c r="AG175" t="str">
        <f t="shared" si="26"/>
        <v/>
      </c>
      <c r="AH175" s="65" t="str">
        <f t="array" ref="AH175">if(sum(H175:AG175)=0,,sum(sort(TRANSPOSE(H175:AG175),1,false)))</f>
        <v/>
      </c>
    </row>
    <row r="176" hidden="1">
      <c r="F176" s="4">
        <v>44.0</v>
      </c>
      <c r="H176" t="str">
        <f t="shared" si="1"/>
        <v/>
      </c>
      <c r="I176" t="str">
        <f t="shared" si="2"/>
        <v/>
      </c>
      <c r="J176" t="str">
        <f t="shared" si="3"/>
        <v/>
      </c>
      <c r="K176" t="str">
        <f t="shared" si="4"/>
        <v/>
      </c>
      <c r="L176" t="str">
        <f t="shared" si="5"/>
        <v/>
      </c>
      <c r="M176" t="str">
        <f t="shared" si="6"/>
        <v/>
      </c>
      <c r="N176" t="str">
        <f t="shared" si="7"/>
        <v/>
      </c>
      <c r="O176" t="str">
        <f t="shared" si="8"/>
        <v/>
      </c>
      <c r="P176" t="str">
        <f t="shared" si="9"/>
        <v/>
      </c>
      <c r="Q176" t="str">
        <f t="shared" si="10"/>
        <v/>
      </c>
      <c r="R176" t="str">
        <f t="shared" si="11"/>
        <v/>
      </c>
      <c r="S176" t="str">
        <f t="shared" si="12"/>
        <v/>
      </c>
      <c r="T176" t="str">
        <f t="shared" si="13"/>
        <v/>
      </c>
      <c r="U176" t="str">
        <f t="shared" si="14"/>
        <v/>
      </c>
      <c r="V176" t="str">
        <f t="shared" si="15"/>
        <v/>
      </c>
      <c r="W176" t="str">
        <f t="shared" si="16"/>
        <v/>
      </c>
      <c r="X176" t="str">
        <f t="shared" si="17"/>
        <v/>
      </c>
      <c r="Y176" t="str">
        <f t="shared" si="18"/>
        <v/>
      </c>
      <c r="Z176" t="str">
        <f t="shared" si="19"/>
        <v/>
      </c>
      <c r="AA176" t="str">
        <f t="shared" si="20"/>
        <v/>
      </c>
      <c r="AB176" t="str">
        <f t="shared" si="21"/>
        <v/>
      </c>
      <c r="AC176" t="str">
        <f t="shared" si="22"/>
        <v/>
      </c>
      <c r="AD176" t="str">
        <f t="shared" si="23"/>
        <v/>
      </c>
      <c r="AE176" t="str">
        <f t="shared" si="24"/>
        <v/>
      </c>
      <c r="AF176" t="str">
        <f t="shared" si="25"/>
        <v/>
      </c>
      <c r="AG176" t="str">
        <f t="shared" si="26"/>
        <v/>
      </c>
      <c r="AH176" s="65" t="str">
        <f t="array" ref="AH176">if(sum(H176:AG176)=0,,sum(sort(TRANSPOSE(H176:AG176),1,false)))</f>
        <v/>
      </c>
    </row>
    <row r="177" hidden="1">
      <c r="F177" s="4">
        <v>45.0</v>
      </c>
      <c r="H177" t="str">
        <f t="shared" si="1"/>
        <v/>
      </c>
      <c r="I177" t="str">
        <f t="shared" si="2"/>
        <v/>
      </c>
      <c r="J177" t="str">
        <f t="shared" si="3"/>
        <v/>
      </c>
      <c r="K177" t="str">
        <f t="shared" si="4"/>
        <v/>
      </c>
      <c r="L177" t="str">
        <f t="shared" si="5"/>
        <v/>
      </c>
      <c r="M177" t="str">
        <f t="shared" si="6"/>
        <v/>
      </c>
      <c r="N177" t="str">
        <f t="shared" si="7"/>
        <v/>
      </c>
      <c r="O177" t="str">
        <f t="shared" si="8"/>
        <v/>
      </c>
      <c r="P177" t="str">
        <f t="shared" si="9"/>
        <v/>
      </c>
      <c r="Q177" t="str">
        <f t="shared" si="10"/>
        <v/>
      </c>
      <c r="R177" t="str">
        <f t="shared" si="11"/>
        <v/>
      </c>
      <c r="S177" t="str">
        <f t="shared" si="12"/>
        <v/>
      </c>
      <c r="T177" t="str">
        <f t="shared" si="13"/>
        <v/>
      </c>
      <c r="U177" t="str">
        <f t="shared" si="14"/>
        <v/>
      </c>
      <c r="V177" t="str">
        <f t="shared" si="15"/>
        <v/>
      </c>
      <c r="W177" t="str">
        <f t="shared" si="16"/>
        <v/>
      </c>
      <c r="X177" t="str">
        <f t="shared" si="17"/>
        <v/>
      </c>
      <c r="Y177" t="str">
        <f t="shared" si="18"/>
        <v/>
      </c>
      <c r="Z177" t="str">
        <f t="shared" si="19"/>
        <v/>
      </c>
      <c r="AA177" t="str">
        <f t="shared" si="20"/>
        <v/>
      </c>
      <c r="AB177" t="str">
        <f t="shared" si="21"/>
        <v/>
      </c>
      <c r="AC177" t="str">
        <f t="shared" si="22"/>
        <v/>
      </c>
      <c r="AD177" t="str">
        <f t="shared" si="23"/>
        <v/>
      </c>
      <c r="AE177" t="str">
        <f t="shared" si="24"/>
        <v/>
      </c>
      <c r="AF177" t="str">
        <f t="shared" si="25"/>
        <v/>
      </c>
      <c r="AG177" t="str">
        <f t="shared" si="26"/>
        <v/>
      </c>
      <c r="AH177" s="65" t="str">
        <f t="array" ref="AH177">if(sum(H177:AG177)=0,,sum(sort(TRANSPOSE(H177:AG177),1,false)))</f>
        <v/>
      </c>
    </row>
    <row r="178" hidden="1">
      <c r="F178" s="4">
        <v>46.0</v>
      </c>
      <c r="H178" t="str">
        <f t="shared" si="1"/>
        <v/>
      </c>
      <c r="I178" t="str">
        <f t="shared" si="2"/>
        <v/>
      </c>
      <c r="J178" t="str">
        <f t="shared" si="3"/>
        <v/>
      </c>
      <c r="K178" t="str">
        <f t="shared" si="4"/>
        <v/>
      </c>
      <c r="L178" t="str">
        <f t="shared" si="5"/>
        <v/>
      </c>
      <c r="M178" t="str">
        <f t="shared" si="6"/>
        <v/>
      </c>
      <c r="N178" t="str">
        <f t="shared" si="7"/>
        <v/>
      </c>
      <c r="O178" t="str">
        <f t="shared" si="8"/>
        <v/>
      </c>
      <c r="P178" t="str">
        <f t="shared" si="9"/>
        <v/>
      </c>
      <c r="Q178" t="str">
        <f t="shared" si="10"/>
        <v/>
      </c>
      <c r="R178" t="str">
        <f t="shared" si="11"/>
        <v/>
      </c>
      <c r="S178" t="str">
        <f t="shared" si="12"/>
        <v/>
      </c>
      <c r="T178" t="str">
        <f t="shared" si="13"/>
        <v/>
      </c>
      <c r="U178" t="str">
        <f t="shared" si="14"/>
        <v/>
      </c>
      <c r="V178" t="str">
        <f t="shared" si="15"/>
        <v/>
      </c>
      <c r="W178" t="str">
        <f t="shared" si="16"/>
        <v/>
      </c>
      <c r="X178" t="str">
        <f t="shared" si="17"/>
        <v/>
      </c>
      <c r="Y178" t="str">
        <f t="shared" si="18"/>
        <v/>
      </c>
      <c r="Z178" t="str">
        <f t="shared" si="19"/>
        <v/>
      </c>
      <c r="AA178" t="str">
        <f t="shared" si="20"/>
        <v/>
      </c>
      <c r="AB178" t="str">
        <f t="shared" si="21"/>
        <v/>
      </c>
      <c r="AC178" t="str">
        <f t="shared" si="22"/>
        <v/>
      </c>
      <c r="AD178" t="str">
        <f t="shared" si="23"/>
        <v/>
      </c>
      <c r="AE178" t="str">
        <f t="shared" si="24"/>
        <v/>
      </c>
      <c r="AF178" t="str">
        <f t="shared" si="25"/>
        <v/>
      </c>
      <c r="AG178" t="str">
        <f t="shared" si="26"/>
        <v/>
      </c>
      <c r="AH178" s="65" t="str">
        <f t="array" ref="AH178">if(sum(H178:AG178)=0,,sum(sort(TRANSPOSE(H178:AG178),1,false)))</f>
        <v/>
      </c>
    </row>
    <row r="179" hidden="1">
      <c r="F179" s="4">
        <v>47.0</v>
      </c>
      <c r="H179" t="str">
        <f t="shared" si="1"/>
        <v/>
      </c>
      <c r="I179" t="str">
        <f t="shared" si="2"/>
        <v/>
      </c>
      <c r="J179" t="str">
        <f t="shared" si="3"/>
        <v/>
      </c>
      <c r="K179" t="str">
        <f t="shared" si="4"/>
        <v/>
      </c>
      <c r="L179" t="str">
        <f t="shared" si="5"/>
        <v/>
      </c>
      <c r="M179" t="str">
        <f t="shared" si="6"/>
        <v/>
      </c>
      <c r="N179" t="str">
        <f t="shared" si="7"/>
        <v/>
      </c>
      <c r="O179" t="str">
        <f t="shared" si="8"/>
        <v/>
      </c>
      <c r="P179" t="str">
        <f t="shared" si="9"/>
        <v/>
      </c>
      <c r="Q179" t="str">
        <f t="shared" si="10"/>
        <v/>
      </c>
      <c r="R179" t="str">
        <f t="shared" si="11"/>
        <v/>
      </c>
      <c r="S179" t="str">
        <f t="shared" si="12"/>
        <v/>
      </c>
      <c r="T179" t="str">
        <f t="shared" si="13"/>
        <v/>
      </c>
      <c r="U179" t="str">
        <f t="shared" si="14"/>
        <v/>
      </c>
      <c r="V179" t="str">
        <f t="shared" si="15"/>
        <v/>
      </c>
      <c r="W179" t="str">
        <f t="shared" si="16"/>
        <v/>
      </c>
      <c r="X179" t="str">
        <f t="shared" si="17"/>
        <v/>
      </c>
      <c r="Y179" t="str">
        <f t="shared" si="18"/>
        <v/>
      </c>
      <c r="Z179" t="str">
        <f t="shared" si="19"/>
        <v/>
      </c>
      <c r="AA179" t="str">
        <f t="shared" si="20"/>
        <v/>
      </c>
      <c r="AB179" t="str">
        <f t="shared" si="21"/>
        <v/>
      </c>
      <c r="AC179" t="str">
        <f t="shared" si="22"/>
        <v/>
      </c>
      <c r="AD179" t="str">
        <f t="shared" si="23"/>
        <v/>
      </c>
      <c r="AE179" t="str">
        <f t="shared" si="24"/>
        <v/>
      </c>
      <c r="AF179" t="str">
        <f t="shared" si="25"/>
        <v/>
      </c>
      <c r="AG179" t="str">
        <f t="shared" si="26"/>
        <v/>
      </c>
      <c r="AH179" s="65" t="str">
        <f t="array" ref="AH179">if(sum(H179:AG179)=0,,sum(sort(TRANSPOSE(H179:AG179),1,false)))</f>
        <v/>
      </c>
    </row>
    <row r="180" hidden="1">
      <c r="F180" s="4">
        <v>48.0</v>
      </c>
      <c r="H180" t="str">
        <f t="shared" si="1"/>
        <v/>
      </c>
      <c r="I180" t="str">
        <f t="shared" si="2"/>
        <v/>
      </c>
      <c r="J180" t="str">
        <f t="shared" si="3"/>
        <v/>
      </c>
      <c r="K180" t="str">
        <f t="shared" si="4"/>
        <v/>
      </c>
      <c r="L180" t="str">
        <f t="shared" si="5"/>
        <v/>
      </c>
      <c r="M180" t="str">
        <f t="shared" si="6"/>
        <v/>
      </c>
      <c r="N180" t="str">
        <f t="shared" si="7"/>
        <v/>
      </c>
      <c r="O180" t="str">
        <f t="shared" si="8"/>
        <v/>
      </c>
      <c r="P180" t="str">
        <f t="shared" si="9"/>
        <v/>
      </c>
      <c r="Q180" t="str">
        <f t="shared" si="10"/>
        <v/>
      </c>
      <c r="R180" t="str">
        <f t="shared" si="11"/>
        <v/>
      </c>
      <c r="S180" t="str">
        <f t="shared" si="12"/>
        <v/>
      </c>
      <c r="T180" t="str">
        <f t="shared" si="13"/>
        <v/>
      </c>
      <c r="U180" t="str">
        <f t="shared" si="14"/>
        <v/>
      </c>
      <c r="V180" t="str">
        <f t="shared" si="15"/>
        <v/>
      </c>
      <c r="W180" t="str">
        <f t="shared" si="16"/>
        <v/>
      </c>
      <c r="X180" t="str">
        <f t="shared" si="17"/>
        <v/>
      </c>
      <c r="Y180" t="str">
        <f t="shared" si="18"/>
        <v/>
      </c>
      <c r="Z180" t="str">
        <f t="shared" si="19"/>
        <v/>
      </c>
      <c r="AA180" t="str">
        <f t="shared" si="20"/>
        <v/>
      </c>
      <c r="AB180" t="str">
        <f t="shared" si="21"/>
        <v/>
      </c>
      <c r="AC180" t="str">
        <f t="shared" si="22"/>
        <v/>
      </c>
      <c r="AD180" t="str">
        <f t="shared" si="23"/>
        <v/>
      </c>
      <c r="AE180" t="str">
        <f t="shared" si="24"/>
        <v/>
      </c>
      <c r="AF180" t="str">
        <f t="shared" si="25"/>
        <v/>
      </c>
      <c r="AG180" t="str">
        <f t="shared" si="26"/>
        <v/>
      </c>
      <c r="AH180" s="65" t="str">
        <f t="array" ref="AH180">if(sum(H180:AG180)=0,,sum(sort(TRANSPOSE(H180:AG180),1,false)))</f>
        <v/>
      </c>
    </row>
    <row r="181" hidden="1">
      <c r="F181" s="4">
        <v>49.0</v>
      </c>
      <c r="H181" t="str">
        <f t="shared" si="1"/>
        <v/>
      </c>
      <c r="I181" t="str">
        <f t="shared" si="2"/>
        <v/>
      </c>
      <c r="J181" t="str">
        <f t="shared" si="3"/>
        <v/>
      </c>
      <c r="K181" t="str">
        <f t="shared" si="4"/>
        <v/>
      </c>
      <c r="L181" t="str">
        <f t="shared" si="5"/>
        <v/>
      </c>
      <c r="M181" t="str">
        <f t="shared" si="6"/>
        <v/>
      </c>
      <c r="N181" t="str">
        <f t="shared" si="7"/>
        <v/>
      </c>
      <c r="O181" t="str">
        <f t="shared" si="8"/>
        <v/>
      </c>
      <c r="P181" t="str">
        <f t="shared" si="9"/>
        <v/>
      </c>
      <c r="Q181" t="str">
        <f t="shared" si="10"/>
        <v/>
      </c>
      <c r="R181" t="str">
        <f t="shared" si="11"/>
        <v/>
      </c>
      <c r="S181" t="str">
        <f t="shared" si="12"/>
        <v/>
      </c>
      <c r="T181" t="str">
        <f t="shared" si="13"/>
        <v/>
      </c>
      <c r="U181" t="str">
        <f t="shared" si="14"/>
        <v/>
      </c>
      <c r="V181" t="str">
        <f t="shared" si="15"/>
        <v/>
      </c>
      <c r="W181" t="str">
        <f t="shared" si="16"/>
        <v/>
      </c>
      <c r="X181" t="str">
        <f t="shared" si="17"/>
        <v/>
      </c>
      <c r="Y181" t="str">
        <f t="shared" si="18"/>
        <v/>
      </c>
      <c r="Z181" t="str">
        <f t="shared" si="19"/>
        <v/>
      </c>
      <c r="AA181" t="str">
        <f t="shared" si="20"/>
        <v/>
      </c>
      <c r="AB181" t="str">
        <f t="shared" si="21"/>
        <v/>
      </c>
      <c r="AC181" t="str">
        <f t="shared" si="22"/>
        <v/>
      </c>
      <c r="AD181" t="str">
        <f t="shared" si="23"/>
        <v/>
      </c>
      <c r="AE181" t="str">
        <f t="shared" si="24"/>
        <v/>
      </c>
      <c r="AF181" t="str">
        <f t="shared" si="25"/>
        <v/>
      </c>
      <c r="AG181" t="str">
        <f t="shared" si="26"/>
        <v/>
      </c>
      <c r="AH181" s="65" t="str">
        <f t="array" ref="AH181">if(sum(H181:AG181)=0,,sum(sort(TRANSPOSE(H181:AG181),1,false)))</f>
        <v/>
      </c>
    </row>
    <row r="182" hidden="1">
      <c r="F182" s="4">
        <v>50.0</v>
      </c>
      <c r="H182" t="str">
        <f t="shared" si="1"/>
        <v/>
      </c>
      <c r="I182" t="str">
        <f t="shared" si="2"/>
        <v/>
      </c>
      <c r="J182" t="str">
        <f t="shared" si="3"/>
        <v/>
      </c>
      <c r="K182" t="str">
        <f t="shared" si="4"/>
        <v/>
      </c>
      <c r="L182" t="str">
        <f t="shared" si="5"/>
        <v/>
      </c>
      <c r="M182" t="str">
        <f t="shared" si="6"/>
        <v/>
      </c>
      <c r="N182" t="str">
        <f t="shared" si="7"/>
        <v/>
      </c>
      <c r="O182" t="str">
        <f t="shared" si="8"/>
        <v/>
      </c>
      <c r="P182" t="str">
        <f t="shared" si="9"/>
        <v/>
      </c>
      <c r="Q182" t="str">
        <f t="shared" si="10"/>
        <v/>
      </c>
      <c r="R182" t="str">
        <f t="shared" si="11"/>
        <v/>
      </c>
      <c r="S182" t="str">
        <f t="shared" si="12"/>
        <v/>
      </c>
      <c r="T182" t="str">
        <f t="shared" si="13"/>
        <v/>
      </c>
      <c r="U182" t="str">
        <f t="shared" si="14"/>
        <v/>
      </c>
      <c r="V182" t="str">
        <f t="shared" si="15"/>
        <v/>
      </c>
      <c r="W182" t="str">
        <f t="shared" si="16"/>
        <v/>
      </c>
      <c r="X182" t="str">
        <f t="shared" si="17"/>
        <v/>
      </c>
      <c r="Y182" t="str">
        <f t="shared" si="18"/>
        <v/>
      </c>
      <c r="Z182" t="str">
        <f t="shared" si="19"/>
        <v/>
      </c>
      <c r="AA182" t="str">
        <f t="shared" si="20"/>
        <v/>
      </c>
      <c r="AB182" t="str">
        <f t="shared" si="21"/>
        <v/>
      </c>
      <c r="AC182" t="str">
        <f t="shared" si="22"/>
        <v/>
      </c>
      <c r="AD182" t="str">
        <f t="shared" si="23"/>
        <v/>
      </c>
      <c r="AE182" t="str">
        <f t="shared" si="24"/>
        <v/>
      </c>
      <c r="AF182" t="str">
        <f t="shared" si="25"/>
        <v/>
      </c>
      <c r="AG182" t="str">
        <f t="shared" si="26"/>
        <v/>
      </c>
      <c r="AH182" s="65" t="str">
        <f t="array" ref="AH182">if(sum(H182:AG182)=0,,sum(sort(TRANSPOSE(H182:AG182),1,false)))</f>
        <v/>
      </c>
    </row>
    <row r="183" hidden="1">
      <c r="F183" s="4">
        <v>51.0</v>
      </c>
      <c r="H183" t="str">
        <f t="shared" si="1"/>
        <v/>
      </c>
      <c r="I183" t="str">
        <f t="shared" si="2"/>
        <v/>
      </c>
      <c r="J183" t="str">
        <f t="shared" si="3"/>
        <v/>
      </c>
      <c r="K183" t="str">
        <f t="shared" si="4"/>
        <v/>
      </c>
      <c r="L183" t="str">
        <f t="shared" si="5"/>
        <v/>
      </c>
      <c r="M183" t="str">
        <f t="shared" si="6"/>
        <v/>
      </c>
      <c r="N183" t="str">
        <f t="shared" si="7"/>
        <v/>
      </c>
      <c r="O183" t="str">
        <f t="shared" si="8"/>
        <v/>
      </c>
      <c r="P183" t="str">
        <f t="shared" si="9"/>
        <v/>
      </c>
      <c r="Q183" t="str">
        <f t="shared" si="10"/>
        <v/>
      </c>
      <c r="R183" t="str">
        <f t="shared" si="11"/>
        <v/>
      </c>
      <c r="S183" t="str">
        <f t="shared" si="12"/>
        <v/>
      </c>
      <c r="T183" t="str">
        <f t="shared" si="13"/>
        <v/>
      </c>
      <c r="U183" t="str">
        <f t="shared" si="14"/>
        <v/>
      </c>
      <c r="V183" t="str">
        <f t="shared" si="15"/>
        <v/>
      </c>
      <c r="W183" t="str">
        <f t="shared" si="16"/>
        <v/>
      </c>
      <c r="X183" t="str">
        <f t="shared" si="17"/>
        <v/>
      </c>
      <c r="Y183" t="str">
        <f t="shared" si="18"/>
        <v/>
      </c>
      <c r="Z183" t="str">
        <f t="shared" si="19"/>
        <v/>
      </c>
      <c r="AA183" t="str">
        <f t="shared" si="20"/>
        <v/>
      </c>
      <c r="AB183" t="str">
        <f t="shared" si="21"/>
        <v/>
      </c>
      <c r="AC183" t="str">
        <f t="shared" si="22"/>
        <v/>
      </c>
      <c r="AD183" t="str">
        <f t="shared" si="23"/>
        <v/>
      </c>
      <c r="AE183" t="str">
        <f t="shared" si="24"/>
        <v/>
      </c>
      <c r="AF183" t="str">
        <f t="shared" si="25"/>
        <v/>
      </c>
      <c r="AG183" t="str">
        <f t="shared" si="26"/>
        <v/>
      </c>
      <c r="AH183" s="65" t="str">
        <f t="array" ref="AH183">if(sum(H183:AG183)=0,,sum(sort(TRANSPOSE(H183:AG183),1,false)))</f>
        <v/>
      </c>
    </row>
    <row r="184" hidden="1">
      <c r="F184" s="4">
        <v>52.0</v>
      </c>
      <c r="H184" t="str">
        <f t="shared" si="1"/>
        <v/>
      </c>
      <c r="I184" t="str">
        <f t="shared" si="2"/>
        <v/>
      </c>
      <c r="J184" t="str">
        <f t="shared" si="3"/>
        <v/>
      </c>
      <c r="K184" t="str">
        <f t="shared" si="4"/>
        <v/>
      </c>
      <c r="L184" t="str">
        <f t="shared" si="5"/>
        <v/>
      </c>
      <c r="M184" t="str">
        <f t="shared" si="6"/>
        <v/>
      </c>
      <c r="N184" t="str">
        <f t="shared" si="7"/>
        <v/>
      </c>
      <c r="O184" t="str">
        <f t="shared" si="8"/>
        <v/>
      </c>
      <c r="P184" t="str">
        <f t="shared" si="9"/>
        <v/>
      </c>
      <c r="Q184" t="str">
        <f t="shared" si="10"/>
        <v/>
      </c>
      <c r="R184" t="str">
        <f t="shared" si="11"/>
        <v/>
      </c>
      <c r="S184" t="str">
        <f t="shared" si="12"/>
        <v/>
      </c>
      <c r="T184" t="str">
        <f t="shared" si="13"/>
        <v/>
      </c>
      <c r="U184" t="str">
        <f t="shared" si="14"/>
        <v/>
      </c>
      <c r="V184" t="str">
        <f t="shared" si="15"/>
        <v/>
      </c>
      <c r="W184" t="str">
        <f t="shared" si="16"/>
        <v/>
      </c>
      <c r="X184" t="str">
        <f t="shared" si="17"/>
        <v/>
      </c>
      <c r="Y184" t="str">
        <f t="shared" si="18"/>
        <v/>
      </c>
      <c r="Z184" t="str">
        <f t="shared" si="19"/>
        <v/>
      </c>
      <c r="AA184" t="str">
        <f t="shared" si="20"/>
        <v/>
      </c>
      <c r="AB184" t="str">
        <f t="shared" si="21"/>
        <v/>
      </c>
      <c r="AC184" t="str">
        <f t="shared" si="22"/>
        <v/>
      </c>
      <c r="AD184" t="str">
        <f t="shared" si="23"/>
        <v/>
      </c>
      <c r="AE184" t="str">
        <f t="shared" si="24"/>
        <v/>
      </c>
      <c r="AF184" t="str">
        <f t="shared" si="25"/>
        <v/>
      </c>
      <c r="AG184" t="str">
        <f t="shared" si="26"/>
        <v/>
      </c>
      <c r="AH184" s="65" t="str">
        <f t="array" ref="AH184">if(sum(H184:AG184)=0,,sum(sort(TRANSPOSE(H184:AG184),1,false)))</f>
        <v/>
      </c>
    </row>
    <row r="185" hidden="1">
      <c r="F185" s="4">
        <v>53.0</v>
      </c>
      <c r="H185" t="str">
        <f t="shared" si="1"/>
        <v/>
      </c>
      <c r="I185" t="str">
        <f t="shared" si="2"/>
        <v/>
      </c>
      <c r="J185" t="str">
        <f t="shared" si="3"/>
        <v/>
      </c>
      <c r="K185" t="str">
        <f t="shared" si="4"/>
        <v/>
      </c>
      <c r="L185" t="str">
        <f t="shared" si="5"/>
        <v/>
      </c>
      <c r="M185" t="str">
        <f t="shared" si="6"/>
        <v/>
      </c>
      <c r="N185" t="str">
        <f t="shared" si="7"/>
        <v/>
      </c>
      <c r="O185" t="str">
        <f t="shared" si="8"/>
        <v/>
      </c>
      <c r="P185" t="str">
        <f t="shared" si="9"/>
        <v/>
      </c>
      <c r="Q185" t="str">
        <f t="shared" si="10"/>
        <v/>
      </c>
      <c r="R185" t="str">
        <f t="shared" si="11"/>
        <v/>
      </c>
      <c r="S185" t="str">
        <f t="shared" si="12"/>
        <v/>
      </c>
      <c r="T185" t="str">
        <f t="shared" si="13"/>
        <v/>
      </c>
      <c r="U185" t="str">
        <f t="shared" si="14"/>
        <v/>
      </c>
      <c r="V185" t="str">
        <f t="shared" si="15"/>
        <v/>
      </c>
      <c r="W185" t="str">
        <f t="shared" si="16"/>
        <v/>
      </c>
      <c r="X185" t="str">
        <f t="shared" si="17"/>
        <v/>
      </c>
      <c r="Y185" t="str">
        <f t="shared" si="18"/>
        <v/>
      </c>
      <c r="Z185" t="str">
        <f t="shared" si="19"/>
        <v/>
      </c>
      <c r="AA185" t="str">
        <f t="shared" si="20"/>
        <v/>
      </c>
      <c r="AB185" t="str">
        <f t="shared" si="21"/>
        <v/>
      </c>
      <c r="AC185" t="str">
        <f t="shared" si="22"/>
        <v/>
      </c>
      <c r="AD185" t="str">
        <f t="shared" si="23"/>
        <v/>
      </c>
      <c r="AE185" t="str">
        <f t="shared" si="24"/>
        <v/>
      </c>
      <c r="AF185" t="str">
        <f t="shared" si="25"/>
        <v/>
      </c>
      <c r="AG185" t="str">
        <f t="shared" si="26"/>
        <v/>
      </c>
      <c r="AH185" s="65" t="str">
        <f t="array" ref="AH185">if(sum(H185:AG185)=0,,sum(sort(TRANSPOSE(H185:AG185),1,false)))</f>
        <v/>
      </c>
    </row>
    <row r="186" hidden="1">
      <c r="F186" s="4">
        <v>54.0</v>
      </c>
      <c r="H186" t="str">
        <f t="shared" si="1"/>
        <v/>
      </c>
      <c r="I186" t="str">
        <f t="shared" si="2"/>
        <v/>
      </c>
      <c r="J186" t="str">
        <f t="shared" si="3"/>
        <v/>
      </c>
      <c r="K186" t="str">
        <f t="shared" si="4"/>
        <v/>
      </c>
      <c r="L186" t="str">
        <f t="shared" si="5"/>
        <v/>
      </c>
      <c r="M186" t="str">
        <f t="shared" si="6"/>
        <v/>
      </c>
      <c r="N186" t="str">
        <f t="shared" si="7"/>
        <v/>
      </c>
      <c r="O186" t="str">
        <f t="shared" si="8"/>
        <v/>
      </c>
      <c r="P186" t="str">
        <f t="shared" si="9"/>
        <v/>
      </c>
      <c r="Q186" t="str">
        <f t="shared" si="10"/>
        <v/>
      </c>
      <c r="R186" t="str">
        <f t="shared" si="11"/>
        <v/>
      </c>
      <c r="S186" t="str">
        <f t="shared" si="12"/>
        <v/>
      </c>
      <c r="T186" t="str">
        <f t="shared" si="13"/>
        <v/>
      </c>
      <c r="U186" t="str">
        <f t="shared" si="14"/>
        <v/>
      </c>
      <c r="V186" t="str">
        <f t="shared" si="15"/>
        <v/>
      </c>
      <c r="W186" t="str">
        <f t="shared" si="16"/>
        <v/>
      </c>
      <c r="X186" t="str">
        <f t="shared" si="17"/>
        <v/>
      </c>
      <c r="Y186" t="str">
        <f t="shared" si="18"/>
        <v/>
      </c>
      <c r="Z186" t="str">
        <f t="shared" si="19"/>
        <v/>
      </c>
      <c r="AA186" t="str">
        <f t="shared" si="20"/>
        <v/>
      </c>
      <c r="AB186" t="str">
        <f t="shared" si="21"/>
        <v/>
      </c>
      <c r="AC186" t="str">
        <f t="shared" si="22"/>
        <v/>
      </c>
      <c r="AD186" t="str">
        <f t="shared" si="23"/>
        <v/>
      </c>
      <c r="AE186" t="str">
        <f t="shared" si="24"/>
        <v/>
      </c>
      <c r="AF186" t="str">
        <f t="shared" si="25"/>
        <v/>
      </c>
      <c r="AG186" t="str">
        <f t="shared" si="26"/>
        <v/>
      </c>
      <c r="AH186" s="65" t="str">
        <f t="array" ref="AH186">if(sum(H186:AG186)=0,,sum(sort(TRANSPOSE(H186:AG186),1,false)))</f>
        <v/>
      </c>
    </row>
    <row r="187" hidden="1">
      <c r="F187" s="4">
        <v>55.0</v>
      </c>
      <c r="H187" t="str">
        <f t="shared" si="1"/>
        <v/>
      </c>
      <c r="I187" t="str">
        <f t="shared" si="2"/>
        <v/>
      </c>
      <c r="J187" t="str">
        <f t="shared" si="3"/>
        <v/>
      </c>
      <c r="K187" t="str">
        <f t="shared" si="4"/>
        <v/>
      </c>
      <c r="L187" t="str">
        <f t="shared" si="5"/>
        <v/>
      </c>
      <c r="M187" t="str">
        <f t="shared" si="6"/>
        <v/>
      </c>
      <c r="N187" t="str">
        <f t="shared" si="7"/>
        <v/>
      </c>
      <c r="O187" t="str">
        <f t="shared" si="8"/>
        <v/>
      </c>
      <c r="P187" t="str">
        <f t="shared" si="9"/>
        <v/>
      </c>
      <c r="Q187" t="str">
        <f t="shared" si="10"/>
        <v/>
      </c>
      <c r="R187" t="str">
        <f t="shared" si="11"/>
        <v/>
      </c>
      <c r="S187" t="str">
        <f t="shared" si="12"/>
        <v/>
      </c>
      <c r="T187" t="str">
        <f t="shared" si="13"/>
        <v/>
      </c>
      <c r="U187" t="str">
        <f t="shared" si="14"/>
        <v/>
      </c>
      <c r="V187" t="str">
        <f t="shared" si="15"/>
        <v/>
      </c>
      <c r="W187" t="str">
        <f t="shared" si="16"/>
        <v/>
      </c>
      <c r="X187" t="str">
        <f t="shared" si="17"/>
        <v/>
      </c>
      <c r="Y187" t="str">
        <f t="shared" si="18"/>
        <v/>
      </c>
      <c r="Z187" t="str">
        <f t="shared" si="19"/>
        <v/>
      </c>
      <c r="AA187" t="str">
        <f t="shared" si="20"/>
        <v/>
      </c>
      <c r="AB187" t="str">
        <f t="shared" si="21"/>
        <v/>
      </c>
      <c r="AC187" t="str">
        <f t="shared" si="22"/>
        <v/>
      </c>
      <c r="AD187" t="str">
        <f t="shared" si="23"/>
        <v/>
      </c>
      <c r="AE187" t="str">
        <f t="shared" si="24"/>
        <v/>
      </c>
      <c r="AF187" t="str">
        <f t="shared" si="25"/>
        <v/>
      </c>
      <c r="AG187" t="str">
        <f t="shared" si="26"/>
        <v/>
      </c>
      <c r="AH187" s="65" t="str">
        <f t="array" ref="AH187">if(sum(H187:AG187)=0,,sum(sort(TRANSPOSE(H187:AG187),1,false)))</f>
        <v/>
      </c>
    </row>
    <row r="188" hidden="1">
      <c r="F188" s="4">
        <v>56.0</v>
      </c>
      <c r="H188" t="str">
        <f t="shared" si="1"/>
        <v/>
      </c>
      <c r="I188" t="str">
        <f t="shared" si="2"/>
        <v/>
      </c>
      <c r="J188" t="str">
        <f t="shared" si="3"/>
        <v/>
      </c>
      <c r="K188" t="str">
        <f t="shared" si="4"/>
        <v/>
      </c>
      <c r="L188" t="str">
        <f t="shared" si="5"/>
        <v/>
      </c>
      <c r="M188" t="str">
        <f t="shared" si="6"/>
        <v/>
      </c>
      <c r="N188" t="str">
        <f t="shared" si="7"/>
        <v/>
      </c>
      <c r="O188" t="str">
        <f t="shared" si="8"/>
        <v/>
      </c>
      <c r="P188" t="str">
        <f t="shared" si="9"/>
        <v/>
      </c>
      <c r="Q188" t="str">
        <f t="shared" si="10"/>
        <v/>
      </c>
      <c r="R188" t="str">
        <f t="shared" si="11"/>
        <v/>
      </c>
      <c r="S188" t="str">
        <f t="shared" si="12"/>
        <v/>
      </c>
      <c r="T188" t="str">
        <f t="shared" si="13"/>
        <v/>
      </c>
      <c r="U188" t="str">
        <f t="shared" si="14"/>
        <v/>
      </c>
      <c r="V188" t="str">
        <f t="shared" si="15"/>
        <v/>
      </c>
      <c r="W188" t="str">
        <f t="shared" si="16"/>
        <v/>
      </c>
      <c r="X188" t="str">
        <f t="shared" si="17"/>
        <v/>
      </c>
      <c r="Y188" t="str">
        <f t="shared" si="18"/>
        <v/>
      </c>
      <c r="Z188" t="str">
        <f t="shared" si="19"/>
        <v/>
      </c>
      <c r="AA188" t="str">
        <f t="shared" si="20"/>
        <v/>
      </c>
      <c r="AB188" t="str">
        <f t="shared" si="21"/>
        <v/>
      </c>
      <c r="AC188" t="str">
        <f t="shared" si="22"/>
        <v/>
      </c>
      <c r="AD188" t="str">
        <f t="shared" si="23"/>
        <v/>
      </c>
      <c r="AE188" t="str">
        <f t="shared" si="24"/>
        <v/>
      </c>
      <c r="AF188" t="str">
        <f t="shared" si="25"/>
        <v/>
      </c>
      <c r="AG188" t="str">
        <f t="shared" si="26"/>
        <v/>
      </c>
      <c r="AH188" s="65" t="str">
        <f t="array" ref="AH188">if(sum(H188:AG188)=0,,sum(sort(TRANSPOSE(H188:AG188),1,false)))</f>
        <v/>
      </c>
    </row>
    <row r="189" hidden="1">
      <c r="F189" s="4">
        <v>57.0</v>
      </c>
      <c r="H189" t="str">
        <f t="shared" si="1"/>
        <v/>
      </c>
      <c r="I189" t="str">
        <f t="shared" si="2"/>
        <v/>
      </c>
      <c r="J189" t="str">
        <f t="shared" si="3"/>
        <v/>
      </c>
      <c r="K189" t="str">
        <f t="shared" si="4"/>
        <v/>
      </c>
      <c r="L189" t="str">
        <f t="shared" si="5"/>
        <v/>
      </c>
      <c r="M189" t="str">
        <f t="shared" si="6"/>
        <v/>
      </c>
      <c r="N189" t="str">
        <f t="shared" si="7"/>
        <v/>
      </c>
      <c r="O189" t="str">
        <f t="shared" si="8"/>
        <v/>
      </c>
      <c r="P189" t="str">
        <f t="shared" si="9"/>
        <v/>
      </c>
      <c r="Q189" t="str">
        <f t="shared" si="10"/>
        <v/>
      </c>
      <c r="R189" t="str">
        <f t="shared" si="11"/>
        <v/>
      </c>
      <c r="S189" t="str">
        <f t="shared" si="12"/>
        <v/>
      </c>
      <c r="T189" t="str">
        <f t="shared" si="13"/>
        <v/>
      </c>
      <c r="U189" t="str">
        <f t="shared" si="14"/>
        <v/>
      </c>
      <c r="V189" t="str">
        <f t="shared" si="15"/>
        <v/>
      </c>
      <c r="W189" t="str">
        <f t="shared" si="16"/>
        <v/>
      </c>
      <c r="X189" t="str">
        <f t="shared" si="17"/>
        <v/>
      </c>
      <c r="Y189" t="str">
        <f t="shared" si="18"/>
        <v/>
      </c>
      <c r="Z189" t="str">
        <f t="shared" si="19"/>
        <v/>
      </c>
      <c r="AA189" t="str">
        <f t="shared" si="20"/>
        <v/>
      </c>
      <c r="AB189" t="str">
        <f t="shared" si="21"/>
        <v/>
      </c>
      <c r="AC189" t="str">
        <f t="shared" si="22"/>
        <v/>
      </c>
      <c r="AD189" t="str">
        <f t="shared" si="23"/>
        <v/>
      </c>
      <c r="AE189" t="str">
        <f t="shared" si="24"/>
        <v/>
      </c>
      <c r="AF189" t="str">
        <f t="shared" si="25"/>
        <v/>
      </c>
      <c r="AG189" t="str">
        <f t="shared" si="26"/>
        <v/>
      </c>
      <c r="AH189" s="65" t="str">
        <f t="array" ref="AH189">if(sum(H189:AG189)=0,,sum(sort(TRANSPOSE(H189:AG189),1,false)))</f>
        <v/>
      </c>
    </row>
    <row r="190" hidden="1">
      <c r="F190" s="4">
        <v>58.0</v>
      </c>
      <c r="H190" t="str">
        <f t="shared" si="1"/>
        <v/>
      </c>
      <c r="I190" t="str">
        <f t="shared" si="2"/>
        <v/>
      </c>
      <c r="J190" t="str">
        <f t="shared" si="3"/>
        <v/>
      </c>
      <c r="K190" t="str">
        <f t="shared" si="4"/>
        <v/>
      </c>
      <c r="L190" t="str">
        <f t="shared" si="5"/>
        <v/>
      </c>
      <c r="M190" t="str">
        <f t="shared" si="6"/>
        <v/>
      </c>
      <c r="N190" t="str">
        <f t="shared" si="7"/>
        <v/>
      </c>
      <c r="O190" t="str">
        <f t="shared" si="8"/>
        <v/>
      </c>
      <c r="P190" t="str">
        <f t="shared" si="9"/>
        <v/>
      </c>
      <c r="Q190" t="str">
        <f t="shared" si="10"/>
        <v/>
      </c>
      <c r="R190" t="str">
        <f t="shared" si="11"/>
        <v/>
      </c>
      <c r="S190" t="str">
        <f t="shared" si="12"/>
        <v/>
      </c>
      <c r="T190" t="str">
        <f t="shared" si="13"/>
        <v/>
      </c>
      <c r="U190" t="str">
        <f t="shared" si="14"/>
        <v/>
      </c>
      <c r="V190" t="str">
        <f t="shared" si="15"/>
        <v/>
      </c>
      <c r="W190" t="str">
        <f t="shared" si="16"/>
        <v/>
      </c>
      <c r="X190" t="str">
        <f t="shared" si="17"/>
        <v/>
      </c>
      <c r="Y190" t="str">
        <f t="shared" si="18"/>
        <v/>
      </c>
      <c r="Z190" t="str">
        <f t="shared" si="19"/>
        <v/>
      </c>
      <c r="AA190" t="str">
        <f t="shared" si="20"/>
        <v/>
      </c>
      <c r="AB190" t="str">
        <f t="shared" si="21"/>
        <v/>
      </c>
      <c r="AC190" t="str">
        <f t="shared" si="22"/>
        <v/>
      </c>
      <c r="AD190" t="str">
        <f t="shared" si="23"/>
        <v/>
      </c>
      <c r="AE190" t="str">
        <f t="shared" si="24"/>
        <v/>
      </c>
      <c r="AF190" t="str">
        <f t="shared" si="25"/>
        <v/>
      </c>
      <c r="AG190" t="str">
        <f t="shared" si="26"/>
        <v/>
      </c>
      <c r="AH190" s="65" t="str">
        <f t="array" ref="AH190">if(sum(H190:AG190)=0,,sum(sort(TRANSPOSE(H190:AG190),1,false)))</f>
        <v/>
      </c>
    </row>
    <row r="191" hidden="1">
      <c r="F191" s="4">
        <v>59.0</v>
      </c>
      <c r="H191" t="str">
        <f t="shared" si="1"/>
        <v/>
      </c>
      <c r="I191" t="str">
        <f t="shared" si="2"/>
        <v/>
      </c>
      <c r="J191" t="str">
        <f t="shared" si="3"/>
        <v/>
      </c>
      <c r="K191" t="str">
        <f t="shared" si="4"/>
        <v/>
      </c>
      <c r="L191" t="str">
        <f t="shared" si="5"/>
        <v/>
      </c>
      <c r="M191" t="str">
        <f t="shared" si="6"/>
        <v/>
      </c>
      <c r="N191" t="str">
        <f t="shared" si="7"/>
        <v/>
      </c>
      <c r="O191" t="str">
        <f t="shared" si="8"/>
        <v/>
      </c>
      <c r="P191" t="str">
        <f t="shared" si="9"/>
        <v/>
      </c>
      <c r="Q191" t="str">
        <f t="shared" si="10"/>
        <v/>
      </c>
      <c r="R191" t="str">
        <f t="shared" si="11"/>
        <v/>
      </c>
      <c r="S191" t="str">
        <f t="shared" si="12"/>
        <v/>
      </c>
      <c r="T191" t="str">
        <f t="shared" si="13"/>
        <v/>
      </c>
      <c r="U191" t="str">
        <f t="shared" si="14"/>
        <v/>
      </c>
      <c r="V191" t="str">
        <f t="shared" si="15"/>
        <v/>
      </c>
      <c r="W191" t="str">
        <f t="shared" si="16"/>
        <v/>
      </c>
      <c r="X191" t="str">
        <f t="shared" si="17"/>
        <v/>
      </c>
      <c r="Y191" t="str">
        <f t="shared" si="18"/>
        <v/>
      </c>
      <c r="Z191" t="str">
        <f t="shared" si="19"/>
        <v/>
      </c>
      <c r="AA191" t="str">
        <f t="shared" si="20"/>
        <v/>
      </c>
      <c r="AB191" t="str">
        <f t="shared" si="21"/>
        <v/>
      </c>
      <c r="AC191" t="str">
        <f t="shared" si="22"/>
        <v/>
      </c>
      <c r="AD191" t="str">
        <f t="shared" si="23"/>
        <v/>
      </c>
      <c r="AE191" t="str">
        <f t="shared" si="24"/>
        <v/>
      </c>
      <c r="AF191" t="str">
        <f t="shared" si="25"/>
        <v/>
      </c>
      <c r="AG191" t="str">
        <f t="shared" si="26"/>
        <v/>
      </c>
      <c r="AH191" s="65" t="str">
        <f t="array" ref="AH191">if(sum(H191:AG191)=0,,sum(sort(TRANSPOSE(H191:AG191),1,false)))</f>
        <v/>
      </c>
    </row>
    <row r="192" hidden="1">
      <c r="F192" s="4">
        <v>60.0</v>
      </c>
      <c r="H192" t="str">
        <f t="shared" si="1"/>
        <v/>
      </c>
      <c r="I192" t="str">
        <f t="shared" si="2"/>
        <v/>
      </c>
      <c r="J192" t="str">
        <f t="shared" si="3"/>
        <v/>
      </c>
      <c r="K192" t="str">
        <f t="shared" si="4"/>
        <v/>
      </c>
      <c r="L192" t="str">
        <f t="shared" si="5"/>
        <v/>
      </c>
      <c r="M192" t="str">
        <f t="shared" si="6"/>
        <v/>
      </c>
      <c r="N192" t="str">
        <f t="shared" si="7"/>
        <v/>
      </c>
      <c r="O192" t="str">
        <f t="shared" si="8"/>
        <v/>
      </c>
      <c r="P192" t="str">
        <f t="shared" si="9"/>
        <v/>
      </c>
      <c r="Q192" t="str">
        <f t="shared" si="10"/>
        <v/>
      </c>
      <c r="R192" t="str">
        <f t="shared" si="11"/>
        <v/>
      </c>
      <c r="S192" t="str">
        <f t="shared" si="12"/>
        <v/>
      </c>
      <c r="T192" t="str">
        <f t="shared" si="13"/>
        <v/>
      </c>
      <c r="U192" t="str">
        <f t="shared" si="14"/>
        <v/>
      </c>
      <c r="V192" t="str">
        <f t="shared" si="15"/>
        <v/>
      </c>
      <c r="W192" t="str">
        <f t="shared" si="16"/>
        <v/>
      </c>
      <c r="X192" t="str">
        <f t="shared" si="17"/>
        <v/>
      </c>
      <c r="Y192" t="str">
        <f t="shared" si="18"/>
        <v/>
      </c>
      <c r="Z192" t="str">
        <f t="shared" si="19"/>
        <v/>
      </c>
      <c r="AA192" t="str">
        <f t="shared" si="20"/>
        <v/>
      </c>
      <c r="AB192" t="str">
        <f t="shared" si="21"/>
        <v/>
      </c>
      <c r="AC192" t="str">
        <f t="shared" si="22"/>
        <v/>
      </c>
      <c r="AD192" t="str">
        <f t="shared" si="23"/>
        <v/>
      </c>
      <c r="AE192" t="str">
        <f t="shared" si="24"/>
        <v/>
      </c>
      <c r="AF192" t="str">
        <f t="shared" si="25"/>
        <v/>
      </c>
      <c r="AG192" t="str">
        <f t="shared" si="26"/>
        <v/>
      </c>
      <c r="AH192" s="65" t="str">
        <f t="array" ref="AH192">if(sum(H192:AG192)=0,,sum(sort(TRANSPOSE(H192:AG192),1,false)))</f>
        <v/>
      </c>
    </row>
    <row r="193" hidden="1">
      <c r="F193" s="4">
        <v>61.0</v>
      </c>
      <c r="H193" t="str">
        <f t="shared" si="1"/>
        <v/>
      </c>
      <c r="I193" t="str">
        <f t="shared" si="2"/>
        <v/>
      </c>
      <c r="J193" t="str">
        <f t="shared" si="3"/>
        <v/>
      </c>
      <c r="K193" t="str">
        <f t="shared" si="4"/>
        <v/>
      </c>
      <c r="L193" t="str">
        <f t="shared" si="5"/>
        <v/>
      </c>
      <c r="M193" t="str">
        <f t="shared" si="6"/>
        <v/>
      </c>
      <c r="N193" t="str">
        <f t="shared" si="7"/>
        <v/>
      </c>
      <c r="O193" t="str">
        <f t="shared" si="8"/>
        <v/>
      </c>
      <c r="P193" t="str">
        <f t="shared" si="9"/>
        <v/>
      </c>
      <c r="Q193" t="str">
        <f t="shared" si="10"/>
        <v/>
      </c>
      <c r="R193" t="str">
        <f t="shared" si="11"/>
        <v/>
      </c>
      <c r="S193" t="str">
        <f t="shared" si="12"/>
        <v/>
      </c>
      <c r="T193" t="str">
        <f t="shared" si="13"/>
        <v/>
      </c>
      <c r="U193" t="str">
        <f t="shared" si="14"/>
        <v/>
      </c>
      <c r="V193" t="str">
        <f t="shared" si="15"/>
        <v/>
      </c>
      <c r="W193" t="str">
        <f t="shared" si="16"/>
        <v/>
      </c>
      <c r="X193" t="str">
        <f t="shared" si="17"/>
        <v/>
      </c>
      <c r="Y193" t="str">
        <f t="shared" si="18"/>
        <v/>
      </c>
      <c r="Z193" t="str">
        <f t="shared" si="19"/>
        <v/>
      </c>
      <c r="AA193" t="str">
        <f t="shared" si="20"/>
        <v/>
      </c>
      <c r="AB193" t="str">
        <f t="shared" si="21"/>
        <v/>
      </c>
      <c r="AC193" t="str">
        <f t="shared" si="22"/>
        <v/>
      </c>
      <c r="AD193" t="str">
        <f t="shared" si="23"/>
        <v/>
      </c>
      <c r="AE193" t="str">
        <f t="shared" si="24"/>
        <v/>
      </c>
      <c r="AF193" t="str">
        <f t="shared" si="25"/>
        <v/>
      </c>
      <c r="AG193" t="str">
        <f t="shared" si="26"/>
        <v/>
      </c>
      <c r="AH193" s="65" t="str">
        <f t="array" ref="AH193">if(sum(H193:AG193)=0,,sum(sort(TRANSPOSE(H193:AG193),1,false)))</f>
        <v/>
      </c>
    </row>
    <row r="194" hidden="1">
      <c r="F194" s="4">
        <v>62.0</v>
      </c>
      <c r="H194" t="str">
        <f t="shared" si="1"/>
        <v/>
      </c>
      <c r="I194" t="str">
        <f t="shared" si="2"/>
        <v/>
      </c>
      <c r="J194" t="str">
        <f t="shared" si="3"/>
        <v/>
      </c>
      <c r="K194" t="str">
        <f t="shared" si="4"/>
        <v/>
      </c>
      <c r="L194" t="str">
        <f t="shared" si="5"/>
        <v/>
      </c>
      <c r="M194" t="str">
        <f t="shared" si="6"/>
        <v/>
      </c>
      <c r="N194" t="str">
        <f t="shared" si="7"/>
        <v/>
      </c>
      <c r="O194" t="str">
        <f t="shared" si="8"/>
        <v/>
      </c>
      <c r="P194" t="str">
        <f t="shared" si="9"/>
        <v/>
      </c>
      <c r="Q194" t="str">
        <f t="shared" si="10"/>
        <v/>
      </c>
      <c r="R194" t="str">
        <f t="shared" si="11"/>
        <v/>
      </c>
      <c r="S194" t="str">
        <f t="shared" si="12"/>
        <v/>
      </c>
      <c r="T194" t="str">
        <f t="shared" si="13"/>
        <v/>
      </c>
      <c r="U194" t="str">
        <f t="shared" si="14"/>
        <v/>
      </c>
      <c r="V194" t="str">
        <f t="shared" si="15"/>
        <v/>
      </c>
      <c r="W194" t="str">
        <f t="shared" si="16"/>
        <v/>
      </c>
      <c r="X194" t="str">
        <f t="shared" si="17"/>
        <v/>
      </c>
      <c r="Y194" t="str">
        <f t="shared" si="18"/>
        <v/>
      </c>
      <c r="Z194" t="str">
        <f t="shared" si="19"/>
        <v/>
      </c>
      <c r="AA194" t="str">
        <f t="shared" si="20"/>
        <v/>
      </c>
      <c r="AB194" t="str">
        <f t="shared" si="21"/>
        <v/>
      </c>
      <c r="AC194" t="str">
        <f t="shared" si="22"/>
        <v/>
      </c>
      <c r="AD194" t="str">
        <f t="shared" si="23"/>
        <v/>
      </c>
      <c r="AE194" t="str">
        <f t="shared" si="24"/>
        <v/>
      </c>
      <c r="AF194" t="str">
        <f t="shared" si="25"/>
        <v/>
      </c>
      <c r="AG194" t="str">
        <f t="shared" si="26"/>
        <v/>
      </c>
      <c r="AH194" s="65" t="str">
        <f t="array" ref="AH194">if(sum(H194:AG194)=0,,sum(sort(TRANSPOSE(H194:AG194),1,false)))</f>
        <v/>
      </c>
    </row>
    <row r="195" hidden="1">
      <c r="F195" s="4">
        <v>63.0</v>
      </c>
      <c r="H195" t="str">
        <f t="shared" si="1"/>
        <v/>
      </c>
      <c r="I195" t="str">
        <f t="shared" si="2"/>
        <v/>
      </c>
      <c r="J195" t="str">
        <f t="shared" si="3"/>
        <v/>
      </c>
      <c r="K195" t="str">
        <f t="shared" si="4"/>
        <v/>
      </c>
      <c r="L195" t="str">
        <f t="shared" si="5"/>
        <v/>
      </c>
      <c r="M195" t="str">
        <f t="shared" si="6"/>
        <v/>
      </c>
      <c r="N195" t="str">
        <f t="shared" si="7"/>
        <v/>
      </c>
      <c r="O195" t="str">
        <f t="shared" si="8"/>
        <v/>
      </c>
      <c r="P195" t="str">
        <f t="shared" si="9"/>
        <v/>
      </c>
      <c r="Q195" t="str">
        <f t="shared" si="10"/>
        <v/>
      </c>
      <c r="R195" t="str">
        <f t="shared" si="11"/>
        <v/>
      </c>
      <c r="S195" t="str">
        <f t="shared" si="12"/>
        <v/>
      </c>
      <c r="T195" t="str">
        <f t="shared" si="13"/>
        <v/>
      </c>
      <c r="U195" t="str">
        <f t="shared" si="14"/>
        <v/>
      </c>
      <c r="V195" t="str">
        <f t="shared" si="15"/>
        <v/>
      </c>
      <c r="W195" t="str">
        <f t="shared" si="16"/>
        <v/>
      </c>
      <c r="X195" t="str">
        <f t="shared" si="17"/>
        <v/>
      </c>
      <c r="Y195" t="str">
        <f t="shared" si="18"/>
        <v/>
      </c>
      <c r="Z195" t="str">
        <f t="shared" si="19"/>
        <v/>
      </c>
      <c r="AA195" t="str">
        <f t="shared" si="20"/>
        <v/>
      </c>
      <c r="AB195" t="str">
        <f t="shared" si="21"/>
        <v/>
      </c>
      <c r="AC195" t="str">
        <f t="shared" si="22"/>
        <v/>
      </c>
      <c r="AD195" t="str">
        <f t="shared" si="23"/>
        <v/>
      </c>
      <c r="AE195" t="str">
        <f t="shared" si="24"/>
        <v/>
      </c>
      <c r="AF195" t="str">
        <f t="shared" si="25"/>
        <v/>
      </c>
      <c r="AG195" t="str">
        <f t="shared" si="26"/>
        <v/>
      </c>
      <c r="AH195" s="65" t="str">
        <f t="array" ref="AH195">if(sum(H195:AG195)=0,,sum(sort(TRANSPOSE(H195:AG195),1,false)))</f>
        <v/>
      </c>
    </row>
    <row r="196" hidden="1">
      <c r="F196" s="4">
        <v>64.0</v>
      </c>
      <c r="H196" t="str">
        <f t="shared" si="1"/>
        <v/>
      </c>
      <c r="I196" t="str">
        <f t="shared" si="2"/>
        <v/>
      </c>
      <c r="J196" t="str">
        <f t="shared" si="3"/>
        <v/>
      </c>
      <c r="K196" t="str">
        <f t="shared" si="4"/>
        <v/>
      </c>
      <c r="L196" t="str">
        <f t="shared" si="5"/>
        <v/>
      </c>
      <c r="M196" t="str">
        <f t="shared" si="6"/>
        <v/>
      </c>
      <c r="N196" t="str">
        <f t="shared" si="7"/>
        <v/>
      </c>
      <c r="O196" t="str">
        <f t="shared" si="8"/>
        <v/>
      </c>
      <c r="P196" t="str">
        <f t="shared" si="9"/>
        <v/>
      </c>
      <c r="Q196" t="str">
        <f t="shared" si="10"/>
        <v/>
      </c>
      <c r="R196" t="str">
        <f t="shared" si="11"/>
        <v/>
      </c>
      <c r="S196" t="str">
        <f t="shared" si="12"/>
        <v/>
      </c>
      <c r="T196" t="str">
        <f t="shared" si="13"/>
        <v/>
      </c>
      <c r="U196" t="str">
        <f t="shared" si="14"/>
        <v/>
      </c>
      <c r="V196" t="str">
        <f t="shared" si="15"/>
        <v/>
      </c>
      <c r="W196" t="str">
        <f t="shared" si="16"/>
        <v/>
      </c>
      <c r="X196" t="str">
        <f t="shared" si="17"/>
        <v/>
      </c>
      <c r="Y196" t="str">
        <f t="shared" si="18"/>
        <v/>
      </c>
      <c r="Z196" t="str">
        <f t="shared" si="19"/>
        <v/>
      </c>
      <c r="AA196" t="str">
        <f t="shared" si="20"/>
        <v/>
      </c>
      <c r="AB196" t="str">
        <f t="shared" si="21"/>
        <v/>
      </c>
      <c r="AC196" t="str">
        <f t="shared" si="22"/>
        <v/>
      </c>
      <c r="AD196" t="str">
        <f t="shared" si="23"/>
        <v/>
      </c>
      <c r="AE196" t="str">
        <f t="shared" si="24"/>
        <v/>
      </c>
      <c r="AF196" t="str">
        <f t="shared" si="25"/>
        <v/>
      </c>
      <c r="AG196" t="str">
        <f t="shared" si="26"/>
        <v/>
      </c>
      <c r="AH196" s="65" t="str">
        <f t="array" ref="AH196">if(sum(H196:AG196)=0,,sum(sort(TRANSPOSE(H196:AG196),1,false)))</f>
        <v/>
      </c>
    </row>
    <row r="197" hidden="1">
      <c r="F197" s="4">
        <v>65.0</v>
      </c>
      <c r="H197" t="str">
        <f t="shared" si="1"/>
        <v/>
      </c>
      <c r="I197" t="str">
        <f t="shared" si="2"/>
        <v/>
      </c>
      <c r="J197" t="str">
        <f t="shared" si="3"/>
        <v/>
      </c>
      <c r="K197" t="str">
        <f t="shared" si="4"/>
        <v/>
      </c>
      <c r="L197" t="str">
        <f t="shared" si="5"/>
        <v/>
      </c>
      <c r="M197" t="str">
        <f t="shared" si="6"/>
        <v/>
      </c>
      <c r="N197" t="str">
        <f t="shared" si="7"/>
        <v/>
      </c>
      <c r="O197" t="str">
        <f t="shared" si="8"/>
        <v/>
      </c>
      <c r="P197" t="str">
        <f t="shared" si="9"/>
        <v/>
      </c>
      <c r="Q197" t="str">
        <f t="shared" si="10"/>
        <v/>
      </c>
      <c r="R197" t="str">
        <f t="shared" si="11"/>
        <v/>
      </c>
      <c r="S197" t="str">
        <f t="shared" si="12"/>
        <v/>
      </c>
      <c r="T197" t="str">
        <f t="shared" si="13"/>
        <v/>
      </c>
      <c r="U197" t="str">
        <f t="shared" si="14"/>
        <v/>
      </c>
      <c r="V197" t="str">
        <f t="shared" si="15"/>
        <v/>
      </c>
      <c r="W197" t="str">
        <f t="shared" si="16"/>
        <v/>
      </c>
      <c r="X197" t="str">
        <f t="shared" si="17"/>
        <v/>
      </c>
      <c r="Y197" t="str">
        <f t="shared" si="18"/>
        <v/>
      </c>
      <c r="Z197" t="str">
        <f t="shared" si="19"/>
        <v/>
      </c>
      <c r="AA197" t="str">
        <f t="shared" si="20"/>
        <v/>
      </c>
      <c r="AB197" t="str">
        <f t="shared" si="21"/>
        <v/>
      </c>
      <c r="AC197" t="str">
        <f t="shared" si="22"/>
        <v/>
      </c>
      <c r="AD197" t="str">
        <f t="shared" si="23"/>
        <v/>
      </c>
      <c r="AE197" t="str">
        <f t="shared" si="24"/>
        <v/>
      </c>
      <c r="AF197" t="str">
        <f t="shared" si="25"/>
        <v/>
      </c>
      <c r="AG197" t="str">
        <f t="shared" si="26"/>
        <v/>
      </c>
      <c r="AH197" s="65" t="str">
        <f t="array" ref="AH197">if(sum(H197:AG197)=0,,sum(sort(TRANSPOSE(H197:AG197),1,false)))</f>
        <v/>
      </c>
    </row>
    <row r="198" hidden="1">
      <c r="F198" s="4">
        <v>66.0</v>
      </c>
      <c r="H198" t="str">
        <f t="shared" si="1"/>
        <v/>
      </c>
      <c r="I198" t="str">
        <f t="shared" si="2"/>
        <v/>
      </c>
      <c r="J198" t="str">
        <f t="shared" si="3"/>
        <v/>
      </c>
      <c r="K198" t="str">
        <f t="shared" si="4"/>
        <v/>
      </c>
      <c r="L198" t="str">
        <f t="shared" si="5"/>
        <v/>
      </c>
      <c r="M198" t="str">
        <f t="shared" si="6"/>
        <v/>
      </c>
      <c r="N198" t="str">
        <f t="shared" si="7"/>
        <v/>
      </c>
      <c r="O198" t="str">
        <f t="shared" si="8"/>
        <v/>
      </c>
      <c r="P198" t="str">
        <f t="shared" si="9"/>
        <v/>
      </c>
      <c r="Q198" t="str">
        <f t="shared" si="10"/>
        <v/>
      </c>
      <c r="R198" t="str">
        <f t="shared" si="11"/>
        <v/>
      </c>
      <c r="S198" t="str">
        <f t="shared" si="12"/>
        <v/>
      </c>
      <c r="T198" t="str">
        <f t="shared" si="13"/>
        <v/>
      </c>
      <c r="U198" t="str">
        <f t="shared" si="14"/>
        <v/>
      </c>
      <c r="V198" t="str">
        <f t="shared" si="15"/>
        <v/>
      </c>
      <c r="W198" t="str">
        <f t="shared" si="16"/>
        <v/>
      </c>
      <c r="X198" t="str">
        <f t="shared" si="17"/>
        <v/>
      </c>
      <c r="Y198" t="str">
        <f t="shared" si="18"/>
        <v/>
      </c>
      <c r="Z198" t="str">
        <f t="shared" si="19"/>
        <v/>
      </c>
      <c r="AA198" t="str">
        <f t="shared" si="20"/>
        <v/>
      </c>
      <c r="AB198" t="str">
        <f t="shared" si="21"/>
        <v/>
      </c>
      <c r="AC198" t="str">
        <f t="shared" si="22"/>
        <v/>
      </c>
      <c r="AD198" t="str">
        <f t="shared" si="23"/>
        <v/>
      </c>
      <c r="AE198" t="str">
        <f t="shared" si="24"/>
        <v/>
      </c>
      <c r="AF198" t="str">
        <f t="shared" si="25"/>
        <v/>
      </c>
      <c r="AG198" t="str">
        <f t="shared" si="26"/>
        <v/>
      </c>
      <c r="AH198" s="65" t="str">
        <f t="array" ref="AH198">if(sum(H198:AG198)=0,,sum(sort(TRANSPOSE(H198:AG198),1,false)))</f>
        <v/>
      </c>
    </row>
    <row r="199" hidden="1">
      <c r="F199" s="4">
        <v>67.0</v>
      </c>
      <c r="H199" t="str">
        <f t="shared" si="1"/>
        <v/>
      </c>
      <c r="I199" t="str">
        <f t="shared" si="2"/>
        <v/>
      </c>
      <c r="J199" t="str">
        <f t="shared" si="3"/>
        <v/>
      </c>
      <c r="K199" t="str">
        <f t="shared" si="4"/>
        <v/>
      </c>
      <c r="L199" t="str">
        <f t="shared" si="5"/>
        <v/>
      </c>
      <c r="M199" t="str">
        <f t="shared" si="6"/>
        <v/>
      </c>
      <c r="N199" t="str">
        <f t="shared" si="7"/>
        <v/>
      </c>
      <c r="O199" t="str">
        <f t="shared" si="8"/>
        <v/>
      </c>
      <c r="P199" t="str">
        <f t="shared" si="9"/>
        <v/>
      </c>
      <c r="Q199" t="str">
        <f t="shared" si="10"/>
        <v/>
      </c>
      <c r="R199" t="str">
        <f t="shared" si="11"/>
        <v/>
      </c>
      <c r="S199" t="str">
        <f t="shared" si="12"/>
        <v/>
      </c>
      <c r="T199" t="str">
        <f t="shared" si="13"/>
        <v/>
      </c>
      <c r="U199" t="str">
        <f t="shared" si="14"/>
        <v/>
      </c>
      <c r="V199" t="str">
        <f t="shared" si="15"/>
        <v/>
      </c>
      <c r="W199" t="str">
        <f t="shared" si="16"/>
        <v/>
      </c>
      <c r="X199" t="str">
        <f t="shared" si="17"/>
        <v/>
      </c>
      <c r="Y199" t="str">
        <f t="shared" si="18"/>
        <v/>
      </c>
      <c r="Z199" t="str">
        <f t="shared" si="19"/>
        <v/>
      </c>
      <c r="AA199" t="str">
        <f t="shared" si="20"/>
        <v/>
      </c>
      <c r="AB199" t="str">
        <f t="shared" si="21"/>
        <v/>
      </c>
      <c r="AC199" t="str">
        <f t="shared" si="22"/>
        <v/>
      </c>
      <c r="AD199" t="str">
        <f t="shared" si="23"/>
        <v/>
      </c>
      <c r="AE199" t="str">
        <f t="shared" si="24"/>
        <v/>
      </c>
      <c r="AF199" t="str">
        <f t="shared" si="25"/>
        <v/>
      </c>
      <c r="AG199" t="str">
        <f t="shared" si="26"/>
        <v/>
      </c>
      <c r="AH199" s="65" t="str">
        <f t="array" ref="AH199">if(sum(H199:AG199)=0,,sum(sort(TRANSPOSE(H199:AG199),1,false)))</f>
        <v/>
      </c>
    </row>
    <row r="200" hidden="1">
      <c r="F200" s="4">
        <v>68.0</v>
      </c>
      <c r="H200" t="str">
        <f t="shared" si="1"/>
        <v/>
      </c>
      <c r="I200" t="str">
        <f t="shared" si="2"/>
        <v/>
      </c>
      <c r="J200" t="str">
        <f t="shared" si="3"/>
        <v/>
      </c>
      <c r="K200" t="str">
        <f t="shared" si="4"/>
        <v/>
      </c>
      <c r="L200" t="str">
        <f t="shared" si="5"/>
        <v/>
      </c>
      <c r="M200" t="str">
        <f t="shared" si="6"/>
        <v/>
      </c>
      <c r="N200" t="str">
        <f t="shared" si="7"/>
        <v/>
      </c>
      <c r="O200" t="str">
        <f t="shared" si="8"/>
        <v/>
      </c>
      <c r="P200" t="str">
        <f t="shared" si="9"/>
        <v/>
      </c>
      <c r="Q200" t="str">
        <f t="shared" si="10"/>
        <v/>
      </c>
      <c r="R200" t="str">
        <f t="shared" si="11"/>
        <v/>
      </c>
      <c r="S200" t="str">
        <f t="shared" si="12"/>
        <v/>
      </c>
      <c r="T200" t="str">
        <f t="shared" si="13"/>
        <v/>
      </c>
      <c r="U200" t="str">
        <f t="shared" si="14"/>
        <v/>
      </c>
      <c r="V200" t="str">
        <f t="shared" si="15"/>
        <v/>
      </c>
      <c r="W200" t="str">
        <f t="shared" si="16"/>
        <v/>
      </c>
      <c r="X200" t="str">
        <f t="shared" si="17"/>
        <v/>
      </c>
      <c r="Y200" t="str">
        <f t="shared" si="18"/>
        <v/>
      </c>
      <c r="Z200" t="str">
        <f t="shared" si="19"/>
        <v/>
      </c>
      <c r="AA200" t="str">
        <f t="shared" si="20"/>
        <v/>
      </c>
      <c r="AB200" t="str">
        <f t="shared" si="21"/>
        <v/>
      </c>
      <c r="AC200" t="str">
        <f t="shared" si="22"/>
        <v/>
      </c>
      <c r="AD200" t="str">
        <f t="shared" si="23"/>
        <v/>
      </c>
      <c r="AE200" t="str">
        <f t="shared" si="24"/>
        <v/>
      </c>
      <c r="AF200" t="str">
        <f t="shared" si="25"/>
        <v/>
      </c>
      <c r="AG200" t="str">
        <f t="shared" si="26"/>
        <v/>
      </c>
      <c r="AH200" s="65" t="str">
        <f t="array" ref="AH200">if(sum(H200:AG200)=0,,sum(sort(TRANSPOSE(H200:AG200),1,false)))</f>
        <v/>
      </c>
    </row>
    <row r="201" hidden="1">
      <c r="F201" s="4">
        <v>69.0</v>
      </c>
      <c r="H201" t="str">
        <f t="shared" si="1"/>
        <v/>
      </c>
      <c r="I201" t="str">
        <f t="shared" si="2"/>
        <v/>
      </c>
      <c r="J201" t="str">
        <f t="shared" si="3"/>
        <v/>
      </c>
      <c r="K201" t="str">
        <f t="shared" si="4"/>
        <v/>
      </c>
      <c r="L201" t="str">
        <f t="shared" si="5"/>
        <v/>
      </c>
      <c r="M201" t="str">
        <f t="shared" si="6"/>
        <v/>
      </c>
      <c r="N201" t="str">
        <f t="shared" si="7"/>
        <v/>
      </c>
      <c r="O201" t="str">
        <f t="shared" si="8"/>
        <v/>
      </c>
      <c r="P201" t="str">
        <f t="shared" si="9"/>
        <v/>
      </c>
      <c r="Q201" t="str">
        <f t="shared" si="10"/>
        <v/>
      </c>
      <c r="R201" t="str">
        <f t="shared" si="11"/>
        <v/>
      </c>
      <c r="S201" t="str">
        <f t="shared" si="12"/>
        <v/>
      </c>
      <c r="T201" t="str">
        <f t="shared" si="13"/>
        <v/>
      </c>
      <c r="U201" t="str">
        <f t="shared" si="14"/>
        <v/>
      </c>
      <c r="V201" t="str">
        <f t="shared" si="15"/>
        <v/>
      </c>
      <c r="W201" t="str">
        <f t="shared" si="16"/>
        <v/>
      </c>
      <c r="X201" t="str">
        <f t="shared" si="17"/>
        <v/>
      </c>
      <c r="Y201" t="str">
        <f t="shared" si="18"/>
        <v/>
      </c>
      <c r="Z201" t="str">
        <f t="shared" si="19"/>
        <v/>
      </c>
      <c r="AA201" t="str">
        <f t="shared" si="20"/>
        <v/>
      </c>
      <c r="AB201" t="str">
        <f t="shared" si="21"/>
        <v/>
      </c>
      <c r="AC201" t="str">
        <f t="shared" si="22"/>
        <v/>
      </c>
      <c r="AD201" t="str">
        <f t="shared" si="23"/>
        <v/>
      </c>
      <c r="AE201" t="str">
        <f t="shared" si="24"/>
        <v/>
      </c>
      <c r="AF201" t="str">
        <f t="shared" si="25"/>
        <v/>
      </c>
      <c r="AG201" t="str">
        <f t="shared" si="26"/>
        <v/>
      </c>
      <c r="AH201" s="65" t="str">
        <f t="array" ref="AH201">if(sum(H201:AG201)=0,,sum(sort(TRANSPOSE(H201:AG201),1,false)))</f>
        <v/>
      </c>
    </row>
    <row r="202" hidden="1">
      <c r="F202" s="4">
        <v>70.0</v>
      </c>
      <c r="H202" t="str">
        <f t="shared" si="1"/>
        <v/>
      </c>
      <c r="I202" t="str">
        <f t="shared" si="2"/>
        <v/>
      </c>
      <c r="J202" t="str">
        <f t="shared" si="3"/>
        <v/>
      </c>
      <c r="K202" t="str">
        <f t="shared" si="4"/>
        <v/>
      </c>
      <c r="L202" t="str">
        <f t="shared" si="5"/>
        <v/>
      </c>
      <c r="M202" t="str">
        <f t="shared" si="6"/>
        <v/>
      </c>
      <c r="N202" t="str">
        <f t="shared" si="7"/>
        <v/>
      </c>
      <c r="O202" t="str">
        <f t="shared" si="8"/>
        <v/>
      </c>
      <c r="P202" t="str">
        <f t="shared" si="9"/>
        <v/>
      </c>
      <c r="Q202" t="str">
        <f t="shared" si="10"/>
        <v/>
      </c>
      <c r="R202" t="str">
        <f t="shared" si="11"/>
        <v/>
      </c>
      <c r="S202" t="str">
        <f t="shared" si="12"/>
        <v/>
      </c>
      <c r="T202" t="str">
        <f t="shared" si="13"/>
        <v/>
      </c>
      <c r="U202" t="str">
        <f t="shared" si="14"/>
        <v/>
      </c>
      <c r="V202" t="str">
        <f t="shared" si="15"/>
        <v/>
      </c>
      <c r="W202" t="str">
        <f t="shared" si="16"/>
        <v/>
      </c>
      <c r="X202" t="str">
        <f t="shared" si="17"/>
        <v/>
      </c>
      <c r="Y202" t="str">
        <f t="shared" si="18"/>
        <v/>
      </c>
      <c r="Z202" t="str">
        <f t="shared" si="19"/>
        <v/>
      </c>
      <c r="AA202" t="str">
        <f t="shared" si="20"/>
        <v/>
      </c>
      <c r="AB202" t="str">
        <f t="shared" si="21"/>
        <v/>
      </c>
      <c r="AC202" t="str">
        <f t="shared" si="22"/>
        <v/>
      </c>
      <c r="AD202" t="str">
        <f t="shared" si="23"/>
        <v/>
      </c>
      <c r="AE202" t="str">
        <f t="shared" si="24"/>
        <v/>
      </c>
      <c r="AF202" t="str">
        <f t="shared" si="25"/>
        <v/>
      </c>
      <c r="AG202" t="str">
        <f t="shared" si="26"/>
        <v/>
      </c>
      <c r="AH202" s="65" t="str">
        <f t="array" ref="AH202">if(sum(H202:AG202)=0,,sum(sort(TRANSPOSE(H202:AG202),1,false)))</f>
        <v/>
      </c>
    </row>
    <row r="203" hidden="1">
      <c r="F203" s="4">
        <v>71.0</v>
      </c>
      <c r="H203" t="str">
        <f t="shared" si="1"/>
        <v/>
      </c>
      <c r="I203" t="str">
        <f t="shared" si="2"/>
        <v/>
      </c>
      <c r="J203" t="str">
        <f t="shared" si="3"/>
        <v/>
      </c>
      <c r="K203" t="str">
        <f t="shared" si="4"/>
        <v/>
      </c>
      <c r="L203" t="str">
        <f t="shared" si="5"/>
        <v/>
      </c>
      <c r="M203" t="str">
        <f t="shared" si="6"/>
        <v/>
      </c>
      <c r="N203" t="str">
        <f t="shared" si="7"/>
        <v/>
      </c>
      <c r="O203" t="str">
        <f t="shared" si="8"/>
        <v/>
      </c>
      <c r="P203" t="str">
        <f t="shared" si="9"/>
        <v/>
      </c>
      <c r="Q203" t="str">
        <f t="shared" si="10"/>
        <v/>
      </c>
      <c r="R203" t="str">
        <f t="shared" si="11"/>
        <v/>
      </c>
      <c r="S203" t="str">
        <f t="shared" si="12"/>
        <v/>
      </c>
      <c r="T203" t="str">
        <f t="shared" si="13"/>
        <v/>
      </c>
      <c r="U203" t="str">
        <f t="shared" si="14"/>
        <v/>
      </c>
      <c r="V203" t="str">
        <f t="shared" si="15"/>
        <v/>
      </c>
      <c r="W203" t="str">
        <f t="shared" si="16"/>
        <v/>
      </c>
      <c r="X203" t="str">
        <f t="shared" si="17"/>
        <v/>
      </c>
      <c r="Y203" t="str">
        <f t="shared" si="18"/>
        <v/>
      </c>
      <c r="Z203" t="str">
        <f t="shared" si="19"/>
        <v/>
      </c>
      <c r="AA203" t="str">
        <f t="shared" si="20"/>
        <v/>
      </c>
      <c r="AB203" t="str">
        <f t="shared" si="21"/>
        <v/>
      </c>
      <c r="AC203" t="str">
        <f t="shared" si="22"/>
        <v/>
      </c>
      <c r="AD203" t="str">
        <f t="shared" si="23"/>
        <v/>
      </c>
      <c r="AE203" t="str">
        <f t="shared" si="24"/>
        <v/>
      </c>
      <c r="AF203" t="str">
        <f t="shared" si="25"/>
        <v/>
      </c>
      <c r="AG203" t="str">
        <f t="shared" si="26"/>
        <v/>
      </c>
      <c r="AH203" s="65" t="str">
        <f t="array" ref="AH203">if(sum(H203:AG203)=0,,sum(sort(TRANSPOSE(H203:AG203),1,false)))</f>
        <v/>
      </c>
    </row>
    <row r="204" hidden="1">
      <c r="F204" s="4">
        <v>72.0</v>
      </c>
      <c r="H204" t="str">
        <f t="shared" si="1"/>
        <v/>
      </c>
      <c r="I204" t="str">
        <f t="shared" si="2"/>
        <v/>
      </c>
      <c r="J204" t="str">
        <f t="shared" si="3"/>
        <v/>
      </c>
      <c r="K204" t="str">
        <f t="shared" si="4"/>
        <v/>
      </c>
      <c r="L204" t="str">
        <f t="shared" si="5"/>
        <v/>
      </c>
      <c r="M204" t="str">
        <f t="shared" si="6"/>
        <v/>
      </c>
      <c r="N204" t="str">
        <f t="shared" si="7"/>
        <v/>
      </c>
      <c r="O204" t="str">
        <f t="shared" si="8"/>
        <v/>
      </c>
      <c r="P204" t="str">
        <f t="shared" si="9"/>
        <v/>
      </c>
      <c r="Q204" t="str">
        <f t="shared" si="10"/>
        <v/>
      </c>
      <c r="R204" t="str">
        <f t="shared" si="11"/>
        <v/>
      </c>
      <c r="S204" t="str">
        <f t="shared" si="12"/>
        <v/>
      </c>
      <c r="T204" t="str">
        <f t="shared" si="13"/>
        <v/>
      </c>
      <c r="U204" t="str">
        <f t="shared" si="14"/>
        <v/>
      </c>
      <c r="V204" t="str">
        <f t="shared" si="15"/>
        <v/>
      </c>
      <c r="W204" t="str">
        <f t="shared" si="16"/>
        <v/>
      </c>
      <c r="X204" t="str">
        <f t="shared" si="17"/>
        <v/>
      </c>
      <c r="Y204" t="str">
        <f t="shared" si="18"/>
        <v/>
      </c>
      <c r="Z204" t="str">
        <f t="shared" si="19"/>
        <v/>
      </c>
      <c r="AA204" t="str">
        <f t="shared" si="20"/>
        <v/>
      </c>
      <c r="AB204" t="str">
        <f t="shared" si="21"/>
        <v/>
      </c>
      <c r="AC204" t="str">
        <f t="shared" si="22"/>
        <v/>
      </c>
      <c r="AD204" t="str">
        <f t="shared" si="23"/>
        <v/>
      </c>
      <c r="AE204" t="str">
        <f t="shared" si="24"/>
        <v/>
      </c>
      <c r="AF204" t="str">
        <f t="shared" si="25"/>
        <v/>
      </c>
      <c r="AG204" t="str">
        <f t="shared" si="26"/>
        <v/>
      </c>
      <c r="AH204" s="65" t="str">
        <f t="array" ref="AH204">if(sum(H204:AG204)=0,,sum(sort(TRANSPOSE(H204:AG204),1,false)))</f>
        <v/>
      </c>
    </row>
    <row r="205" hidden="1">
      <c r="F205" s="4">
        <v>73.0</v>
      </c>
      <c r="H205" t="str">
        <f t="shared" si="1"/>
        <v/>
      </c>
      <c r="I205" t="str">
        <f t="shared" si="2"/>
        <v/>
      </c>
      <c r="J205" t="str">
        <f t="shared" si="3"/>
        <v/>
      </c>
      <c r="K205" t="str">
        <f t="shared" si="4"/>
        <v/>
      </c>
      <c r="L205" t="str">
        <f t="shared" si="5"/>
        <v/>
      </c>
      <c r="M205" t="str">
        <f t="shared" si="6"/>
        <v/>
      </c>
      <c r="N205" t="str">
        <f t="shared" si="7"/>
        <v/>
      </c>
      <c r="O205" t="str">
        <f t="shared" si="8"/>
        <v/>
      </c>
      <c r="P205" t="str">
        <f t="shared" si="9"/>
        <v/>
      </c>
      <c r="Q205" t="str">
        <f t="shared" si="10"/>
        <v/>
      </c>
      <c r="R205" t="str">
        <f t="shared" si="11"/>
        <v/>
      </c>
      <c r="S205" t="str">
        <f t="shared" si="12"/>
        <v/>
      </c>
      <c r="T205" t="str">
        <f t="shared" si="13"/>
        <v/>
      </c>
      <c r="U205" t="str">
        <f t="shared" si="14"/>
        <v/>
      </c>
      <c r="V205" t="str">
        <f t="shared" si="15"/>
        <v/>
      </c>
      <c r="W205" t="str">
        <f t="shared" si="16"/>
        <v/>
      </c>
      <c r="X205" t="str">
        <f t="shared" si="17"/>
        <v/>
      </c>
      <c r="Y205" t="str">
        <f t="shared" si="18"/>
        <v/>
      </c>
      <c r="Z205" t="str">
        <f t="shared" si="19"/>
        <v/>
      </c>
      <c r="AA205" t="str">
        <f t="shared" si="20"/>
        <v/>
      </c>
      <c r="AB205" t="str">
        <f t="shared" si="21"/>
        <v/>
      </c>
      <c r="AC205" t="str">
        <f t="shared" si="22"/>
        <v/>
      </c>
      <c r="AD205" t="str">
        <f t="shared" si="23"/>
        <v/>
      </c>
      <c r="AE205" t="str">
        <f t="shared" si="24"/>
        <v/>
      </c>
      <c r="AF205" t="str">
        <f t="shared" si="25"/>
        <v/>
      </c>
      <c r="AG205" t="str">
        <f t="shared" si="26"/>
        <v/>
      </c>
      <c r="AH205" s="65" t="str">
        <f t="array" ref="AH205">if(sum(H205:AG205)=0,,sum(sort(TRANSPOSE(H205:AG205),1,false)))</f>
        <v/>
      </c>
    </row>
    <row r="206" hidden="1">
      <c r="F206" s="4">
        <v>74.0</v>
      </c>
      <c r="H206" t="str">
        <f t="shared" si="1"/>
        <v/>
      </c>
      <c r="I206" t="str">
        <f t="shared" si="2"/>
        <v/>
      </c>
      <c r="J206" t="str">
        <f t="shared" si="3"/>
        <v/>
      </c>
      <c r="K206" t="str">
        <f t="shared" si="4"/>
        <v/>
      </c>
      <c r="L206" t="str">
        <f t="shared" si="5"/>
        <v/>
      </c>
      <c r="M206" t="str">
        <f t="shared" si="6"/>
        <v/>
      </c>
      <c r="N206" t="str">
        <f t="shared" si="7"/>
        <v/>
      </c>
      <c r="O206" t="str">
        <f t="shared" si="8"/>
        <v/>
      </c>
      <c r="P206" t="str">
        <f t="shared" si="9"/>
        <v/>
      </c>
      <c r="Q206" t="str">
        <f t="shared" si="10"/>
        <v/>
      </c>
      <c r="R206" t="str">
        <f t="shared" si="11"/>
        <v/>
      </c>
      <c r="S206" t="str">
        <f t="shared" si="12"/>
        <v/>
      </c>
      <c r="T206" t="str">
        <f t="shared" si="13"/>
        <v/>
      </c>
      <c r="U206" t="str">
        <f t="shared" si="14"/>
        <v/>
      </c>
      <c r="V206" t="str">
        <f t="shared" si="15"/>
        <v/>
      </c>
      <c r="W206" t="str">
        <f t="shared" si="16"/>
        <v/>
      </c>
      <c r="X206" t="str">
        <f t="shared" si="17"/>
        <v/>
      </c>
      <c r="Y206" t="str">
        <f t="shared" si="18"/>
        <v/>
      </c>
      <c r="Z206" t="str">
        <f t="shared" si="19"/>
        <v/>
      </c>
      <c r="AA206" t="str">
        <f t="shared" si="20"/>
        <v/>
      </c>
      <c r="AB206" t="str">
        <f t="shared" si="21"/>
        <v/>
      </c>
      <c r="AC206" t="str">
        <f t="shared" si="22"/>
        <v/>
      </c>
      <c r="AD206" t="str">
        <f t="shared" si="23"/>
        <v/>
      </c>
      <c r="AE206" t="str">
        <f t="shared" si="24"/>
        <v/>
      </c>
      <c r="AF206" t="str">
        <f t="shared" si="25"/>
        <v/>
      </c>
      <c r="AG206" t="str">
        <f t="shared" si="26"/>
        <v/>
      </c>
      <c r="AH206" s="65" t="str">
        <f t="array" ref="AH206">if(sum(H206:AG206)=0,,sum(sort(TRANSPOSE(H206:AG206),1,false)))</f>
        <v/>
      </c>
    </row>
    <row r="207" hidden="1">
      <c r="F207" s="4">
        <v>75.0</v>
      </c>
      <c r="H207" t="str">
        <f t="shared" si="1"/>
        <v/>
      </c>
      <c r="I207" t="str">
        <f t="shared" si="2"/>
        <v/>
      </c>
      <c r="J207" t="str">
        <f t="shared" si="3"/>
        <v/>
      </c>
      <c r="K207" t="str">
        <f t="shared" si="4"/>
        <v/>
      </c>
      <c r="L207" t="str">
        <f t="shared" si="5"/>
        <v/>
      </c>
      <c r="M207" t="str">
        <f t="shared" si="6"/>
        <v/>
      </c>
      <c r="N207" t="str">
        <f t="shared" si="7"/>
        <v/>
      </c>
      <c r="O207" t="str">
        <f t="shared" si="8"/>
        <v/>
      </c>
      <c r="P207" t="str">
        <f t="shared" si="9"/>
        <v/>
      </c>
      <c r="Q207" t="str">
        <f t="shared" si="10"/>
        <v/>
      </c>
      <c r="R207" t="str">
        <f t="shared" si="11"/>
        <v/>
      </c>
      <c r="S207" t="str">
        <f t="shared" si="12"/>
        <v/>
      </c>
      <c r="T207" t="str">
        <f t="shared" si="13"/>
        <v/>
      </c>
      <c r="U207" t="str">
        <f t="shared" si="14"/>
        <v/>
      </c>
      <c r="V207" t="str">
        <f t="shared" si="15"/>
        <v/>
      </c>
      <c r="W207" t="str">
        <f t="shared" si="16"/>
        <v/>
      </c>
      <c r="X207" t="str">
        <f t="shared" si="17"/>
        <v/>
      </c>
      <c r="Y207" t="str">
        <f t="shared" si="18"/>
        <v/>
      </c>
      <c r="Z207" t="str">
        <f t="shared" si="19"/>
        <v/>
      </c>
      <c r="AA207" t="str">
        <f t="shared" si="20"/>
        <v/>
      </c>
      <c r="AB207" t="str">
        <f t="shared" si="21"/>
        <v/>
      </c>
      <c r="AC207" t="str">
        <f t="shared" si="22"/>
        <v/>
      </c>
      <c r="AD207" t="str">
        <f t="shared" si="23"/>
        <v/>
      </c>
      <c r="AE207" t="str">
        <f t="shared" si="24"/>
        <v/>
      </c>
      <c r="AF207" t="str">
        <f t="shared" si="25"/>
        <v/>
      </c>
      <c r="AG207" t="str">
        <f t="shared" si="26"/>
        <v/>
      </c>
      <c r="AH207" s="65" t="str">
        <f t="array" ref="AH207">if(sum(H207:AG207)=0,,sum(sort(TRANSPOSE(H207:AG207),1,false)))</f>
        <v/>
      </c>
    </row>
    <row r="208" hidden="1">
      <c r="F208" s="4">
        <v>76.0</v>
      </c>
      <c r="H208" t="str">
        <f t="shared" si="1"/>
        <v/>
      </c>
      <c r="I208" t="str">
        <f t="shared" si="2"/>
        <v/>
      </c>
      <c r="J208" t="str">
        <f t="shared" si="3"/>
        <v/>
      </c>
      <c r="K208" t="str">
        <f t="shared" si="4"/>
        <v/>
      </c>
      <c r="L208" t="str">
        <f t="shared" si="5"/>
        <v/>
      </c>
      <c r="M208" t="str">
        <f t="shared" si="6"/>
        <v/>
      </c>
      <c r="N208" t="str">
        <f t="shared" si="7"/>
        <v/>
      </c>
      <c r="O208" t="str">
        <f t="shared" si="8"/>
        <v/>
      </c>
      <c r="P208" t="str">
        <f t="shared" si="9"/>
        <v/>
      </c>
      <c r="Q208" t="str">
        <f t="shared" si="10"/>
        <v/>
      </c>
      <c r="R208" t="str">
        <f t="shared" si="11"/>
        <v/>
      </c>
      <c r="S208" t="str">
        <f t="shared" si="12"/>
        <v/>
      </c>
      <c r="T208" t="str">
        <f t="shared" si="13"/>
        <v/>
      </c>
      <c r="U208" t="str">
        <f t="shared" si="14"/>
        <v/>
      </c>
      <c r="V208" t="str">
        <f t="shared" si="15"/>
        <v/>
      </c>
      <c r="W208" t="str">
        <f t="shared" si="16"/>
        <v/>
      </c>
      <c r="X208" t="str">
        <f t="shared" si="17"/>
        <v/>
      </c>
      <c r="Y208" t="str">
        <f t="shared" si="18"/>
        <v/>
      </c>
      <c r="Z208" t="str">
        <f t="shared" si="19"/>
        <v/>
      </c>
      <c r="AA208" t="str">
        <f t="shared" si="20"/>
        <v/>
      </c>
      <c r="AB208" t="str">
        <f t="shared" si="21"/>
        <v/>
      </c>
      <c r="AC208" t="str">
        <f t="shared" si="22"/>
        <v/>
      </c>
      <c r="AD208" t="str">
        <f t="shared" si="23"/>
        <v/>
      </c>
      <c r="AE208" t="str">
        <f t="shared" si="24"/>
        <v/>
      </c>
      <c r="AF208" t="str">
        <f t="shared" si="25"/>
        <v/>
      </c>
      <c r="AG208" t="str">
        <f t="shared" si="26"/>
        <v/>
      </c>
      <c r="AH208" s="65" t="str">
        <f t="array" ref="AH208">if(sum(H208:AG208)=0,,sum(sort(TRANSPOSE(H208:AG208),1,false)))</f>
        <v/>
      </c>
    </row>
    <row r="209" hidden="1">
      <c r="F209" s="4">
        <v>77.0</v>
      </c>
      <c r="H209" t="str">
        <f t="shared" si="1"/>
        <v/>
      </c>
      <c r="I209" t="str">
        <f t="shared" si="2"/>
        <v/>
      </c>
      <c r="J209" t="str">
        <f t="shared" si="3"/>
        <v/>
      </c>
      <c r="K209" t="str">
        <f t="shared" si="4"/>
        <v/>
      </c>
      <c r="L209" t="str">
        <f t="shared" si="5"/>
        <v/>
      </c>
      <c r="M209" t="str">
        <f t="shared" si="6"/>
        <v/>
      </c>
      <c r="N209" t="str">
        <f t="shared" si="7"/>
        <v/>
      </c>
      <c r="O209" t="str">
        <f t="shared" si="8"/>
        <v/>
      </c>
      <c r="P209" t="str">
        <f t="shared" si="9"/>
        <v/>
      </c>
      <c r="Q209" t="str">
        <f t="shared" si="10"/>
        <v/>
      </c>
      <c r="R209" t="str">
        <f t="shared" si="11"/>
        <v/>
      </c>
      <c r="S209" t="str">
        <f t="shared" si="12"/>
        <v/>
      </c>
      <c r="T209" t="str">
        <f t="shared" si="13"/>
        <v/>
      </c>
      <c r="U209" t="str">
        <f t="shared" si="14"/>
        <v/>
      </c>
      <c r="V209" t="str">
        <f t="shared" si="15"/>
        <v/>
      </c>
      <c r="W209" t="str">
        <f t="shared" si="16"/>
        <v/>
      </c>
      <c r="X209" t="str">
        <f t="shared" si="17"/>
        <v/>
      </c>
      <c r="Y209" t="str">
        <f t="shared" si="18"/>
        <v/>
      </c>
      <c r="Z209" t="str">
        <f t="shared" si="19"/>
        <v/>
      </c>
      <c r="AA209" t="str">
        <f t="shared" si="20"/>
        <v/>
      </c>
      <c r="AB209" t="str">
        <f t="shared" si="21"/>
        <v/>
      </c>
      <c r="AC209" t="str">
        <f t="shared" si="22"/>
        <v/>
      </c>
      <c r="AD209" t="str">
        <f t="shared" si="23"/>
        <v/>
      </c>
      <c r="AE209" t="str">
        <f t="shared" si="24"/>
        <v/>
      </c>
      <c r="AF209" t="str">
        <f t="shared" si="25"/>
        <v/>
      </c>
      <c r="AG209" t="str">
        <f t="shared" si="26"/>
        <v/>
      </c>
      <c r="AH209" s="65" t="str">
        <f t="array" ref="AH209">if(sum(H209:AG209)=0,,sum(sort(TRANSPOSE(H209:AG209),1,false)))</f>
        <v/>
      </c>
    </row>
    <row r="210" hidden="1">
      <c r="F210" s="4">
        <v>78.0</v>
      </c>
      <c r="H210" t="str">
        <f t="shared" si="1"/>
        <v/>
      </c>
      <c r="I210" t="str">
        <f t="shared" si="2"/>
        <v/>
      </c>
      <c r="J210" t="str">
        <f t="shared" si="3"/>
        <v/>
      </c>
      <c r="K210" t="str">
        <f t="shared" si="4"/>
        <v/>
      </c>
      <c r="L210" t="str">
        <f t="shared" si="5"/>
        <v/>
      </c>
      <c r="M210" t="str">
        <f t="shared" si="6"/>
        <v/>
      </c>
      <c r="N210" t="str">
        <f t="shared" si="7"/>
        <v/>
      </c>
      <c r="O210" t="str">
        <f t="shared" si="8"/>
        <v/>
      </c>
      <c r="P210" t="str">
        <f t="shared" si="9"/>
        <v/>
      </c>
      <c r="Q210" t="str">
        <f t="shared" si="10"/>
        <v/>
      </c>
      <c r="R210" t="str">
        <f t="shared" si="11"/>
        <v/>
      </c>
      <c r="S210" t="str">
        <f t="shared" si="12"/>
        <v/>
      </c>
      <c r="T210" t="str">
        <f t="shared" si="13"/>
        <v/>
      </c>
      <c r="U210" t="str">
        <f t="shared" si="14"/>
        <v/>
      </c>
      <c r="V210" t="str">
        <f t="shared" si="15"/>
        <v/>
      </c>
      <c r="W210" t="str">
        <f t="shared" si="16"/>
        <v/>
      </c>
      <c r="X210" t="str">
        <f t="shared" si="17"/>
        <v/>
      </c>
      <c r="Y210" t="str">
        <f t="shared" si="18"/>
        <v/>
      </c>
      <c r="Z210" t="str">
        <f t="shared" si="19"/>
        <v/>
      </c>
      <c r="AA210" t="str">
        <f t="shared" si="20"/>
        <v/>
      </c>
      <c r="AB210" t="str">
        <f t="shared" si="21"/>
        <v/>
      </c>
      <c r="AC210" t="str">
        <f t="shared" si="22"/>
        <v/>
      </c>
      <c r="AD210" t="str">
        <f t="shared" si="23"/>
        <v/>
      </c>
      <c r="AE210" t="str">
        <f t="shared" si="24"/>
        <v/>
      </c>
      <c r="AF210" t="str">
        <f t="shared" si="25"/>
        <v/>
      </c>
      <c r="AG210" t="str">
        <f t="shared" si="26"/>
        <v/>
      </c>
      <c r="AH210" s="65" t="str">
        <f t="array" ref="AH210">if(sum(H210:AG210)=0,,sum(sort(TRANSPOSE(H210:AG210),1,false)))</f>
        <v/>
      </c>
    </row>
    <row r="211" hidden="1">
      <c r="F211" s="4">
        <v>79.0</v>
      </c>
      <c r="H211" t="str">
        <f t="shared" si="1"/>
        <v/>
      </c>
      <c r="I211" t="str">
        <f t="shared" si="2"/>
        <v/>
      </c>
      <c r="J211" t="str">
        <f t="shared" si="3"/>
        <v/>
      </c>
      <c r="K211" t="str">
        <f t="shared" si="4"/>
        <v/>
      </c>
      <c r="L211" t="str">
        <f t="shared" si="5"/>
        <v/>
      </c>
      <c r="M211" t="str">
        <f t="shared" si="6"/>
        <v/>
      </c>
      <c r="N211" t="str">
        <f t="shared" si="7"/>
        <v/>
      </c>
      <c r="O211" t="str">
        <f t="shared" si="8"/>
        <v/>
      </c>
      <c r="P211" t="str">
        <f t="shared" si="9"/>
        <v/>
      </c>
      <c r="Q211" t="str">
        <f t="shared" si="10"/>
        <v/>
      </c>
      <c r="R211" t="str">
        <f t="shared" si="11"/>
        <v/>
      </c>
      <c r="S211" t="str">
        <f t="shared" si="12"/>
        <v/>
      </c>
      <c r="T211" t="str">
        <f t="shared" si="13"/>
        <v/>
      </c>
      <c r="U211" t="str">
        <f t="shared" si="14"/>
        <v/>
      </c>
      <c r="V211" t="str">
        <f t="shared" si="15"/>
        <v/>
      </c>
      <c r="W211" t="str">
        <f t="shared" si="16"/>
        <v/>
      </c>
      <c r="X211" t="str">
        <f t="shared" si="17"/>
        <v/>
      </c>
      <c r="Y211" t="str">
        <f t="shared" si="18"/>
        <v/>
      </c>
      <c r="Z211" t="str">
        <f t="shared" si="19"/>
        <v/>
      </c>
      <c r="AA211" t="str">
        <f t="shared" si="20"/>
        <v/>
      </c>
      <c r="AB211" t="str">
        <f t="shared" si="21"/>
        <v/>
      </c>
      <c r="AC211" t="str">
        <f t="shared" si="22"/>
        <v/>
      </c>
      <c r="AD211" t="str">
        <f t="shared" si="23"/>
        <v/>
      </c>
      <c r="AE211" t="str">
        <f t="shared" si="24"/>
        <v/>
      </c>
      <c r="AF211" t="str">
        <f t="shared" si="25"/>
        <v/>
      </c>
      <c r="AG211" t="str">
        <f t="shared" si="26"/>
        <v/>
      </c>
      <c r="AH211" s="65" t="str">
        <f t="array" ref="AH211">if(sum(H211:AG211)=0,,sum(sort(TRANSPOSE(H211:AG211),1,false)))</f>
        <v/>
      </c>
    </row>
    <row r="212" hidden="1">
      <c r="F212" s="4">
        <v>80.0</v>
      </c>
      <c r="H212" t="str">
        <f t="shared" si="1"/>
        <v/>
      </c>
      <c r="I212" t="str">
        <f t="shared" si="2"/>
        <v/>
      </c>
      <c r="J212" t="str">
        <f t="shared" si="3"/>
        <v/>
      </c>
      <c r="K212" t="str">
        <f t="shared" si="4"/>
        <v/>
      </c>
      <c r="L212" t="str">
        <f t="shared" si="5"/>
        <v/>
      </c>
      <c r="M212" t="str">
        <f t="shared" si="6"/>
        <v/>
      </c>
      <c r="N212" t="str">
        <f t="shared" si="7"/>
        <v/>
      </c>
      <c r="O212" t="str">
        <f t="shared" si="8"/>
        <v/>
      </c>
      <c r="P212" t="str">
        <f t="shared" si="9"/>
        <v/>
      </c>
      <c r="Q212" t="str">
        <f t="shared" si="10"/>
        <v/>
      </c>
      <c r="R212" t="str">
        <f t="shared" si="11"/>
        <v/>
      </c>
      <c r="S212" t="str">
        <f t="shared" si="12"/>
        <v/>
      </c>
      <c r="T212" t="str">
        <f t="shared" si="13"/>
        <v/>
      </c>
      <c r="U212" t="str">
        <f t="shared" si="14"/>
        <v/>
      </c>
      <c r="V212" t="str">
        <f t="shared" si="15"/>
        <v/>
      </c>
      <c r="W212" t="str">
        <f t="shared" si="16"/>
        <v/>
      </c>
      <c r="X212" t="str">
        <f t="shared" si="17"/>
        <v/>
      </c>
      <c r="Y212" t="str">
        <f t="shared" si="18"/>
        <v/>
      </c>
      <c r="Z212" t="str">
        <f t="shared" si="19"/>
        <v/>
      </c>
      <c r="AA212" t="str">
        <f t="shared" si="20"/>
        <v/>
      </c>
      <c r="AB212" t="str">
        <f t="shared" si="21"/>
        <v/>
      </c>
      <c r="AC212" t="str">
        <f t="shared" si="22"/>
        <v/>
      </c>
      <c r="AD212" t="str">
        <f t="shared" si="23"/>
        <v/>
      </c>
      <c r="AE212" t="str">
        <f t="shared" si="24"/>
        <v/>
      </c>
      <c r="AF212" t="str">
        <f t="shared" si="25"/>
        <v/>
      </c>
      <c r="AG212" t="str">
        <f t="shared" si="26"/>
        <v/>
      </c>
      <c r="AH212" s="65" t="str">
        <f t="array" ref="AH212">if(sum(H212:AG212)=0,,sum(sort(TRANSPOSE(H212:AG212),1,false)))</f>
        <v/>
      </c>
    </row>
    <row r="213" hidden="1">
      <c r="F213" s="4">
        <v>81.0</v>
      </c>
      <c r="H213" t="str">
        <f t="shared" si="1"/>
        <v/>
      </c>
      <c r="I213" t="str">
        <f t="shared" si="2"/>
        <v/>
      </c>
      <c r="J213" t="str">
        <f t="shared" si="3"/>
        <v/>
      </c>
      <c r="K213" t="str">
        <f t="shared" si="4"/>
        <v/>
      </c>
      <c r="L213" t="str">
        <f t="shared" si="5"/>
        <v/>
      </c>
      <c r="M213" t="str">
        <f t="shared" si="6"/>
        <v/>
      </c>
      <c r="N213" t="str">
        <f t="shared" si="7"/>
        <v/>
      </c>
      <c r="O213" t="str">
        <f t="shared" si="8"/>
        <v/>
      </c>
      <c r="P213" t="str">
        <f t="shared" si="9"/>
        <v/>
      </c>
      <c r="Q213" t="str">
        <f t="shared" si="10"/>
        <v/>
      </c>
      <c r="R213" t="str">
        <f t="shared" si="11"/>
        <v/>
      </c>
      <c r="S213" t="str">
        <f t="shared" si="12"/>
        <v/>
      </c>
      <c r="T213" t="str">
        <f t="shared" si="13"/>
        <v/>
      </c>
      <c r="U213" t="str">
        <f t="shared" si="14"/>
        <v/>
      </c>
      <c r="V213" t="str">
        <f t="shared" si="15"/>
        <v/>
      </c>
      <c r="W213" t="str">
        <f t="shared" si="16"/>
        <v/>
      </c>
      <c r="X213" t="str">
        <f t="shared" si="17"/>
        <v/>
      </c>
      <c r="Y213" t="str">
        <f t="shared" si="18"/>
        <v/>
      </c>
      <c r="Z213" t="str">
        <f t="shared" si="19"/>
        <v/>
      </c>
      <c r="AA213" t="str">
        <f t="shared" si="20"/>
        <v/>
      </c>
      <c r="AB213" t="str">
        <f t="shared" si="21"/>
        <v/>
      </c>
      <c r="AC213" t="str">
        <f t="shared" si="22"/>
        <v/>
      </c>
      <c r="AD213" t="str">
        <f t="shared" si="23"/>
        <v/>
      </c>
      <c r="AE213" t="str">
        <f t="shared" si="24"/>
        <v/>
      </c>
      <c r="AF213" t="str">
        <f t="shared" si="25"/>
        <v/>
      </c>
      <c r="AG213" t="str">
        <f t="shared" si="26"/>
        <v/>
      </c>
      <c r="AH213" s="65" t="str">
        <f t="array" ref="AH213">if(sum(H213:AG213)=0,,sum(sort(TRANSPOSE(H213:AG213),1,false)))</f>
        <v/>
      </c>
    </row>
    <row r="214" hidden="1">
      <c r="F214" s="4">
        <v>82.0</v>
      </c>
      <c r="H214" t="str">
        <f t="shared" si="1"/>
        <v/>
      </c>
      <c r="I214" t="str">
        <f t="shared" si="2"/>
        <v/>
      </c>
      <c r="J214" t="str">
        <f t="shared" si="3"/>
        <v/>
      </c>
      <c r="K214" t="str">
        <f t="shared" si="4"/>
        <v/>
      </c>
      <c r="L214" t="str">
        <f t="shared" si="5"/>
        <v/>
      </c>
      <c r="M214" t="str">
        <f t="shared" si="6"/>
        <v/>
      </c>
      <c r="N214" t="str">
        <f t="shared" si="7"/>
        <v/>
      </c>
      <c r="O214" t="str">
        <f t="shared" si="8"/>
        <v/>
      </c>
      <c r="P214" t="str">
        <f t="shared" si="9"/>
        <v/>
      </c>
      <c r="Q214" t="str">
        <f t="shared" si="10"/>
        <v/>
      </c>
      <c r="R214" t="str">
        <f t="shared" si="11"/>
        <v/>
      </c>
      <c r="S214" t="str">
        <f t="shared" si="12"/>
        <v/>
      </c>
      <c r="T214" t="str">
        <f t="shared" si="13"/>
        <v/>
      </c>
      <c r="U214" t="str">
        <f t="shared" si="14"/>
        <v/>
      </c>
      <c r="V214" t="str">
        <f t="shared" si="15"/>
        <v/>
      </c>
      <c r="W214" t="str">
        <f t="shared" si="16"/>
        <v/>
      </c>
      <c r="X214" t="str">
        <f t="shared" si="17"/>
        <v/>
      </c>
      <c r="Y214" t="str">
        <f t="shared" si="18"/>
        <v/>
      </c>
      <c r="Z214" t="str">
        <f t="shared" si="19"/>
        <v/>
      </c>
      <c r="AA214" t="str">
        <f t="shared" si="20"/>
        <v/>
      </c>
      <c r="AB214" t="str">
        <f t="shared" si="21"/>
        <v/>
      </c>
      <c r="AC214" t="str">
        <f t="shared" si="22"/>
        <v/>
      </c>
      <c r="AD214" t="str">
        <f t="shared" si="23"/>
        <v/>
      </c>
      <c r="AE214" t="str">
        <f t="shared" si="24"/>
        <v/>
      </c>
      <c r="AF214" t="str">
        <f t="shared" si="25"/>
        <v/>
      </c>
      <c r="AG214" t="str">
        <f t="shared" si="26"/>
        <v/>
      </c>
      <c r="AH214" s="65" t="str">
        <f t="array" ref="AH214">if(sum(H214:AG214)=0,,sum(sort(TRANSPOSE(H214:AG214),1,false)))</f>
        <v/>
      </c>
    </row>
    <row r="215" hidden="1">
      <c r="F215" s="4">
        <v>83.0</v>
      </c>
      <c r="H215" t="str">
        <f t="shared" si="1"/>
        <v/>
      </c>
      <c r="I215" t="str">
        <f t="shared" si="2"/>
        <v/>
      </c>
      <c r="J215" t="str">
        <f t="shared" si="3"/>
        <v/>
      </c>
      <c r="K215" t="str">
        <f t="shared" si="4"/>
        <v/>
      </c>
      <c r="L215" t="str">
        <f t="shared" si="5"/>
        <v/>
      </c>
      <c r="M215" t="str">
        <f t="shared" si="6"/>
        <v/>
      </c>
      <c r="N215" t="str">
        <f t="shared" si="7"/>
        <v/>
      </c>
      <c r="O215" t="str">
        <f t="shared" si="8"/>
        <v/>
      </c>
      <c r="P215" t="str">
        <f t="shared" si="9"/>
        <v/>
      </c>
      <c r="Q215" t="str">
        <f t="shared" si="10"/>
        <v/>
      </c>
      <c r="R215" t="str">
        <f t="shared" si="11"/>
        <v/>
      </c>
      <c r="S215" t="str">
        <f t="shared" si="12"/>
        <v/>
      </c>
      <c r="T215" t="str">
        <f t="shared" si="13"/>
        <v/>
      </c>
      <c r="U215" t="str">
        <f t="shared" si="14"/>
        <v/>
      </c>
      <c r="V215" t="str">
        <f t="shared" si="15"/>
        <v/>
      </c>
      <c r="W215" t="str">
        <f t="shared" si="16"/>
        <v/>
      </c>
      <c r="X215" t="str">
        <f t="shared" si="17"/>
        <v/>
      </c>
      <c r="Y215" t="str">
        <f t="shared" si="18"/>
        <v/>
      </c>
      <c r="Z215" t="str">
        <f t="shared" si="19"/>
        <v/>
      </c>
      <c r="AA215" t="str">
        <f t="shared" si="20"/>
        <v/>
      </c>
      <c r="AB215" t="str">
        <f t="shared" si="21"/>
        <v/>
      </c>
      <c r="AC215" t="str">
        <f t="shared" si="22"/>
        <v/>
      </c>
      <c r="AD215" t="str">
        <f t="shared" si="23"/>
        <v/>
      </c>
      <c r="AE215" t="str">
        <f t="shared" si="24"/>
        <v/>
      </c>
      <c r="AF215" t="str">
        <f t="shared" si="25"/>
        <v/>
      </c>
      <c r="AG215" t="str">
        <f t="shared" si="26"/>
        <v/>
      </c>
      <c r="AH215" s="65" t="str">
        <f t="array" ref="AH215">if(sum(H215:AG215)=0,,sum(sort(TRANSPOSE(H215:AG215),1,false)))</f>
        <v/>
      </c>
    </row>
    <row r="216" hidden="1">
      <c r="F216" s="4">
        <v>84.0</v>
      </c>
      <c r="H216" t="str">
        <f t="shared" si="1"/>
        <v/>
      </c>
      <c r="I216" t="str">
        <f t="shared" si="2"/>
        <v/>
      </c>
      <c r="J216" t="str">
        <f t="shared" si="3"/>
        <v/>
      </c>
      <c r="K216" t="str">
        <f t="shared" si="4"/>
        <v/>
      </c>
      <c r="L216" t="str">
        <f t="shared" si="5"/>
        <v/>
      </c>
      <c r="M216" t="str">
        <f t="shared" si="6"/>
        <v/>
      </c>
      <c r="N216" t="str">
        <f t="shared" si="7"/>
        <v/>
      </c>
      <c r="O216" t="str">
        <f t="shared" si="8"/>
        <v/>
      </c>
      <c r="P216" t="str">
        <f t="shared" si="9"/>
        <v/>
      </c>
      <c r="Q216" t="str">
        <f t="shared" si="10"/>
        <v/>
      </c>
      <c r="R216" t="str">
        <f t="shared" si="11"/>
        <v/>
      </c>
      <c r="S216" t="str">
        <f t="shared" si="12"/>
        <v/>
      </c>
      <c r="T216" t="str">
        <f t="shared" si="13"/>
        <v/>
      </c>
      <c r="U216" t="str">
        <f t="shared" si="14"/>
        <v/>
      </c>
      <c r="V216" t="str">
        <f t="shared" si="15"/>
        <v/>
      </c>
      <c r="W216" t="str">
        <f t="shared" si="16"/>
        <v/>
      </c>
      <c r="X216" t="str">
        <f t="shared" si="17"/>
        <v/>
      </c>
      <c r="Y216" t="str">
        <f t="shared" si="18"/>
        <v/>
      </c>
      <c r="Z216" t="str">
        <f t="shared" si="19"/>
        <v/>
      </c>
      <c r="AA216" t="str">
        <f t="shared" si="20"/>
        <v/>
      </c>
      <c r="AB216" t="str">
        <f t="shared" si="21"/>
        <v/>
      </c>
      <c r="AC216" t="str">
        <f t="shared" si="22"/>
        <v/>
      </c>
      <c r="AD216" t="str">
        <f t="shared" si="23"/>
        <v/>
      </c>
      <c r="AE216" t="str">
        <f t="shared" si="24"/>
        <v/>
      </c>
      <c r="AF216" t="str">
        <f t="shared" si="25"/>
        <v/>
      </c>
      <c r="AG216" t="str">
        <f t="shared" si="26"/>
        <v/>
      </c>
      <c r="AH216" s="65" t="str">
        <f t="array" ref="AH216">if(sum(H216:AG216)=0,,sum(sort(TRANSPOSE(H216:AG216),1,false)))</f>
        <v/>
      </c>
    </row>
    <row r="217" hidden="1">
      <c r="F217" s="4">
        <v>85.0</v>
      </c>
      <c r="H217" t="str">
        <f t="shared" si="1"/>
        <v/>
      </c>
      <c r="I217" t="str">
        <f t="shared" si="2"/>
        <v/>
      </c>
      <c r="J217" t="str">
        <f t="shared" si="3"/>
        <v/>
      </c>
      <c r="K217" t="str">
        <f t="shared" si="4"/>
        <v/>
      </c>
      <c r="L217" t="str">
        <f t="shared" si="5"/>
        <v/>
      </c>
      <c r="M217" t="str">
        <f t="shared" si="6"/>
        <v/>
      </c>
      <c r="N217" t="str">
        <f t="shared" si="7"/>
        <v/>
      </c>
      <c r="O217" t="str">
        <f t="shared" si="8"/>
        <v/>
      </c>
      <c r="P217" t="str">
        <f t="shared" si="9"/>
        <v/>
      </c>
      <c r="Q217" t="str">
        <f t="shared" si="10"/>
        <v/>
      </c>
      <c r="R217" t="str">
        <f t="shared" si="11"/>
        <v/>
      </c>
      <c r="S217" t="str">
        <f t="shared" si="12"/>
        <v/>
      </c>
      <c r="T217" t="str">
        <f t="shared" si="13"/>
        <v/>
      </c>
      <c r="U217" t="str">
        <f t="shared" si="14"/>
        <v/>
      </c>
      <c r="V217" t="str">
        <f t="shared" si="15"/>
        <v/>
      </c>
      <c r="W217" t="str">
        <f t="shared" si="16"/>
        <v/>
      </c>
      <c r="X217" t="str">
        <f t="shared" si="17"/>
        <v/>
      </c>
      <c r="Y217" t="str">
        <f t="shared" si="18"/>
        <v/>
      </c>
      <c r="Z217" t="str">
        <f t="shared" si="19"/>
        <v/>
      </c>
      <c r="AA217" t="str">
        <f t="shared" si="20"/>
        <v/>
      </c>
      <c r="AB217" t="str">
        <f t="shared" si="21"/>
        <v/>
      </c>
      <c r="AC217" t="str">
        <f t="shared" si="22"/>
        <v/>
      </c>
      <c r="AD217" t="str">
        <f t="shared" si="23"/>
        <v/>
      </c>
      <c r="AE217" t="str">
        <f t="shared" si="24"/>
        <v/>
      </c>
      <c r="AF217" t="str">
        <f t="shared" si="25"/>
        <v/>
      </c>
      <c r="AG217" t="str">
        <f t="shared" si="26"/>
        <v/>
      </c>
      <c r="AH217" s="65" t="str">
        <f t="array" ref="AH217">if(sum(H217:AG217)=0,,sum(sort(TRANSPOSE(H217:AG217),1,false)))</f>
        <v/>
      </c>
    </row>
    <row r="218" hidden="1">
      <c r="F218" s="4">
        <v>86.0</v>
      </c>
      <c r="H218" t="str">
        <f t="shared" si="1"/>
        <v/>
      </c>
      <c r="I218" t="str">
        <f t="shared" si="2"/>
        <v/>
      </c>
      <c r="J218" t="str">
        <f t="shared" si="3"/>
        <v/>
      </c>
      <c r="K218" t="str">
        <f t="shared" si="4"/>
        <v/>
      </c>
      <c r="L218" t="str">
        <f t="shared" si="5"/>
        <v/>
      </c>
      <c r="M218" t="str">
        <f t="shared" si="6"/>
        <v/>
      </c>
      <c r="N218" t="str">
        <f t="shared" si="7"/>
        <v/>
      </c>
      <c r="O218" t="str">
        <f t="shared" si="8"/>
        <v/>
      </c>
      <c r="P218" t="str">
        <f t="shared" si="9"/>
        <v/>
      </c>
      <c r="Q218" t="str">
        <f t="shared" si="10"/>
        <v/>
      </c>
      <c r="R218" t="str">
        <f t="shared" si="11"/>
        <v/>
      </c>
      <c r="S218" t="str">
        <f t="shared" si="12"/>
        <v/>
      </c>
      <c r="T218" t="str">
        <f t="shared" si="13"/>
        <v/>
      </c>
      <c r="U218" t="str">
        <f t="shared" si="14"/>
        <v/>
      </c>
      <c r="V218" t="str">
        <f t="shared" si="15"/>
        <v/>
      </c>
      <c r="W218" t="str">
        <f t="shared" si="16"/>
        <v/>
      </c>
      <c r="X218" t="str">
        <f t="shared" si="17"/>
        <v/>
      </c>
      <c r="Y218" t="str">
        <f t="shared" si="18"/>
        <v/>
      </c>
      <c r="Z218" t="str">
        <f t="shared" si="19"/>
        <v/>
      </c>
      <c r="AA218" t="str">
        <f t="shared" si="20"/>
        <v/>
      </c>
      <c r="AB218" t="str">
        <f t="shared" si="21"/>
        <v/>
      </c>
      <c r="AC218" t="str">
        <f t="shared" si="22"/>
        <v/>
      </c>
      <c r="AD218" t="str">
        <f t="shared" si="23"/>
        <v/>
      </c>
      <c r="AE218" t="str">
        <f t="shared" si="24"/>
        <v/>
      </c>
      <c r="AF218" t="str">
        <f t="shared" si="25"/>
        <v/>
      </c>
      <c r="AG218" t="str">
        <f t="shared" si="26"/>
        <v/>
      </c>
      <c r="AH218" s="65" t="str">
        <f t="array" ref="AH218">if(sum(H218:AG218)=0,,sum(sort(TRANSPOSE(H218:AG218),1,false)))</f>
        <v/>
      </c>
    </row>
    <row r="219" hidden="1">
      <c r="F219" s="4">
        <v>87.0</v>
      </c>
      <c r="H219" t="str">
        <f t="shared" si="1"/>
        <v/>
      </c>
      <c r="I219" t="str">
        <f t="shared" si="2"/>
        <v/>
      </c>
      <c r="J219" t="str">
        <f t="shared" si="3"/>
        <v/>
      </c>
      <c r="K219" t="str">
        <f t="shared" si="4"/>
        <v/>
      </c>
      <c r="L219" t="str">
        <f t="shared" si="5"/>
        <v/>
      </c>
      <c r="M219" t="str">
        <f t="shared" si="6"/>
        <v/>
      </c>
      <c r="N219" t="str">
        <f t="shared" si="7"/>
        <v/>
      </c>
      <c r="O219" t="str">
        <f t="shared" si="8"/>
        <v/>
      </c>
      <c r="P219" t="str">
        <f t="shared" si="9"/>
        <v/>
      </c>
      <c r="Q219" t="str">
        <f t="shared" si="10"/>
        <v/>
      </c>
      <c r="R219" t="str">
        <f t="shared" si="11"/>
        <v/>
      </c>
      <c r="S219" t="str">
        <f t="shared" si="12"/>
        <v/>
      </c>
      <c r="T219" t="str">
        <f t="shared" si="13"/>
        <v/>
      </c>
      <c r="U219" t="str">
        <f t="shared" si="14"/>
        <v/>
      </c>
      <c r="V219" t="str">
        <f t="shared" si="15"/>
        <v/>
      </c>
      <c r="W219" t="str">
        <f t="shared" si="16"/>
        <v/>
      </c>
      <c r="X219" t="str">
        <f t="shared" si="17"/>
        <v/>
      </c>
      <c r="Y219" t="str">
        <f t="shared" si="18"/>
        <v/>
      </c>
      <c r="Z219" t="str">
        <f t="shared" si="19"/>
        <v/>
      </c>
      <c r="AA219" t="str">
        <f t="shared" si="20"/>
        <v/>
      </c>
      <c r="AB219" t="str">
        <f t="shared" si="21"/>
        <v/>
      </c>
      <c r="AC219" t="str">
        <f t="shared" si="22"/>
        <v/>
      </c>
      <c r="AD219" t="str">
        <f t="shared" si="23"/>
        <v/>
      </c>
      <c r="AE219" t="str">
        <f t="shared" si="24"/>
        <v/>
      </c>
      <c r="AF219" t="str">
        <f t="shared" si="25"/>
        <v/>
      </c>
      <c r="AG219" t="str">
        <f t="shared" si="26"/>
        <v/>
      </c>
      <c r="AH219" s="65" t="str">
        <f t="array" ref="AH219">if(sum(H219:AG219)=0,,sum(sort(TRANSPOSE(H219:AG219),1,false)))</f>
        <v/>
      </c>
    </row>
    <row r="220" hidden="1">
      <c r="F220" s="4">
        <v>88.0</v>
      </c>
      <c r="H220" t="str">
        <f t="shared" si="1"/>
        <v/>
      </c>
      <c r="I220" t="str">
        <f t="shared" si="2"/>
        <v/>
      </c>
      <c r="J220" t="str">
        <f t="shared" si="3"/>
        <v/>
      </c>
      <c r="K220" t="str">
        <f t="shared" si="4"/>
        <v/>
      </c>
      <c r="L220" t="str">
        <f t="shared" si="5"/>
        <v/>
      </c>
      <c r="M220" t="str">
        <f t="shared" si="6"/>
        <v/>
      </c>
      <c r="N220" t="str">
        <f t="shared" si="7"/>
        <v/>
      </c>
      <c r="O220" t="str">
        <f t="shared" si="8"/>
        <v/>
      </c>
      <c r="P220" t="str">
        <f t="shared" si="9"/>
        <v/>
      </c>
      <c r="Q220" t="str">
        <f t="shared" si="10"/>
        <v/>
      </c>
      <c r="R220" t="str">
        <f t="shared" si="11"/>
        <v/>
      </c>
      <c r="S220" t="str">
        <f t="shared" si="12"/>
        <v/>
      </c>
      <c r="T220" t="str">
        <f t="shared" si="13"/>
        <v/>
      </c>
      <c r="U220" t="str">
        <f t="shared" si="14"/>
        <v/>
      </c>
      <c r="V220" t="str">
        <f t="shared" si="15"/>
        <v/>
      </c>
      <c r="W220" t="str">
        <f t="shared" si="16"/>
        <v/>
      </c>
      <c r="X220" t="str">
        <f t="shared" si="17"/>
        <v/>
      </c>
      <c r="Y220" t="str">
        <f t="shared" si="18"/>
        <v/>
      </c>
      <c r="Z220" t="str">
        <f t="shared" si="19"/>
        <v/>
      </c>
      <c r="AA220" t="str">
        <f t="shared" si="20"/>
        <v/>
      </c>
      <c r="AB220" t="str">
        <f t="shared" si="21"/>
        <v/>
      </c>
      <c r="AC220" t="str">
        <f t="shared" si="22"/>
        <v/>
      </c>
      <c r="AD220" t="str">
        <f t="shared" si="23"/>
        <v/>
      </c>
      <c r="AE220" t="str">
        <f t="shared" si="24"/>
        <v/>
      </c>
      <c r="AF220" t="str">
        <f t="shared" si="25"/>
        <v/>
      </c>
      <c r="AG220" t="str">
        <f t="shared" si="26"/>
        <v/>
      </c>
      <c r="AH220" s="65" t="str">
        <f t="array" ref="AH220">if(sum(H220:AG220)=0,,sum(sort(TRANSPOSE(H220:AG220),1,false)))</f>
        <v/>
      </c>
    </row>
    <row r="221" hidden="1">
      <c r="F221" s="4">
        <v>89.0</v>
      </c>
      <c r="H221" t="str">
        <f t="shared" si="1"/>
        <v/>
      </c>
      <c r="I221" t="str">
        <f t="shared" si="2"/>
        <v/>
      </c>
      <c r="J221" t="str">
        <f t="shared" si="3"/>
        <v/>
      </c>
      <c r="K221" t="str">
        <f t="shared" si="4"/>
        <v/>
      </c>
      <c r="L221" t="str">
        <f t="shared" si="5"/>
        <v/>
      </c>
      <c r="M221" t="str">
        <f t="shared" si="6"/>
        <v/>
      </c>
      <c r="N221" t="str">
        <f t="shared" si="7"/>
        <v/>
      </c>
      <c r="O221" t="str">
        <f t="shared" si="8"/>
        <v/>
      </c>
      <c r="P221" t="str">
        <f t="shared" si="9"/>
        <v/>
      </c>
      <c r="Q221" t="str">
        <f t="shared" si="10"/>
        <v/>
      </c>
      <c r="R221" t="str">
        <f t="shared" si="11"/>
        <v/>
      </c>
      <c r="S221" t="str">
        <f t="shared" si="12"/>
        <v/>
      </c>
      <c r="T221" t="str">
        <f t="shared" si="13"/>
        <v/>
      </c>
      <c r="U221" t="str">
        <f t="shared" si="14"/>
        <v/>
      </c>
      <c r="V221" t="str">
        <f t="shared" si="15"/>
        <v/>
      </c>
      <c r="W221" t="str">
        <f t="shared" si="16"/>
        <v/>
      </c>
      <c r="X221" t="str">
        <f t="shared" si="17"/>
        <v/>
      </c>
      <c r="Y221" t="str">
        <f t="shared" si="18"/>
        <v/>
      </c>
      <c r="Z221" t="str">
        <f t="shared" si="19"/>
        <v/>
      </c>
      <c r="AA221" t="str">
        <f t="shared" si="20"/>
        <v/>
      </c>
      <c r="AB221" t="str">
        <f t="shared" si="21"/>
        <v/>
      </c>
      <c r="AC221" t="str">
        <f t="shared" si="22"/>
        <v/>
      </c>
      <c r="AD221" t="str">
        <f t="shared" si="23"/>
        <v/>
      </c>
      <c r="AE221" t="str">
        <f t="shared" si="24"/>
        <v/>
      </c>
      <c r="AF221" t="str">
        <f t="shared" si="25"/>
        <v/>
      </c>
      <c r="AG221" t="str">
        <f t="shared" si="26"/>
        <v/>
      </c>
      <c r="AH221" s="65" t="str">
        <f t="array" ref="AH221">if(sum(H221:AG221)=0,,sum(sort(TRANSPOSE(H221:AG221),1,false)))</f>
        <v/>
      </c>
    </row>
    <row r="222" hidden="1">
      <c r="F222" s="4">
        <v>90.0</v>
      </c>
      <c r="H222" t="str">
        <f t="shared" si="1"/>
        <v/>
      </c>
      <c r="I222" t="str">
        <f t="shared" si="2"/>
        <v/>
      </c>
      <c r="J222" t="str">
        <f t="shared" si="3"/>
        <v/>
      </c>
      <c r="K222" t="str">
        <f t="shared" si="4"/>
        <v/>
      </c>
      <c r="L222" t="str">
        <f t="shared" si="5"/>
        <v/>
      </c>
      <c r="M222" t="str">
        <f t="shared" si="6"/>
        <v/>
      </c>
      <c r="N222" t="str">
        <f t="shared" si="7"/>
        <v/>
      </c>
      <c r="O222" t="str">
        <f t="shared" si="8"/>
        <v/>
      </c>
      <c r="P222" t="str">
        <f t="shared" si="9"/>
        <v/>
      </c>
      <c r="Q222" t="str">
        <f t="shared" si="10"/>
        <v/>
      </c>
      <c r="R222" t="str">
        <f t="shared" si="11"/>
        <v/>
      </c>
      <c r="S222" t="str">
        <f t="shared" si="12"/>
        <v/>
      </c>
      <c r="T222" t="str">
        <f t="shared" si="13"/>
        <v/>
      </c>
      <c r="U222" t="str">
        <f t="shared" si="14"/>
        <v/>
      </c>
      <c r="V222" t="str">
        <f t="shared" si="15"/>
        <v/>
      </c>
      <c r="W222" t="str">
        <f t="shared" si="16"/>
        <v/>
      </c>
      <c r="X222" t="str">
        <f t="shared" si="17"/>
        <v/>
      </c>
      <c r="Y222" t="str">
        <f t="shared" si="18"/>
        <v/>
      </c>
      <c r="Z222" t="str">
        <f t="shared" si="19"/>
        <v/>
      </c>
      <c r="AA222" t="str">
        <f t="shared" si="20"/>
        <v/>
      </c>
      <c r="AB222" t="str">
        <f t="shared" si="21"/>
        <v/>
      </c>
      <c r="AC222" t="str">
        <f t="shared" si="22"/>
        <v/>
      </c>
      <c r="AD222" t="str">
        <f t="shared" si="23"/>
        <v/>
      </c>
      <c r="AE222" t="str">
        <f t="shared" si="24"/>
        <v/>
      </c>
      <c r="AF222" t="str">
        <f t="shared" si="25"/>
        <v/>
      </c>
      <c r="AG222" t="str">
        <f t="shared" si="26"/>
        <v/>
      </c>
      <c r="AH222" s="65" t="str">
        <f t="array" ref="AH222">if(sum(H222:AG222)=0,,sum(sort(TRANSPOSE(H222:AG222),1,false)))</f>
        <v/>
      </c>
    </row>
    <row r="223" hidden="1">
      <c r="F223" s="4">
        <v>91.0</v>
      </c>
      <c r="H223" t="str">
        <f t="shared" si="1"/>
        <v/>
      </c>
      <c r="I223" t="str">
        <f t="shared" si="2"/>
        <v/>
      </c>
      <c r="J223" t="str">
        <f t="shared" si="3"/>
        <v/>
      </c>
      <c r="K223" t="str">
        <f t="shared" si="4"/>
        <v/>
      </c>
      <c r="L223" t="str">
        <f t="shared" si="5"/>
        <v/>
      </c>
      <c r="M223" t="str">
        <f t="shared" si="6"/>
        <v/>
      </c>
      <c r="N223" t="str">
        <f t="shared" si="7"/>
        <v/>
      </c>
      <c r="O223" t="str">
        <f t="shared" si="8"/>
        <v/>
      </c>
      <c r="P223" t="str">
        <f t="shared" si="9"/>
        <v/>
      </c>
      <c r="Q223" t="str">
        <f t="shared" si="10"/>
        <v/>
      </c>
      <c r="R223" t="str">
        <f t="shared" si="11"/>
        <v/>
      </c>
      <c r="S223" t="str">
        <f t="shared" si="12"/>
        <v/>
      </c>
      <c r="T223" t="str">
        <f t="shared" si="13"/>
        <v/>
      </c>
      <c r="U223" t="str">
        <f t="shared" si="14"/>
        <v/>
      </c>
      <c r="V223" t="str">
        <f t="shared" si="15"/>
        <v/>
      </c>
      <c r="W223" t="str">
        <f t="shared" si="16"/>
        <v/>
      </c>
      <c r="X223" t="str">
        <f t="shared" si="17"/>
        <v/>
      </c>
      <c r="Y223" t="str">
        <f t="shared" si="18"/>
        <v/>
      </c>
      <c r="Z223" t="str">
        <f t="shared" si="19"/>
        <v/>
      </c>
      <c r="AA223" t="str">
        <f t="shared" si="20"/>
        <v/>
      </c>
      <c r="AB223" t="str">
        <f t="shared" si="21"/>
        <v/>
      </c>
      <c r="AC223" t="str">
        <f t="shared" si="22"/>
        <v/>
      </c>
      <c r="AD223" t="str">
        <f t="shared" si="23"/>
        <v/>
      </c>
      <c r="AE223" t="str">
        <f t="shared" si="24"/>
        <v/>
      </c>
      <c r="AF223" t="str">
        <f t="shared" si="25"/>
        <v/>
      </c>
      <c r="AG223" t="str">
        <f t="shared" si="26"/>
        <v/>
      </c>
      <c r="AH223" s="65" t="str">
        <f t="array" ref="AH223">if(sum(H223:AG223)=0,,sum(sort(TRANSPOSE(H223:AG223),1,false)))</f>
        <v/>
      </c>
    </row>
    <row r="224" hidden="1">
      <c r="F224" s="4">
        <v>92.0</v>
      </c>
      <c r="H224" t="str">
        <f t="shared" si="1"/>
        <v/>
      </c>
      <c r="I224" t="str">
        <f t="shared" si="2"/>
        <v/>
      </c>
      <c r="J224" t="str">
        <f t="shared" si="3"/>
        <v/>
      </c>
      <c r="K224" t="str">
        <f t="shared" si="4"/>
        <v/>
      </c>
      <c r="L224" t="str">
        <f t="shared" si="5"/>
        <v/>
      </c>
      <c r="M224" t="str">
        <f t="shared" si="6"/>
        <v/>
      </c>
      <c r="N224" t="str">
        <f t="shared" si="7"/>
        <v/>
      </c>
      <c r="O224" t="str">
        <f t="shared" si="8"/>
        <v/>
      </c>
      <c r="P224" t="str">
        <f t="shared" si="9"/>
        <v/>
      </c>
      <c r="Q224" t="str">
        <f t="shared" si="10"/>
        <v/>
      </c>
      <c r="R224" t="str">
        <f t="shared" si="11"/>
        <v/>
      </c>
      <c r="S224" t="str">
        <f t="shared" si="12"/>
        <v/>
      </c>
      <c r="T224" t="str">
        <f t="shared" si="13"/>
        <v/>
      </c>
      <c r="U224" t="str">
        <f t="shared" si="14"/>
        <v/>
      </c>
      <c r="V224" t="str">
        <f t="shared" si="15"/>
        <v/>
      </c>
      <c r="W224" t="str">
        <f t="shared" si="16"/>
        <v/>
      </c>
      <c r="X224" t="str">
        <f t="shared" si="17"/>
        <v/>
      </c>
      <c r="Y224" t="str">
        <f t="shared" si="18"/>
        <v/>
      </c>
      <c r="Z224" t="str">
        <f t="shared" si="19"/>
        <v/>
      </c>
      <c r="AA224" t="str">
        <f t="shared" si="20"/>
        <v/>
      </c>
      <c r="AB224" t="str">
        <f t="shared" si="21"/>
        <v/>
      </c>
      <c r="AC224" t="str">
        <f t="shared" si="22"/>
        <v/>
      </c>
      <c r="AD224" t="str">
        <f t="shared" si="23"/>
        <v/>
      </c>
      <c r="AE224" t="str">
        <f t="shared" si="24"/>
        <v/>
      </c>
      <c r="AF224" t="str">
        <f t="shared" si="25"/>
        <v/>
      </c>
      <c r="AG224" t="str">
        <f t="shared" si="26"/>
        <v/>
      </c>
      <c r="AH224" s="65" t="str">
        <f t="array" ref="AH224">if(sum(H224:AG224)=0,,sum(sort(TRANSPOSE(H224:AG224),1,false)))</f>
        <v/>
      </c>
    </row>
    <row r="225" hidden="1">
      <c r="F225" s="4">
        <v>93.0</v>
      </c>
      <c r="H225" t="str">
        <f t="shared" si="1"/>
        <v/>
      </c>
      <c r="I225" t="str">
        <f t="shared" si="2"/>
        <v/>
      </c>
      <c r="J225" t="str">
        <f t="shared" si="3"/>
        <v/>
      </c>
      <c r="K225" t="str">
        <f t="shared" si="4"/>
        <v/>
      </c>
      <c r="L225" t="str">
        <f t="shared" si="5"/>
        <v/>
      </c>
      <c r="M225" t="str">
        <f t="shared" si="6"/>
        <v/>
      </c>
      <c r="N225" t="str">
        <f t="shared" si="7"/>
        <v/>
      </c>
      <c r="O225" t="str">
        <f t="shared" si="8"/>
        <v/>
      </c>
      <c r="P225" t="str">
        <f t="shared" si="9"/>
        <v/>
      </c>
      <c r="Q225" t="str">
        <f t="shared" si="10"/>
        <v/>
      </c>
      <c r="R225" t="str">
        <f t="shared" si="11"/>
        <v/>
      </c>
      <c r="S225" t="str">
        <f t="shared" si="12"/>
        <v/>
      </c>
      <c r="T225" t="str">
        <f t="shared" si="13"/>
        <v/>
      </c>
      <c r="U225" t="str">
        <f t="shared" si="14"/>
        <v/>
      </c>
      <c r="V225" t="str">
        <f t="shared" si="15"/>
        <v/>
      </c>
      <c r="W225" t="str">
        <f t="shared" si="16"/>
        <v/>
      </c>
      <c r="X225" t="str">
        <f t="shared" si="17"/>
        <v/>
      </c>
      <c r="Y225" t="str">
        <f t="shared" si="18"/>
        <v/>
      </c>
      <c r="Z225" t="str">
        <f t="shared" si="19"/>
        <v/>
      </c>
      <c r="AA225" t="str">
        <f t="shared" si="20"/>
        <v/>
      </c>
      <c r="AB225" t="str">
        <f t="shared" si="21"/>
        <v/>
      </c>
      <c r="AC225" t="str">
        <f t="shared" si="22"/>
        <v/>
      </c>
      <c r="AD225" t="str">
        <f t="shared" si="23"/>
        <v/>
      </c>
      <c r="AE225" t="str">
        <f t="shared" si="24"/>
        <v/>
      </c>
      <c r="AF225" t="str">
        <f t="shared" si="25"/>
        <v/>
      </c>
      <c r="AG225" t="str">
        <f t="shared" si="26"/>
        <v/>
      </c>
      <c r="AH225" s="65" t="str">
        <f t="array" ref="AH225">if(sum(H225:AG225)=0,,sum(sort(TRANSPOSE(H225:AG225),1,false)))</f>
        <v/>
      </c>
    </row>
    <row r="226" hidden="1">
      <c r="F226" s="4">
        <v>94.0</v>
      </c>
      <c r="H226" t="str">
        <f t="shared" si="1"/>
        <v/>
      </c>
      <c r="I226" t="str">
        <f t="shared" si="2"/>
        <v/>
      </c>
      <c r="J226" t="str">
        <f t="shared" si="3"/>
        <v/>
      </c>
      <c r="K226" t="str">
        <f t="shared" si="4"/>
        <v/>
      </c>
      <c r="L226" t="str">
        <f t="shared" si="5"/>
        <v/>
      </c>
      <c r="M226" t="str">
        <f t="shared" si="6"/>
        <v/>
      </c>
      <c r="N226" t="str">
        <f t="shared" si="7"/>
        <v/>
      </c>
      <c r="O226" t="str">
        <f t="shared" si="8"/>
        <v/>
      </c>
      <c r="P226" t="str">
        <f t="shared" si="9"/>
        <v/>
      </c>
      <c r="Q226" t="str">
        <f t="shared" si="10"/>
        <v/>
      </c>
      <c r="R226" t="str">
        <f t="shared" si="11"/>
        <v/>
      </c>
      <c r="S226" t="str">
        <f t="shared" si="12"/>
        <v/>
      </c>
      <c r="T226" t="str">
        <f t="shared" si="13"/>
        <v/>
      </c>
      <c r="U226" t="str">
        <f t="shared" si="14"/>
        <v/>
      </c>
      <c r="V226" t="str">
        <f t="shared" si="15"/>
        <v/>
      </c>
      <c r="W226" t="str">
        <f t="shared" si="16"/>
        <v/>
      </c>
      <c r="X226" t="str">
        <f t="shared" si="17"/>
        <v/>
      </c>
      <c r="Y226" t="str">
        <f t="shared" si="18"/>
        <v/>
      </c>
      <c r="Z226" t="str">
        <f t="shared" si="19"/>
        <v/>
      </c>
      <c r="AA226" t="str">
        <f t="shared" si="20"/>
        <v/>
      </c>
      <c r="AB226" t="str">
        <f t="shared" si="21"/>
        <v/>
      </c>
      <c r="AC226" t="str">
        <f t="shared" si="22"/>
        <v/>
      </c>
      <c r="AD226" t="str">
        <f t="shared" si="23"/>
        <v/>
      </c>
      <c r="AE226" t="str">
        <f t="shared" si="24"/>
        <v/>
      </c>
      <c r="AF226" t="str">
        <f t="shared" si="25"/>
        <v/>
      </c>
      <c r="AG226" t="str">
        <f t="shared" si="26"/>
        <v/>
      </c>
      <c r="AH226" s="65" t="str">
        <f t="array" ref="AH226">if(sum(H226:AG226)=0,,sum(sort(TRANSPOSE(H226:AG226),1,false)))</f>
        <v/>
      </c>
    </row>
    <row r="227" hidden="1">
      <c r="F227" s="4">
        <v>95.0</v>
      </c>
      <c r="H227" t="str">
        <f t="shared" si="1"/>
        <v/>
      </c>
      <c r="I227" t="str">
        <f t="shared" si="2"/>
        <v/>
      </c>
      <c r="J227" t="str">
        <f t="shared" si="3"/>
        <v/>
      </c>
      <c r="K227" t="str">
        <f t="shared" si="4"/>
        <v/>
      </c>
      <c r="L227" t="str">
        <f t="shared" si="5"/>
        <v/>
      </c>
      <c r="M227" t="str">
        <f t="shared" si="6"/>
        <v/>
      </c>
      <c r="N227" t="str">
        <f t="shared" si="7"/>
        <v/>
      </c>
      <c r="O227" t="str">
        <f t="shared" si="8"/>
        <v/>
      </c>
      <c r="P227" t="str">
        <f t="shared" si="9"/>
        <v/>
      </c>
      <c r="Q227" t="str">
        <f t="shared" si="10"/>
        <v/>
      </c>
      <c r="R227" t="str">
        <f t="shared" si="11"/>
        <v/>
      </c>
      <c r="S227" t="str">
        <f t="shared" si="12"/>
        <v/>
      </c>
      <c r="T227" t="str">
        <f t="shared" si="13"/>
        <v/>
      </c>
      <c r="U227" t="str">
        <f t="shared" si="14"/>
        <v/>
      </c>
      <c r="V227" t="str">
        <f t="shared" si="15"/>
        <v/>
      </c>
      <c r="W227" t="str">
        <f t="shared" si="16"/>
        <v/>
      </c>
      <c r="X227" t="str">
        <f t="shared" si="17"/>
        <v/>
      </c>
      <c r="Y227" t="str">
        <f t="shared" si="18"/>
        <v/>
      </c>
      <c r="Z227" t="str">
        <f t="shared" si="19"/>
        <v/>
      </c>
      <c r="AA227" t="str">
        <f t="shared" si="20"/>
        <v/>
      </c>
      <c r="AB227" t="str">
        <f t="shared" si="21"/>
        <v/>
      </c>
      <c r="AC227" t="str">
        <f t="shared" si="22"/>
        <v/>
      </c>
      <c r="AD227" t="str">
        <f t="shared" si="23"/>
        <v/>
      </c>
      <c r="AE227" t="str">
        <f t="shared" si="24"/>
        <v/>
      </c>
      <c r="AF227" t="str">
        <f t="shared" si="25"/>
        <v/>
      </c>
      <c r="AG227" t="str">
        <f t="shared" si="26"/>
        <v/>
      </c>
      <c r="AH227" s="65" t="str">
        <f t="array" ref="AH227">if(sum(H227:AG227)=0,,sum(sort(TRANSPOSE(H227:AG227),1,false)))</f>
        <v/>
      </c>
    </row>
    <row r="228" hidden="1">
      <c r="F228" s="4">
        <v>96.0</v>
      </c>
      <c r="H228" t="str">
        <f t="shared" si="1"/>
        <v/>
      </c>
      <c r="I228" t="str">
        <f t="shared" si="2"/>
        <v/>
      </c>
      <c r="J228" t="str">
        <f t="shared" si="3"/>
        <v/>
      </c>
      <c r="K228" t="str">
        <f t="shared" si="4"/>
        <v/>
      </c>
      <c r="L228" t="str">
        <f t="shared" si="5"/>
        <v/>
      </c>
      <c r="M228" t="str">
        <f t="shared" si="6"/>
        <v/>
      </c>
      <c r="N228" t="str">
        <f t="shared" si="7"/>
        <v/>
      </c>
      <c r="O228" t="str">
        <f t="shared" si="8"/>
        <v/>
      </c>
      <c r="P228" t="str">
        <f t="shared" si="9"/>
        <v/>
      </c>
      <c r="Q228" t="str">
        <f t="shared" si="10"/>
        <v/>
      </c>
      <c r="R228" t="str">
        <f t="shared" si="11"/>
        <v/>
      </c>
      <c r="S228" t="str">
        <f t="shared" si="12"/>
        <v/>
      </c>
      <c r="T228" t="str">
        <f t="shared" si="13"/>
        <v/>
      </c>
      <c r="U228" t="str">
        <f t="shared" si="14"/>
        <v/>
      </c>
      <c r="V228" t="str">
        <f t="shared" si="15"/>
        <v/>
      </c>
      <c r="W228" t="str">
        <f t="shared" si="16"/>
        <v/>
      </c>
      <c r="X228" t="str">
        <f t="shared" si="17"/>
        <v/>
      </c>
      <c r="Y228" t="str">
        <f t="shared" si="18"/>
        <v/>
      </c>
      <c r="Z228" t="str">
        <f t="shared" si="19"/>
        <v/>
      </c>
      <c r="AA228" t="str">
        <f t="shared" si="20"/>
        <v/>
      </c>
      <c r="AB228" t="str">
        <f t="shared" si="21"/>
        <v/>
      </c>
      <c r="AC228" t="str">
        <f t="shared" si="22"/>
        <v/>
      </c>
      <c r="AD228" t="str">
        <f t="shared" si="23"/>
        <v/>
      </c>
      <c r="AE228" t="str">
        <f t="shared" si="24"/>
        <v/>
      </c>
      <c r="AF228" t="str">
        <f t="shared" si="25"/>
        <v/>
      </c>
      <c r="AG228" t="str">
        <f t="shared" si="26"/>
        <v/>
      </c>
      <c r="AH228" s="65" t="str">
        <f t="array" ref="AH228">if(sum(H228:AG228)=0,,sum(sort(TRANSPOSE(H228:AG228),1,false)))</f>
        <v/>
      </c>
    </row>
    <row r="229" hidden="1">
      <c r="F229" s="4">
        <v>97.0</v>
      </c>
      <c r="H229" t="str">
        <f t="shared" si="1"/>
        <v/>
      </c>
      <c r="I229" t="str">
        <f t="shared" si="2"/>
        <v/>
      </c>
      <c r="J229" t="str">
        <f t="shared" si="3"/>
        <v/>
      </c>
      <c r="K229" t="str">
        <f t="shared" si="4"/>
        <v/>
      </c>
      <c r="L229" t="str">
        <f t="shared" si="5"/>
        <v/>
      </c>
      <c r="M229" t="str">
        <f t="shared" si="6"/>
        <v/>
      </c>
      <c r="N229" t="str">
        <f t="shared" si="7"/>
        <v/>
      </c>
      <c r="O229" t="str">
        <f t="shared" si="8"/>
        <v/>
      </c>
      <c r="P229" t="str">
        <f t="shared" si="9"/>
        <v/>
      </c>
      <c r="Q229" t="str">
        <f t="shared" si="10"/>
        <v/>
      </c>
      <c r="R229" t="str">
        <f t="shared" si="11"/>
        <v/>
      </c>
      <c r="S229" t="str">
        <f t="shared" si="12"/>
        <v/>
      </c>
      <c r="T229" t="str">
        <f t="shared" si="13"/>
        <v/>
      </c>
      <c r="U229" t="str">
        <f t="shared" si="14"/>
        <v/>
      </c>
      <c r="V229" t="str">
        <f t="shared" si="15"/>
        <v/>
      </c>
      <c r="W229" t="str">
        <f t="shared" si="16"/>
        <v/>
      </c>
      <c r="X229" t="str">
        <f t="shared" si="17"/>
        <v/>
      </c>
      <c r="Y229" t="str">
        <f t="shared" si="18"/>
        <v/>
      </c>
      <c r="Z229" t="str">
        <f t="shared" si="19"/>
        <v/>
      </c>
      <c r="AA229" t="str">
        <f t="shared" si="20"/>
        <v/>
      </c>
      <c r="AB229" t="str">
        <f t="shared" si="21"/>
        <v/>
      </c>
      <c r="AC229" t="str">
        <f t="shared" si="22"/>
        <v/>
      </c>
      <c r="AD229" t="str">
        <f t="shared" si="23"/>
        <v/>
      </c>
      <c r="AE229" t="str">
        <f t="shared" si="24"/>
        <v/>
      </c>
      <c r="AF229" t="str">
        <f t="shared" si="25"/>
        <v/>
      </c>
      <c r="AG229" t="str">
        <f t="shared" si="26"/>
        <v/>
      </c>
      <c r="AH229" s="65" t="str">
        <f t="array" ref="AH229">if(sum(H229:AG229)=0,,sum(sort(TRANSPOSE(H229:AG229),1,false)))</f>
        <v/>
      </c>
    </row>
    <row r="230" hidden="1">
      <c r="F230" s="4">
        <v>98.0</v>
      </c>
      <c r="H230" t="str">
        <f t="shared" si="1"/>
        <v/>
      </c>
      <c r="I230" t="str">
        <f t="shared" si="2"/>
        <v/>
      </c>
      <c r="J230" t="str">
        <f t="shared" si="3"/>
        <v/>
      </c>
      <c r="K230" t="str">
        <f t="shared" si="4"/>
        <v/>
      </c>
      <c r="L230" t="str">
        <f t="shared" si="5"/>
        <v/>
      </c>
      <c r="M230" t="str">
        <f t="shared" si="6"/>
        <v/>
      </c>
      <c r="N230" t="str">
        <f t="shared" si="7"/>
        <v/>
      </c>
      <c r="O230" t="str">
        <f t="shared" si="8"/>
        <v/>
      </c>
      <c r="P230" t="str">
        <f t="shared" si="9"/>
        <v/>
      </c>
      <c r="Q230" t="str">
        <f t="shared" si="10"/>
        <v/>
      </c>
      <c r="R230" t="str">
        <f t="shared" si="11"/>
        <v/>
      </c>
      <c r="S230" t="str">
        <f t="shared" si="12"/>
        <v/>
      </c>
      <c r="T230" t="str">
        <f t="shared" si="13"/>
        <v/>
      </c>
      <c r="U230" t="str">
        <f t="shared" si="14"/>
        <v/>
      </c>
      <c r="V230" t="str">
        <f t="shared" si="15"/>
        <v/>
      </c>
      <c r="W230" t="str">
        <f t="shared" si="16"/>
        <v/>
      </c>
      <c r="X230" t="str">
        <f t="shared" si="17"/>
        <v/>
      </c>
      <c r="Y230" t="str">
        <f t="shared" si="18"/>
        <v/>
      </c>
      <c r="Z230" t="str">
        <f t="shared" si="19"/>
        <v/>
      </c>
      <c r="AA230" t="str">
        <f t="shared" si="20"/>
        <v/>
      </c>
      <c r="AB230" t="str">
        <f t="shared" si="21"/>
        <v/>
      </c>
      <c r="AC230" t="str">
        <f t="shared" si="22"/>
        <v/>
      </c>
      <c r="AD230" t="str">
        <f t="shared" si="23"/>
        <v/>
      </c>
      <c r="AE230" t="str">
        <f t="shared" si="24"/>
        <v/>
      </c>
      <c r="AF230" t="str">
        <f t="shared" si="25"/>
        <v/>
      </c>
      <c r="AG230" t="str">
        <f t="shared" si="26"/>
        <v/>
      </c>
      <c r="AH230" s="65" t="str">
        <f t="array" ref="AH230">if(sum(H230:AG230)=0,,sum(sort(TRANSPOSE(H230:AG230),1,false)))</f>
        <v/>
      </c>
    </row>
    <row r="231" hidden="1">
      <c r="F231" s="4">
        <v>99.0</v>
      </c>
      <c r="H231" t="str">
        <f t="shared" si="1"/>
        <v/>
      </c>
      <c r="I231" t="str">
        <f t="shared" si="2"/>
        <v/>
      </c>
      <c r="J231" t="str">
        <f t="shared" si="3"/>
        <v/>
      </c>
      <c r="K231" t="str">
        <f t="shared" si="4"/>
        <v/>
      </c>
      <c r="L231" t="str">
        <f t="shared" si="5"/>
        <v/>
      </c>
      <c r="M231" t="str">
        <f t="shared" si="6"/>
        <v/>
      </c>
      <c r="N231" t="str">
        <f t="shared" si="7"/>
        <v/>
      </c>
      <c r="O231" t="str">
        <f t="shared" si="8"/>
        <v/>
      </c>
      <c r="P231" t="str">
        <f t="shared" si="9"/>
        <v/>
      </c>
      <c r="Q231" t="str">
        <f t="shared" si="10"/>
        <v/>
      </c>
      <c r="R231" t="str">
        <f t="shared" si="11"/>
        <v/>
      </c>
      <c r="S231" t="str">
        <f t="shared" si="12"/>
        <v/>
      </c>
      <c r="T231" t="str">
        <f t="shared" si="13"/>
        <v/>
      </c>
      <c r="U231" t="str">
        <f t="shared" si="14"/>
        <v/>
      </c>
      <c r="V231" t="str">
        <f t="shared" si="15"/>
        <v/>
      </c>
      <c r="W231" t="str">
        <f t="shared" si="16"/>
        <v/>
      </c>
      <c r="X231" t="str">
        <f t="shared" si="17"/>
        <v/>
      </c>
      <c r="Y231" t="str">
        <f t="shared" si="18"/>
        <v/>
      </c>
      <c r="Z231" t="str">
        <f t="shared" si="19"/>
        <v/>
      </c>
      <c r="AA231" t="str">
        <f t="shared" si="20"/>
        <v/>
      </c>
      <c r="AB231" t="str">
        <f t="shared" si="21"/>
        <v/>
      </c>
      <c r="AC231" t="str">
        <f t="shared" si="22"/>
        <v/>
      </c>
      <c r="AD231" t="str">
        <f t="shared" si="23"/>
        <v/>
      </c>
      <c r="AE231" t="str">
        <f t="shared" si="24"/>
        <v/>
      </c>
      <c r="AF231" t="str">
        <f t="shared" si="25"/>
        <v/>
      </c>
      <c r="AG231" t="str">
        <f t="shared" si="26"/>
        <v/>
      </c>
      <c r="AH231" s="65" t="str">
        <f t="array" ref="AH231">if(sum(H231:AG231)=0,,sum(sort(TRANSPOSE(H231:AG231),1,false)))</f>
        <v/>
      </c>
    </row>
    <row r="232" hidden="1">
      <c r="F232" s="4">
        <v>100.0</v>
      </c>
      <c r="H232" t="str">
        <f t="shared" si="1"/>
        <v/>
      </c>
      <c r="I232" t="str">
        <f t="shared" si="2"/>
        <v/>
      </c>
      <c r="J232" t="str">
        <f t="shared" si="3"/>
        <v/>
      </c>
      <c r="K232" t="str">
        <f t="shared" si="4"/>
        <v/>
      </c>
      <c r="L232" t="str">
        <f t="shared" si="5"/>
        <v/>
      </c>
      <c r="M232" t="str">
        <f t="shared" si="6"/>
        <v/>
      </c>
      <c r="N232" t="str">
        <f t="shared" si="7"/>
        <v/>
      </c>
      <c r="O232" t="str">
        <f t="shared" si="8"/>
        <v/>
      </c>
      <c r="P232" t="str">
        <f t="shared" si="9"/>
        <v/>
      </c>
      <c r="Q232" t="str">
        <f t="shared" si="10"/>
        <v/>
      </c>
      <c r="R232" t="str">
        <f t="shared" si="11"/>
        <v/>
      </c>
      <c r="S232" t="str">
        <f t="shared" si="12"/>
        <v/>
      </c>
      <c r="T232" t="str">
        <f t="shared" si="13"/>
        <v/>
      </c>
      <c r="U232" t="str">
        <f t="shared" si="14"/>
        <v/>
      </c>
      <c r="V232" t="str">
        <f t="shared" si="15"/>
        <v/>
      </c>
      <c r="W232" t="str">
        <f t="shared" si="16"/>
        <v/>
      </c>
      <c r="X232" t="str">
        <f t="shared" si="17"/>
        <v/>
      </c>
      <c r="Y232" t="str">
        <f t="shared" si="18"/>
        <v/>
      </c>
      <c r="Z232" t="str">
        <f t="shared" si="19"/>
        <v/>
      </c>
      <c r="AA232" t="str">
        <f t="shared" si="20"/>
        <v/>
      </c>
      <c r="AB232" t="str">
        <f t="shared" si="21"/>
        <v/>
      </c>
      <c r="AC232" t="str">
        <f t="shared" si="22"/>
        <v/>
      </c>
      <c r="AD232" t="str">
        <f t="shared" si="23"/>
        <v/>
      </c>
      <c r="AE232" t="str">
        <f t="shared" si="24"/>
        <v/>
      </c>
      <c r="AF232" t="str">
        <f t="shared" si="25"/>
        <v/>
      </c>
      <c r="AG232" t="str">
        <f t="shared" si="26"/>
        <v/>
      </c>
      <c r="AH232" s="65" t="str">
        <f t="array" ref="AH232">if(sum(H232:AG232)=0,,sum(sort(TRANSPOSE(H232:AG232),1,false)))</f>
        <v/>
      </c>
    </row>
    <row r="233" hidden="1">
      <c r="F233" s="4">
        <v>101.0</v>
      </c>
      <c r="H233" t="str">
        <f t="shared" si="1"/>
        <v/>
      </c>
      <c r="I233" t="str">
        <f t="shared" si="2"/>
        <v/>
      </c>
      <c r="J233" t="str">
        <f t="shared" si="3"/>
        <v/>
      </c>
      <c r="K233" t="str">
        <f t="shared" si="4"/>
        <v/>
      </c>
      <c r="L233" t="str">
        <f t="shared" si="5"/>
        <v/>
      </c>
      <c r="M233" t="str">
        <f t="shared" si="6"/>
        <v/>
      </c>
      <c r="N233" t="str">
        <f t="shared" si="7"/>
        <v/>
      </c>
      <c r="O233" t="str">
        <f t="shared" si="8"/>
        <v/>
      </c>
      <c r="P233" t="str">
        <f t="shared" si="9"/>
        <v/>
      </c>
      <c r="Q233" t="str">
        <f t="shared" si="10"/>
        <v/>
      </c>
      <c r="R233" t="str">
        <f t="shared" si="11"/>
        <v/>
      </c>
      <c r="S233" t="str">
        <f t="shared" si="12"/>
        <v/>
      </c>
      <c r="T233" t="str">
        <f t="shared" si="13"/>
        <v/>
      </c>
      <c r="U233" t="str">
        <f t="shared" si="14"/>
        <v/>
      </c>
      <c r="V233" t="str">
        <f t="shared" si="15"/>
        <v/>
      </c>
      <c r="W233" t="str">
        <f t="shared" si="16"/>
        <v/>
      </c>
      <c r="X233" t="str">
        <f t="shared" si="17"/>
        <v/>
      </c>
      <c r="Y233" t="str">
        <f t="shared" si="18"/>
        <v/>
      </c>
      <c r="Z233" t="str">
        <f t="shared" si="19"/>
        <v/>
      </c>
      <c r="AA233" t="str">
        <f t="shared" si="20"/>
        <v/>
      </c>
      <c r="AB233" t="str">
        <f t="shared" si="21"/>
        <v/>
      </c>
      <c r="AC233" t="str">
        <f t="shared" si="22"/>
        <v/>
      </c>
      <c r="AD233" t="str">
        <f t="shared" si="23"/>
        <v/>
      </c>
      <c r="AE233" t="str">
        <f t="shared" si="24"/>
        <v/>
      </c>
      <c r="AF233" t="str">
        <f t="shared" si="25"/>
        <v/>
      </c>
      <c r="AG233" t="str">
        <f t="shared" si="26"/>
        <v/>
      </c>
      <c r="AH233" s="65" t="str">
        <f t="array" ref="AH233">if(sum(H233:AG233)=0,,sum(sort(TRANSPOSE(H233:AG233),1,false)))</f>
        <v/>
      </c>
    </row>
    <row r="234" hidden="1">
      <c r="F234" s="4">
        <v>102.0</v>
      </c>
      <c r="H234" t="str">
        <f t="shared" si="1"/>
        <v/>
      </c>
      <c r="I234" t="str">
        <f t="shared" si="2"/>
        <v/>
      </c>
      <c r="J234" t="str">
        <f t="shared" si="3"/>
        <v/>
      </c>
      <c r="K234" t="str">
        <f t="shared" si="4"/>
        <v/>
      </c>
      <c r="L234" t="str">
        <f t="shared" si="5"/>
        <v/>
      </c>
      <c r="M234" t="str">
        <f t="shared" si="6"/>
        <v/>
      </c>
      <c r="N234" t="str">
        <f t="shared" si="7"/>
        <v/>
      </c>
      <c r="O234" t="str">
        <f t="shared" si="8"/>
        <v/>
      </c>
      <c r="P234" t="str">
        <f t="shared" si="9"/>
        <v/>
      </c>
      <c r="Q234" t="str">
        <f t="shared" si="10"/>
        <v/>
      </c>
      <c r="R234" t="str">
        <f t="shared" si="11"/>
        <v/>
      </c>
      <c r="S234" t="str">
        <f t="shared" si="12"/>
        <v/>
      </c>
      <c r="T234" t="str">
        <f t="shared" si="13"/>
        <v/>
      </c>
      <c r="U234" t="str">
        <f t="shared" si="14"/>
        <v/>
      </c>
      <c r="V234" t="str">
        <f t="shared" si="15"/>
        <v/>
      </c>
      <c r="W234" t="str">
        <f t="shared" si="16"/>
        <v/>
      </c>
      <c r="X234" t="str">
        <f t="shared" si="17"/>
        <v/>
      </c>
      <c r="Y234" t="str">
        <f t="shared" si="18"/>
        <v/>
      </c>
      <c r="Z234" t="str">
        <f t="shared" si="19"/>
        <v/>
      </c>
      <c r="AA234" t="str">
        <f t="shared" si="20"/>
        <v/>
      </c>
      <c r="AB234" t="str">
        <f t="shared" si="21"/>
        <v/>
      </c>
      <c r="AC234" t="str">
        <f t="shared" si="22"/>
        <v/>
      </c>
      <c r="AD234" t="str">
        <f t="shared" si="23"/>
        <v/>
      </c>
      <c r="AE234" t="str">
        <f t="shared" si="24"/>
        <v/>
      </c>
      <c r="AF234" t="str">
        <f t="shared" si="25"/>
        <v/>
      </c>
      <c r="AG234" t="str">
        <f t="shared" si="26"/>
        <v/>
      </c>
      <c r="AH234" s="65" t="str">
        <f t="array" ref="AH234">if(sum(H234:AG234)=0,,sum(sort(TRANSPOSE(H234:AG234),1,false)))</f>
        <v/>
      </c>
    </row>
    <row r="235" hidden="1">
      <c r="F235" s="4">
        <v>103.0</v>
      </c>
      <c r="H235" t="str">
        <f t="shared" si="1"/>
        <v/>
      </c>
      <c r="I235" t="str">
        <f t="shared" si="2"/>
        <v/>
      </c>
      <c r="J235" t="str">
        <f t="shared" si="3"/>
        <v/>
      </c>
      <c r="K235" t="str">
        <f t="shared" si="4"/>
        <v/>
      </c>
      <c r="L235" t="str">
        <f t="shared" si="5"/>
        <v/>
      </c>
      <c r="M235" t="str">
        <f t="shared" si="6"/>
        <v/>
      </c>
      <c r="N235" t="str">
        <f t="shared" si="7"/>
        <v/>
      </c>
      <c r="O235" t="str">
        <f t="shared" si="8"/>
        <v/>
      </c>
      <c r="P235" t="str">
        <f t="shared" si="9"/>
        <v/>
      </c>
      <c r="Q235" t="str">
        <f t="shared" si="10"/>
        <v/>
      </c>
      <c r="R235" t="str">
        <f t="shared" si="11"/>
        <v/>
      </c>
      <c r="S235" t="str">
        <f t="shared" si="12"/>
        <v/>
      </c>
      <c r="T235" t="str">
        <f t="shared" si="13"/>
        <v/>
      </c>
      <c r="U235" t="str">
        <f t="shared" si="14"/>
        <v/>
      </c>
      <c r="V235" t="str">
        <f t="shared" si="15"/>
        <v/>
      </c>
      <c r="W235" t="str">
        <f t="shared" si="16"/>
        <v/>
      </c>
      <c r="X235" t="str">
        <f t="shared" si="17"/>
        <v/>
      </c>
      <c r="Y235" t="str">
        <f t="shared" si="18"/>
        <v/>
      </c>
      <c r="Z235" t="str">
        <f t="shared" si="19"/>
        <v/>
      </c>
      <c r="AA235" t="str">
        <f t="shared" si="20"/>
        <v/>
      </c>
      <c r="AB235" t="str">
        <f t="shared" si="21"/>
        <v/>
      </c>
      <c r="AC235" t="str">
        <f t="shared" si="22"/>
        <v/>
      </c>
      <c r="AD235" t="str">
        <f t="shared" si="23"/>
        <v/>
      </c>
      <c r="AE235" t="str">
        <f t="shared" si="24"/>
        <v/>
      </c>
      <c r="AF235" t="str">
        <f t="shared" si="25"/>
        <v/>
      </c>
      <c r="AG235" t="str">
        <f t="shared" si="26"/>
        <v/>
      </c>
      <c r="AH235" s="65" t="str">
        <f t="array" ref="AH235">if(sum(H235:AG235)=0,,sum(sort(TRANSPOSE(H235:AG235),1,false)))</f>
        <v/>
      </c>
    </row>
    <row r="236" hidden="1">
      <c r="F236" s="4">
        <v>104.0</v>
      </c>
      <c r="H236" t="str">
        <f t="shared" si="1"/>
        <v/>
      </c>
      <c r="I236" t="str">
        <f t="shared" si="2"/>
        <v/>
      </c>
      <c r="J236" t="str">
        <f t="shared" si="3"/>
        <v/>
      </c>
      <c r="K236" t="str">
        <f t="shared" si="4"/>
        <v/>
      </c>
      <c r="L236" t="str">
        <f t="shared" si="5"/>
        <v/>
      </c>
      <c r="M236" t="str">
        <f t="shared" si="6"/>
        <v/>
      </c>
      <c r="N236" t="str">
        <f t="shared" si="7"/>
        <v/>
      </c>
      <c r="O236" t="str">
        <f t="shared" si="8"/>
        <v/>
      </c>
      <c r="P236" t="str">
        <f t="shared" si="9"/>
        <v/>
      </c>
      <c r="Q236" t="str">
        <f t="shared" si="10"/>
        <v/>
      </c>
      <c r="R236" t="str">
        <f t="shared" si="11"/>
        <v/>
      </c>
      <c r="S236" t="str">
        <f t="shared" si="12"/>
        <v/>
      </c>
      <c r="T236" t="str">
        <f t="shared" si="13"/>
        <v/>
      </c>
      <c r="U236" t="str">
        <f t="shared" si="14"/>
        <v/>
      </c>
      <c r="V236" t="str">
        <f t="shared" si="15"/>
        <v/>
      </c>
      <c r="W236" t="str">
        <f t="shared" si="16"/>
        <v/>
      </c>
      <c r="X236" t="str">
        <f t="shared" si="17"/>
        <v/>
      </c>
      <c r="Y236" t="str">
        <f t="shared" si="18"/>
        <v/>
      </c>
      <c r="Z236" t="str">
        <f t="shared" si="19"/>
        <v/>
      </c>
      <c r="AA236" t="str">
        <f t="shared" si="20"/>
        <v/>
      </c>
      <c r="AB236" t="str">
        <f t="shared" si="21"/>
        <v/>
      </c>
      <c r="AC236" t="str">
        <f t="shared" si="22"/>
        <v/>
      </c>
      <c r="AD236" t="str">
        <f t="shared" si="23"/>
        <v/>
      </c>
      <c r="AE236" t="str">
        <f t="shared" si="24"/>
        <v/>
      </c>
      <c r="AF236" t="str">
        <f t="shared" si="25"/>
        <v/>
      </c>
      <c r="AG236" t="str">
        <f t="shared" si="26"/>
        <v/>
      </c>
      <c r="AH236" s="65" t="str">
        <f t="array" ref="AH236">if(sum(H236:AG236)=0,,sum(sort(TRANSPOSE(H236:AG236),1,false)))</f>
        <v/>
      </c>
    </row>
    <row r="237" hidden="1">
      <c r="F237" s="4">
        <v>105.0</v>
      </c>
      <c r="H237" t="str">
        <f t="shared" si="1"/>
        <v/>
      </c>
      <c r="I237" t="str">
        <f t="shared" si="2"/>
        <v/>
      </c>
      <c r="J237" t="str">
        <f t="shared" si="3"/>
        <v/>
      </c>
      <c r="K237" t="str">
        <f t="shared" si="4"/>
        <v/>
      </c>
      <c r="L237" t="str">
        <f t="shared" si="5"/>
        <v/>
      </c>
      <c r="M237" t="str">
        <f t="shared" si="6"/>
        <v/>
      </c>
      <c r="N237" t="str">
        <f t="shared" si="7"/>
        <v/>
      </c>
      <c r="O237" t="str">
        <f t="shared" si="8"/>
        <v/>
      </c>
      <c r="P237" t="str">
        <f t="shared" si="9"/>
        <v/>
      </c>
      <c r="Q237" t="str">
        <f t="shared" si="10"/>
        <v/>
      </c>
      <c r="R237" t="str">
        <f t="shared" si="11"/>
        <v/>
      </c>
      <c r="S237" t="str">
        <f t="shared" si="12"/>
        <v/>
      </c>
      <c r="T237" t="str">
        <f t="shared" si="13"/>
        <v/>
      </c>
      <c r="U237" t="str">
        <f t="shared" si="14"/>
        <v/>
      </c>
      <c r="V237" t="str">
        <f t="shared" si="15"/>
        <v/>
      </c>
      <c r="W237" t="str">
        <f t="shared" si="16"/>
        <v/>
      </c>
      <c r="X237" t="str">
        <f t="shared" si="17"/>
        <v/>
      </c>
      <c r="Y237" t="str">
        <f t="shared" si="18"/>
        <v/>
      </c>
      <c r="Z237" t="str">
        <f t="shared" si="19"/>
        <v/>
      </c>
      <c r="AA237" t="str">
        <f t="shared" si="20"/>
        <v/>
      </c>
      <c r="AB237" t="str">
        <f t="shared" si="21"/>
        <v/>
      </c>
      <c r="AC237" t="str">
        <f t="shared" si="22"/>
        <v/>
      </c>
      <c r="AD237" t="str">
        <f t="shared" si="23"/>
        <v/>
      </c>
      <c r="AE237" t="str">
        <f t="shared" si="24"/>
        <v/>
      </c>
      <c r="AF237" t="str">
        <f t="shared" si="25"/>
        <v/>
      </c>
      <c r="AG237" t="str">
        <f t="shared" si="26"/>
        <v/>
      </c>
      <c r="AH237" s="65" t="str">
        <f t="array" ref="AH237">if(sum(H237:AG237)=0,,sum(sort(TRANSPOSE(H237:AG237),1,false)))</f>
        <v/>
      </c>
    </row>
    <row r="238" hidden="1">
      <c r="F238" s="4">
        <v>106.0</v>
      </c>
      <c r="H238" t="str">
        <f t="shared" si="1"/>
        <v/>
      </c>
      <c r="I238" t="str">
        <f t="shared" si="2"/>
        <v/>
      </c>
      <c r="J238" t="str">
        <f t="shared" si="3"/>
        <v/>
      </c>
      <c r="K238" t="str">
        <f t="shared" si="4"/>
        <v/>
      </c>
      <c r="L238" t="str">
        <f t="shared" si="5"/>
        <v/>
      </c>
      <c r="M238" t="str">
        <f t="shared" si="6"/>
        <v/>
      </c>
      <c r="N238" t="str">
        <f t="shared" si="7"/>
        <v/>
      </c>
      <c r="O238" t="str">
        <f t="shared" si="8"/>
        <v/>
      </c>
      <c r="P238" t="str">
        <f t="shared" si="9"/>
        <v/>
      </c>
      <c r="Q238" t="str">
        <f t="shared" si="10"/>
        <v/>
      </c>
      <c r="R238" t="str">
        <f t="shared" si="11"/>
        <v/>
      </c>
      <c r="S238" t="str">
        <f t="shared" si="12"/>
        <v/>
      </c>
      <c r="T238" t="str">
        <f t="shared" si="13"/>
        <v/>
      </c>
      <c r="U238" t="str">
        <f t="shared" si="14"/>
        <v/>
      </c>
      <c r="V238" t="str">
        <f t="shared" si="15"/>
        <v/>
      </c>
      <c r="W238" t="str">
        <f t="shared" si="16"/>
        <v/>
      </c>
      <c r="X238" t="str">
        <f t="shared" si="17"/>
        <v/>
      </c>
      <c r="Y238" t="str">
        <f t="shared" si="18"/>
        <v/>
      </c>
      <c r="Z238" t="str">
        <f t="shared" si="19"/>
        <v/>
      </c>
      <c r="AA238" t="str">
        <f t="shared" si="20"/>
        <v/>
      </c>
      <c r="AB238" t="str">
        <f t="shared" si="21"/>
        <v/>
      </c>
      <c r="AC238" t="str">
        <f t="shared" si="22"/>
        <v/>
      </c>
      <c r="AD238" t="str">
        <f t="shared" si="23"/>
        <v/>
      </c>
      <c r="AE238" t="str">
        <f t="shared" si="24"/>
        <v/>
      </c>
      <c r="AF238" t="str">
        <f t="shared" si="25"/>
        <v/>
      </c>
      <c r="AG238" t="str">
        <f t="shared" si="26"/>
        <v/>
      </c>
      <c r="AH238" s="65" t="str">
        <f t="array" ref="AH238">if(sum(H238:AG238)=0,,sum(sort(TRANSPOSE(H238:AG238),1,false)))</f>
        <v/>
      </c>
    </row>
    <row r="239" hidden="1">
      <c r="F239" s="4">
        <v>107.0</v>
      </c>
      <c r="H239" t="str">
        <f t="shared" si="1"/>
        <v/>
      </c>
      <c r="I239" t="str">
        <f t="shared" si="2"/>
        <v/>
      </c>
      <c r="J239" t="str">
        <f t="shared" si="3"/>
        <v/>
      </c>
      <c r="K239" t="str">
        <f t="shared" si="4"/>
        <v/>
      </c>
      <c r="L239" t="str">
        <f t="shared" si="5"/>
        <v/>
      </c>
      <c r="M239" t="str">
        <f t="shared" si="6"/>
        <v/>
      </c>
      <c r="N239" t="str">
        <f t="shared" si="7"/>
        <v/>
      </c>
      <c r="O239" t="str">
        <f t="shared" si="8"/>
        <v/>
      </c>
      <c r="P239" t="str">
        <f t="shared" si="9"/>
        <v/>
      </c>
      <c r="Q239" t="str">
        <f t="shared" si="10"/>
        <v/>
      </c>
      <c r="R239" t="str">
        <f t="shared" si="11"/>
        <v/>
      </c>
      <c r="S239" t="str">
        <f t="shared" si="12"/>
        <v/>
      </c>
      <c r="T239" t="str">
        <f t="shared" si="13"/>
        <v/>
      </c>
      <c r="U239" t="str">
        <f t="shared" si="14"/>
        <v/>
      </c>
      <c r="V239" t="str">
        <f t="shared" si="15"/>
        <v/>
      </c>
      <c r="W239" t="str">
        <f t="shared" si="16"/>
        <v/>
      </c>
      <c r="X239" t="str">
        <f t="shared" si="17"/>
        <v/>
      </c>
      <c r="Y239" t="str">
        <f t="shared" si="18"/>
        <v/>
      </c>
      <c r="Z239" t="str">
        <f t="shared" si="19"/>
        <v/>
      </c>
      <c r="AA239" t="str">
        <f t="shared" si="20"/>
        <v/>
      </c>
      <c r="AB239" t="str">
        <f t="shared" si="21"/>
        <v/>
      </c>
      <c r="AC239" t="str">
        <f t="shared" si="22"/>
        <v/>
      </c>
      <c r="AD239" t="str">
        <f t="shared" si="23"/>
        <v/>
      </c>
      <c r="AE239" t="str">
        <f t="shared" si="24"/>
        <v/>
      </c>
      <c r="AF239" t="str">
        <f t="shared" si="25"/>
        <v/>
      </c>
      <c r="AG239" t="str">
        <f t="shared" si="26"/>
        <v/>
      </c>
      <c r="AH239" s="65" t="str">
        <f t="array" ref="AH239">if(sum(H239:AG239)=0,,sum(sort(TRANSPOSE(H239:AG239),1,false)))</f>
        <v/>
      </c>
    </row>
    <row r="240" hidden="1">
      <c r="F240" s="4">
        <v>108.0</v>
      </c>
      <c r="H240" t="str">
        <f t="shared" si="1"/>
        <v/>
      </c>
      <c r="I240" t="str">
        <f t="shared" si="2"/>
        <v/>
      </c>
      <c r="J240" t="str">
        <f t="shared" si="3"/>
        <v/>
      </c>
      <c r="K240" t="str">
        <f t="shared" si="4"/>
        <v/>
      </c>
      <c r="L240" t="str">
        <f t="shared" si="5"/>
        <v/>
      </c>
      <c r="M240" t="str">
        <f t="shared" si="6"/>
        <v/>
      </c>
      <c r="N240" t="str">
        <f t="shared" si="7"/>
        <v/>
      </c>
      <c r="O240" t="str">
        <f t="shared" si="8"/>
        <v/>
      </c>
      <c r="P240" t="str">
        <f t="shared" si="9"/>
        <v/>
      </c>
      <c r="Q240" t="str">
        <f t="shared" si="10"/>
        <v/>
      </c>
      <c r="R240" t="str">
        <f t="shared" si="11"/>
        <v/>
      </c>
      <c r="S240" t="str">
        <f t="shared" si="12"/>
        <v/>
      </c>
      <c r="T240" t="str">
        <f t="shared" si="13"/>
        <v/>
      </c>
      <c r="U240" t="str">
        <f t="shared" si="14"/>
        <v/>
      </c>
      <c r="V240" t="str">
        <f t="shared" si="15"/>
        <v/>
      </c>
      <c r="W240" t="str">
        <f t="shared" si="16"/>
        <v/>
      </c>
      <c r="X240" t="str">
        <f t="shared" si="17"/>
        <v/>
      </c>
      <c r="Y240" t="str">
        <f t="shared" si="18"/>
        <v/>
      </c>
      <c r="Z240" t="str">
        <f t="shared" si="19"/>
        <v/>
      </c>
      <c r="AA240" t="str">
        <f t="shared" si="20"/>
        <v/>
      </c>
      <c r="AB240" t="str">
        <f t="shared" si="21"/>
        <v/>
      </c>
      <c r="AC240" t="str">
        <f t="shared" si="22"/>
        <v/>
      </c>
      <c r="AD240" t="str">
        <f t="shared" si="23"/>
        <v/>
      </c>
      <c r="AE240" t="str">
        <f t="shared" si="24"/>
        <v/>
      </c>
      <c r="AF240" t="str">
        <f t="shared" si="25"/>
        <v/>
      </c>
      <c r="AG240" t="str">
        <f t="shared" si="26"/>
        <v/>
      </c>
      <c r="AH240" s="65" t="str">
        <f t="array" ref="AH240">if(sum(H240:AG240)=0,,sum(sort(TRANSPOSE(H240:AG240),1,false)))</f>
        <v/>
      </c>
    </row>
    <row r="241" hidden="1">
      <c r="F241" s="4">
        <v>109.0</v>
      </c>
      <c r="H241" t="str">
        <f t="shared" si="1"/>
        <v/>
      </c>
      <c r="I241" t="str">
        <f t="shared" si="2"/>
        <v/>
      </c>
      <c r="J241" t="str">
        <f t="shared" si="3"/>
        <v/>
      </c>
      <c r="K241" t="str">
        <f t="shared" si="4"/>
        <v/>
      </c>
      <c r="L241" t="str">
        <f t="shared" si="5"/>
        <v/>
      </c>
      <c r="M241" t="str">
        <f t="shared" si="6"/>
        <v/>
      </c>
      <c r="N241" t="str">
        <f t="shared" si="7"/>
        <v/>
      </c>
      <c r="O241" t="str">
        <f t="shared" si="8"/>
        <v/>
      </c>
      <c r="P241" t="str">
        <f t="shared" si="9"/>
        <v/>
      </c>
      <c r="Q241" t="str">
        <f t="shared" si="10"/>
        <v/>
      </c>
      <c r="R241" t="str">
        <f t="shared" si="11"/>
        <v/>
      </c>
      <c r="S241" t="str">
        <f t="shared" si="12"/>
        <v/>
      </c>
      <c r="T241" t="str">
        <f t="shared" si="13"/>
        <v/>
      </c>
      <c r="U241" t="str">
        <f t="shared" si="14"/>
        <v/>
      </c>
      <c r="V241" t="str">
        <f t="shared" si="15"/>
        <v/>
      </c>
      <c r="W241" t="str">
        <f t="shared" si="16"/>
        <v/>
      </c>
      <c r="X241" t="str">
        <f t="shared" si="17"/>
        <v/>
      </c>
      <c r="Y241" t="str">
        <f t="shared" si="18"/>
        <v/>
      </c>
      <c r="Z241" t="str">
        <f t="shared" si="19"/>
        <v/>
      </c>
      <c r="AA241" t="str">
        <f t="shared" si="20"/>
        <v/>
      </c>
      <c r="AB241" t="str">
        <f t="shared" si="21"/>
        <v/>
      </c>
      <c r="AC241" t="str">
        <f t="shared" si="22"/>
        <v/>
      </c>
      <c r="AD241" t="str">
        <f t="shared" si="23"/>
        <v/>
      </c>
      <c r="AE241" t="str">
        <f t="shared" si="24"/>
        <v/>
      </c>
      <c r="AF241" t="str">
        <f t="shared" si="25"/>
        <v/>
      </c>
      <c r="AG241" t="str">
        <f t="shared" si="26"/>
        <v/>
      </c>
      <c r="AH241" s="65" t="str">
        <f t="array" ref="AH241">if(sum(H241:AG241)=0,,sum(sort(TRANSPOSE(H241:AG241),1,false)))</f>
        <v/>
      </c>
    </row>
    <row r="242" hidden="1">
      <c r="F242" s="4">
        <v>110.0</v>
      </c>
      <c r="H242" t="str">
        <f t="shared" si="1"/>
        <v/>
      </c>
      <c r="I242" t="str">
        <f t="shared" si="2"/>
        <v/>
      </c>
      <c r="J242" t="str">
        <f t="shared" si="3"/>
        <v/>
      </c>
      <c r="K242" t="str">
        <f t="shared" si="4"/>
        <v/>
      </c>
      <c r="L242" t="str">
        <f t="shared" si="5"/>
        <v/>
      </c>
      <c r="M242" t="str">
        <f t="shared" si="6"/>
        <v/>
      </c>
      <c r="N242" t="str">
        <f t="shared" si="7"/>
        <v/>
      </c>
      <c r="O242" t="str">
        <f t="shared" si="8"/>
        <v/>
      </c>
      <c r="P242" t="str">
        <f t="shared" si="9"/>
        <v/>
      </c>
      <c r="Q242" t="str">
        <f t="shared" si="10"/>
        <v/>
      </c>
      <c r="R242" t="str">
        <f t="shared" si="11"/>
        <v/>
      </c>
      <c r="S242" t="str">
        <f t="shared" si="12"/>
        <v/>
      </c>
      <c r="T242" t="str">
        <f t="shared" si="13"/>
        <v/>
      </c>
      <c r="U242" t="str">
        <f t="shared" si="14"/>
        <v/>
      </c>
      <c r="V242" t="str">
        <f t="shared" si="15"/>
        <v/>
      </c>
      <c r="W242" t="str">
        <f t="shared" si="16"/>
        <v/>
      </c>
      <c r="X242" t="str">
        <f t="shared" si="17"/>
        <v/>
      </c>
      <c r="Y242" t="str">
        <f t="shared" si="18"/>
        <v/>
      </c>
      <c r="Z242" t="str">
        <f t="shared" si="19"/>
        <v/>
      </c>
      <c r="AA242" t="str">
        <f t="shared" si="20"/>
        <v/>
      </c>
      <c r="AB242" t="str">
        <f t="shared" si="21"/>
        <v/>
      </c>
      <c r="AC242" t="str">
        <f t="shared" si="22"/>
        <v/>
      </c>
      <c r="AD242" t="str">
        <f t="shared" si="23"/>
        <v/>
      </c>
      <c r="AE242" t="str">
        <f t="shared" si="24"/>
        <v/>
      </c>
      <c r="AF242" t="str">
        <f t="shared" si="25"/>
        <v/>
      </c>
      <c r="AG242" t="str">
        <f t="shared" si="26"/>
        <v/>
      </c>
      <c r="AH242" s="65" t="str">
        <f t="array" ref="AH242">if(sum(H242:AG242)=0,,sum(sort(TRANSPOSE(H242:AG242),1,false)))</f>
        <v/>
      </c>
    </row>
    <row r="243" hidden="1">
      <c r="F243" s="4">
        <v>111.0</v>
      </c>
      <c r="H243" t="str">
        <f t="shared" si="1"/>
        <v/>
      </c>
      <c r="I243" t="str">
        <f t="shared" si="2"/>
        <v/>
      </c>
      <c r="J243" t="str">
        <f t="shared" si="3"/>
        <v/>
      </c>
      <c r="K243" t="str">
        <f t="shared" si="4"/>
        <v/>
      </c>
      <c r="L243" t="str">
        <f t="shared" si="5"/>
        <v/>
      </c>
      <c r="M243" t="str">
        <f t="shared" si="6"/>
        <v/>
      </c>
      <c r="N243" t="str">
        <f t="shared" si="7"/>
        <v/>
      </c>
      <c r="O243" t="str">
        <f t="shared" si="8"/>
        <v/>
      </c>
      <c r="P243" t="str">
        <f t="shared" si="9"/>
        <v/>
      </c>
      <c r="Q243" t="str">
        <f t="shared" si="10"/>
        <v/>
      </c>
      <c r="R243" t="str">
        <f t="shared" si="11"/>
        <v/>
      </c>
      <c r="S243" t="str">
        <f t="shared" si="12"/>
        <v/>
      </c>
      <c r="T243" t="str">
        <f t="shared" si="13"/>
        <v/>
      </c>
      <c r="U243" t="str">
        <f t="shared" si="14"/>
        <v/>
      </c>
      <c r="V243" t="str">
        <f t="shared" si="15"/>
        <v/>
      </c>
      <c r="W243" t="str">
        <f t="shared" si="16"/>
        <v/>
      </c>
      <c r="X243" t="str">
        <f t="shared" si="17"/>
        <v/>
      </c>
      <c r="Y243" t="str">
        <f t="shared" si="18"/>
        <v/>
      </c>
      <c r="Z243" t="str">
        <f t="shared" si="19"/>
        <v/>
      </c>
      <c r="AA243" t="str">
        <f t="shared" si="20"/>
        <v/>
      </c>
      <c r="AB243" t="str">
        <f t="shared" si="21"/>
        <v/>
      </c>
      <c r="AC243" t="str">
        <f t="shared" si="22"/>
        <v/>
      </c>
      <c r="AD243" t="str">
        <f t="shared" si="23"/>
        <v/>
      </c>
      <c r="AE243" t="str">
        <f t="shared" si="24"/>
        <v/>
      </c>
      <c r="AF243" t="str">
        <f t="shared" si="25"/>
        <v/>
      </c>
      <c r="AG243" t="str">
        <f t="shared" si="26"/>
        <v/>
      </c>
      <c r="AH243" s="65" t="str">
        <f t="array" ref="AH243">if(sum(H243:AG243)=0,,sum(sort(TRANSPOSE(H243:AG243),1,false)))</f>
        <v/>
      </c>
    </row>
    <row r="244" hidden="1">
      <c r="F244" s="4">
        <v>112.0</v>
      </c>
      <c r="H244" t="str">
        <f t="shared" si="1"/>
        <v/>
      </c>
      <c r="I244" t="str">
        <f t="shared" si="2"/>
        <v/>
      </c>
      <c r="J244" t="str">
        <f t="shared" si="3"/>
        <v/>
      </c>
      <c r="K244" t="str">
        <f t="shared" si="4"/>
        <v/>
      </c>
      <c r="L244" t="str">
        <f t="shared" si="5"/>
        <v/>
      </c>
      <c r="M244" t="str">
        <f t="shared" si="6"/>
        <v/>
      </c>
      <c r="N244" t="str">
        <f t="shared" si="7"/>
        <v/>
      </c>
      <c r="O244" t="str">
        <f t="shared" si="8"/>
        <v/>
      </c>
      <c r="P244" t="str">
        <f t="shared" si="9"/>
        <v/>
      </c>
      <c r="Q244" t="str">
        <f t="shared" si="10"/>
        <v/>
      </c>
      <c r="R244" t="str">
        <f t="shared" si="11"/>
        <v/>
      </c>
      <c r="S244" t="str">
        <f t="shared" si="12"/>
        <v/>
      </c>
      <c r="T244" t="str">
        <f t="shared" si="13"/>
        <v/>
      </c>
      <c r="U244" t="str">
        <f t="shared" si="14"/>
        <v/>
      </c>
      <c r="V244" t="str">
        <f t="shared" si="15"/>
        <v/>
      </c>
      <c r="W244" t="str">
        <f t="shared" si="16"/>
        <v/>
      </c>
      <c r="X244" t="str">
        <f t="shared" si="17"/>
        <v/>
      </c>
      <c r="Y244" t="str">
        <f t="shared" si="18"/>
        <v/>
      </c>
      <c r="Z244" t="str">
        <f t="shared" si="19"/>
        <v/>
      </c>
      <c r="AA244" t="str">
        <f t="shared" si="20"/>
        <v/>
      </c>
      <c r="AB244" t="str">
        <f t="shared" si="21"/>
        <v/>
      </c>
      <c r="AC244" t="str">
        <f t="shared" si="22"/>
        <v/>
      </c>
      <c r="AD244" t="str">
        <f t="shared" si="23"/>
        <v/>
      </c>
      <c r="AE244" t="str">
        <f t="shared" si="24"/>
        <v/>
      </c>
      <c r="AF244" t="str">
        <f t="shared" si="25"/>
        <v/>
      </c>
      <c r="AG244" t="str">
        <f t="shared" si="26"/>
        <v/>
      </c>
      <c r="AH244" s="65" t="str">
        <f t="array" ref="AH244">if(sum(H244:AG244)=0,,sum(sort(TRANSPOSE(H244:AG244),1,false)))</f>
        <v/>
      </c>
    </row>
    <row r="245" hidden="1">
      <c r="F245" s="4">
        <v>113.0</v>
      </c>
      <c r="H245" t="str">
        <f t="shared" si="1"/>
        <v/>
      </c>
      <c r="I245" t="str">
        <f t="shared" si="2"/>
        <v/>
      </c>
      <c r="J245" t="str">
        <f t="shared" si="3"/>
        <v/>
      </c>
      <c r="K245" t="str">
        <f t="shared" si="4"/>
        <v/>
      </c>
      <c r="L245" t="str">
        <f t="shared" si="5"/>
        <v/>
      </c>
      <c r="M245" t="str">
        <f t="shared" si="6"/>
        <v/>
      </c>
      <c r="N245" t="str">
        <f t="shared" si="7"/>
        <v/>
      </c>
      <c r="O245" t="str">
        <f t="shared" si="8"/>
        <v/>
      </c>
      <c r="P245" t="str">
        <f t="shared" si="9"/>
        <v/>
      </c>
      <c r="Q245" t="str">
        <f t="shared" si="10"/>
        <v/>
      </c>
      <c r="R245" t="str">
        <f t="shared" si="11"/>
        <v/>
      </c>
      <c r="S245" t="str">
        <f t="shared" si="12"/>
        <v/>
      </c>
      <c r="T245" t="str">
        <f t="shared" si="13"/>
        <v/>
      </c>
      <c r="U245" t="str">
        <f t="shared" si="14"/>
        <v/>
      </c>
      <c r="V245" t="str">
        <f t="shared" si="15"/>
        <v/>
      </c>
      <c r="W245" t="str">
        <f t="shared" si="16"/>
        <v/>
      </c>
      <c r="X245" t="str">
        <f t="shared" si="17"/>
        <v/>
      </c>
      <c r="Y245" t="str">
        <f t="shared" si="18"/>
        <v/>
      </c>
      <c r="Z245" t="str">
        <f t="shared" si="19"/>
        <v/>
      </c>
      <c r="AA245" t="str">
        <f t="shared" si="20"/>
        <v/>
      </c>
      <c r="AB245" t="str">
        <f t="shared" si="21"/>
        <v/>
      </c>
      <c r="AC245" t="str">
        <f t="shared" si="22"/>
        <v/>
      </c>
      <c r="AD245" t="str">
        <f t="shared" si="23"/>
        <v/>
      </c>
      <c r="AE245" t="str">
        <f t="shared" si="24"/>
        <v/>
      </c>
      <c r="AF245" t="str">
        <f t="shared" si="25"/>
        <v/>
      </c>
      <c r="AG245" t="str">
        <f t="shared" si="26"/>
        <v/>
      </c>
      <c r="AH245" s="65" t="str">
        <f t="array" ref="AH245">if(sum(H245:AG245)=0,,sum(sort(TRANSPOSE(H245:AG245),1,false)))</f>
        <v/>
      </c>
    </row>
    <row r="246" hidden="1">
      <c r="F246" s="4">
        <v>114.0</v>
      </c>
      <c r="H246" t="str">
        <f t="shared" si="1"/>
        <v/>
      </c>
      <c r="I246" t="str">
        <f t="shared" si="2"/>
        <v/>
      </c>
      <c r="J246" t="str">
        <f t="shared" si="3"/>
        <v/>
      </c>
      <c r="K246" t="str">
        <f t="shared" si="4"/>
        <v/>
      </c>
      <c r="L246" t="str">
        <f t="shared" si="5"/>
        <v/>
      </c>
      <c r="M246" t="str">
        <f t="shared" si="6"/>
        <v/>
      </c>
      <c r="N246" t="str">
        <f t="shared" si="7"/>
        <v/>
      </c>
      <c r="O246" t="str">
        <f t="shared" si="8"/>
        <v/>
      </c>
      <c r="P246" t="str">
        <f t="shared" si="9"/>
        <v/>
      </c>
      <c r="Q246" t="str">
        <f t="shared" si="10"/>
        <v/>
      </c>
      <c r="R246" t="str">
        <f t="shared" si="11"/>
        <v/>
      </c>
      <c r="S246" t="str">
        <f t="shared" si="12"/>
        <v/>
      </c>
      <c r="T246" t="str">
        <f t="shared" si="13"/>
        <v/>
      </c>
      <c r="U246" t="str">
        <f t="shared" si="14"/>
        <v/>
      </c>
      <c r="V246" t="str">
        <f t="shared" si="15"/>
        <v/>
      </c>
      <c r="W246" t="str">
        <f t="shared" si="16"/>
        <v/>
      </c>
      <c r="X246" t="str">
        <f t="shared" si="17"/>
        <v/>
      </c>
      <c r="Y246" t="str">
        <f t="shared" si="18"/>
        <v/>
      </c>
      <c r="Z246" t="str">
        <f t="shared" si="19"/>
        <v/>
      </c>
      <c r="AA246" t="str">
        <f t="shared" si="20"/>
        <v/>
      </c>
      <c r="AB246" t="str">
        <f t="shared" si="21"/>
        <v/>
      </c>
      <c r="AC246" t="str">
        <f t="shared" si="22"/>
        <v/>
      </c>
      <c r="AD246" t="str">
        <f t="shared" si="23"/>
        <v/>
      </c>
      <c r="AE246" t="str">
        <f t="shared" si="24"/>
        <v/>
      </c>
      <c r="AF246" t="str">
        <f t="shared" si="25"/>
        <v/>
      </c>
      <c r="AG246" t="str">
        <f t="shared" si="26"/>
        <v/>
      </c>
      <c r="AH246" s="65" t="str">
        <f t="array" ref="AH246">if(sum(H246:AG246)=0,,sum(sort(TRANSPOSE(H246:AG246),1,false)))</f>
        <v/>
      </c>
    </row>
    <row r="247" hidden="1">
      <c r="F247" s="4">
        <v>115.0</v>
      </c>
      <c r="H247" t="str">
        <f t="shared" si="1"/>
        <v/>
      </c>
      <c r="I247" t="str">
        <f t="shared" si="2"/>
        <v/>
      </c>
      <c r="J247" t="str">
        <f t="shared" si="3"/>
        <v/>
      </c>
      <c r="K247" t="str">
        <f t="shared" si="4"/>
        <v/>
      </c>
      <c r="L247" t="str">
        <f t="shared" si="5"/>
        <v/>
      </c>
      <c r="M247" t="str">
        <f t="shared" si="6"/>
        <v/>
      </c>
      <c r="N247" t="str">
        <f t="shared" si="7"/>
        <v/>
      </c>
      <c r="O247" t="str">
        <f t="shared" si="8"/>
        <v/>
      </c>
      <c r="P247" t="str">
        <f t="shared" si="9"/>
        <v/>
      </c>
      <c r="Q247" t="str">
        <f t="shared" si="10"/>
        <v/>
      </c>
      <c r="R247" t="str">
        <f t="shared" si="11"/>
        <v/>
      </c>
      <c r="S247" t="str">
        <f t="shared" si="12"/>
        <v/>
      </c>
      <c r="T247" t="str">
        <f t="shared" si="13"/>
        <v/>
      </c>
      <c r="U247" t="str">
        <f t="shared" si="14"/>
        <v/>
      </c>
      <c r="V247" t="str">
        <f t="shared" si="15"/>
        <v/>
      </c>
      <c r="W247" t="str">
        <f t="shared" si="16"/>
        <v/>
      </c>
      <c r="X247" t="str">
        <f t="shared" si="17"/>
        <v/>
      </c>
      <c r="Y247" t="str">
        <f t="shared" si="18"/>
        <v/>
      </c>
      <c r="Z247" t="str">
        <f t="shared" si="19"/>
        <v/>
      </c>
      <c r="AA247" t="str">
        <f t="shared" si="20"/>
        <v/>
      </c>
      <c r="AB247" t="str">
        <f t="shared" si="21"/>
        <v/>
      </c>
      <c r="AC247" t="str">
        <f t="shared" si="22"/>
        <v/>
      </c>
      <c r="AD247" t="str">
        <f t="shared" si="23"/>
        <v/>
      </c>
      <c r="AE247" t="str">
        <f t="shared" si="24"/>
        <v/>
      </c>
      <c r="AF247" t="str">
        <f t="shared" si="25"/>
        <v/>
      </c>
      <c r="AG247" t="str">
        <f t="shared" si="26"/>
        <v/>
      </c>
      <c r="AH247" s="65" t="str">
        <f t="array" ref="AH247">if(sum(H247:AG247)=0,,sum(sort(TRANSPOSE(H247:AG247),1,false)))</f>
        <v/>
      </c>
    </row>
    <row r="248" hidden="1">
      <c r="F248" s="4">
        <v>116.0</v>
      </c>
      <c r="H248" t="str">
        <f t="shared" si="1"/>
        <v/>
      </c>
      <c r="I248" t="str">
        <f t="shared" si="2"/>
        <v/>
      </c>
      <c r="J248" t="str">
        <f t="shared" si="3"/>
        <v/>
      </c>
      <c r="K248" t="str">
        <f t="shared" si="4"/>
        <v/>
      </c>
      <c r="L248" t="str">
        <f t="shared" si="5"/>
        <v/>
      </c>
      <c r="M248" t="str">
        <f t="shared" si="6"/>
        <v/>
      </c>
      <c r="N248" t="str">
        <f t="shared" si="7"/>
        <v/>
      </c>
      <c r="O248" t="str">
        <f t="shared" si="8"/>
        <v/>
      </c>
      <c r="P248" t="str">
        <f t="shared" si="9"/>
        <v/>
      </c>
      <c r="Q248" t="str">
        <f t="shared" si="10"/>
        <v/>
      </c>
      <c r="R248" t="str">
        <f t="shared" si="11"/>
        <v/>
      </c>
      <c r="S248" t="str">
        <f t="shared" si="12"/>
        <v/>
      </c>
      <c r="T248" t="str">
        <f t="shared" si="13"/>
        <v/>
      </c>
      <c r="U248" t="str">
        <f t="shared" si="14"/>
        <v/>
      </c>
      <c r="V248" t="str">
        <f t="shared" si="15"/>
        <v/>
      </c>
      <c r="W248" t="str">
        <f t="shared" si="16"/>
        <v/>
      </c>
      <c r="X248" t="str">
        <f t="shared" si="17"/>
        <v/>
      </c>
      <c r="Y248" t="str">
        <f t="shared" si="18"/>
        <v/>
      </c>
      <c r="Z248" t="str">
        <f t="shared" si="19"/>
        <v/>
      </c>
      <c r="AA248" t="str">
        <f t="shared" si="20"/>
        <v/>
      </c>
      <c r="AB248" t="str">
        <f t="shared" si="21"/>
        <v/>
      </c>
      <c r="AC248" t="str">
        <f t="shared" si="22"/>
        <v/>
      </c>
      <c r="AD248" t="str">
        <f t="shared" si="23"/>
        <v/>
      </c>
      <c r="AE248" t="str">
        <f t="shared" si="24"/>
        <v/>
      </c>
      <c r="AF248" t="str">
        <f t="shared" si="25"/>
        <v/>
      </c>
      <c r="AG248" t="str">
        <f t="shared" si="26"/>
        <v/>
      </c>
      <c r="AH248" s="65" t="str">
        <f t="array" ref="AH248">if(sum(H248:AG248)=0,,sum(sort(TRANSPOSE(H248:AG248),1,false)))</f>
        <v/>
      </c>
    </row>
    <row r="249" hidden="1">
      <c r="F249" s="4">
        <v>117.0</v>
      </c>
      <c r="H249" t="str">
        <f t="shared" si="1"/>
        <v/>
      </c>
      <c r="I249" t="str">
        <f t="shared" si="2"/>
        <v/>
      </c>
      <c r="J249" t="str">
        <f t="shared" si="3"/>
        <v/>
      </c>
      <c r="K249" t="str">
        <f t="shared" si="4"/>
        <v/>
      </c>
      <c r="L249" t="str">
        <f t="shared" si="5"/>
        <v/>
      </c>
      <c r="M249" t="str">
        <f t="shared" si="6"/>
        <v/>
      </c>
      <c r="N249" t="str">
        <f t="shared" si="7"/>
        <v/>
      </c>
      <c r="O249" t="str">
        <f t="shared" si="8"/>
        <v/>
      </c>
      <c r="P249" t="str">
        <f t="shared" si="9"/>
        <v/>
      </c>
      <c r="Q249" t="str">
        <f t="shared" si="10"/>
        <v/>
      </c>
      <c r="R249" t="str">
        <f t="shared" si="11"/>
        <v/>
      </c>
      <c r="S249" t="str">
        <f t="shared" si="12"/>
        <v/>
      </c>
      <c r="T249" t="str">
        <f t="shared" si="13"/>
        <v/>
      </c>
      <c r="U249" t="str">
        <f t="shared" si="14"/>
        <v/>
      </c>
      <c r="V249" t="str">
        <f t="shared" si="15"/>
        <v/>
      </c>
      <c r="W249" t="str">
        <f t="shared" si="16"/>
        <v/>
      </c>
      <c r="X249" t="str">
        <f t="shared" si="17"/>
        <v/>
      </c>
      <c r="Y249" t="str">
        <f t="shared" si="18"/>
        <v/>
      </c>
      <c r="Z249" t="str">
        <f t="shared" si="19"/>
        <v/>
      </c>
      <c r="AA249" t="str">
        <f t="shared" si="20"/>
        <v/>
      </c>
      <c r="AB249" t="str">
        <f t="shared" si="21"/>
        <v/>
      </c>
      <c r="AC249" t="str">
        <f t="shared" si="22"/>
        <v/>
      </c>
      <c r="AD249" t="str">
        <f t="shared" si="23"/>
        <v/>
      </c>
      <c r="AE249" t="str">
        <f t="shared" si="24"/>
        <v/>
      </c>
      <c r="AF249" t="str">
        <f t="shared" si="25"/>
        <v/>
      </c>
      <c r="AG249" t="str">
        <f t="shared" si="26"/>
        <v/>
      </c>
      <c r="AH249" s="65" t="str">
        <f t="array" ref="AH249">if(sum(H249:AG249)=0,,sum(sort(TRANSPOSE(H249:AG249),1,false)))</f>
        <v/>
      </c>
    </row>
    <row r="250" hidden="1">
      <c r="F250" s="4">
        <v>118.0</v>
      </c>
      <c r="H250" t="str">
        <f t="shared" si="1"/>
        <v/>
      </c>
      <c r="I250" t="str">
        <f t="shared" si="2"/>
        <v/>
      </c>
      <c r="J250" t="str">
        <f t="shared" si="3"/>
        <v/>
      </c>
      <c r="K250" t="str">
        <f t="shared" si="4"/>
        <v/>
      </c>
      <c r="L250" t="str">
        <f t="shared" si="5"/>
        <v/>
      </c>
      <c r="M250" t="str">
        <f t="shared" si="6"/>
        <v/>
      </c>
      <c r="N250" t="str">
        <f t="shared" si="7"/>
        <v/>
      </c>
      <c r="O250" t="str">
        <f t="shared" si="8"/>
        <v/>
      </c>
      <c r="P250" t="str">
        <f t="shared" si="9"/>
        <v/>
      </c>
      <c r="Q250" t="str">
        <f t="shared" si="10"/>
        <v/>
      </c>
      <c r="R250" t="str">
        <f t="shared" si="11"/>
        <v/>
      </c>
      <c r="S250" t="str">
        <f t="shared" si="12"/>
        <v/>
      </c>
      <c r="T250" t="str">
        <f t="shared" si="13"/>
        <v/>
      </c>
      <c r="U250" t="str">
        <f t="shared" si="14"/>
        <v/>
      </c>
      <c r="V250" t="str">
        <f t="shared" si="15"/>
        <v/>
      </c>
      <c r="W250" t="str">
        <f t="shared" si="16"/>
        <v/>
      </c>
      <c r="X250" t="str">
        <f t="shared" si="17"/>
        <v/>
      </c>
      <c r="Y250" t="str">
        <f t="shared" si="18"/>
        <v/>
      </c>
      <c r="Z250" t="str">
        <f t="shared" si="19"/>
        <v/>
      </c>
      <c r="AA250" t="str">
        <f t="shared" si="20"/>
        <v/>
      </c>
      <c r="AB250" t="str">
        <f t="shared" si="21"/>
        <v/>
      </c>
      <c r="AC250" t="str">
        <f t="shared" si="22"/>
        <v/>
      </c>
      <c r="AD250" t="str">
        <f t="shared" si="23"/>
        <v/>
      </c>
      <c r="AE250" t="str">
        <f t="shared" si="24"/>
        <v/>
      </c>
      <c r="AF250" t="str">
        <f t="shared" si="25"/>
        <v/>
      </c>
      <c r="AG250" t="str">
        <f t="shared" si="26"/>
        <v/>
      </c>
      <c r="AH250" s="65" t="str">
        <f t="array" ref="AH250">if(sum(H250:AG250)=0,,sum(sort(TRANSPOSE(H250:AG250),1,false)))</f>
        <v/>
      </c>
    </row>
    <row r="251" hidden="1">
      <c r="F251" s="4">
        <v>119.0</v>
      </c>
      <c r="H251" t="str">
        <f t="shared" si="1"/>
        <v/>
      </c>
      <c r="I251" t="str">
        <f t="shared" si="2"/>
        <v/>
      </c>
      <c r="J251" t="str">
        <f t="shared" si="3"/>
        <v/>
      </c>
      <c r="K251" t="str">
        <f t="shared" si="4"/>
        <v/>
      </c>
      <c r="L251" t="str">
        <f t="shared" si="5"/>
        <v/>
      </c>
      <c r="M251" t="str">
        <f t="shared" si="6"/>
        <v/>
      </c>
      <c r="N251" t="str">
        <f t="shared" si="7"/>
        <v/>
      </c>
      <c r="O251" t="str">
        <f t="shared" si="8"/>
        <v/>
      </c>
      <c r="P251" t="str">
        <f t="shared" si="9"/>
        <v/>
      </c>
      <c r="Q251" t="str">
        <f t="shared" si="10"/>
        <v/>
      </c>
      <c r="R251" t="str">
        <f t="shared" si="11"/>
        <v/>
      </c>
      <c r="S251" t="str">
        <f t="shared" si="12"/>
        <v/>
      </c>
      <c r="T251" t="str">
        <f t="shared" si="13"/>
        <v/>
      </c>
      <c r="U251" t="str">
        <f t="shared" si="14"/>
        <v/>
      </c>
      <c r="V251" t="str">
        <f t="shared" si="15"/>
        <v/>
      </c>
      <c r="W251" t="str">
        <f t="shared" si="16"/>
        <v/>
      </c>
      <c r="X251" t="str">
        <f t="shared" si="17"/>
        <v/>
      </c>
      <c r="Y251" t="str">
        <f t="shared" si="18"/>
        <v/>
      </c>
      <c r="Z251" t="str">
        <f t="shared" si="19"/>
        <v/>
      </c>
      <c r="AA251" t="str">
        <f t="shared" si="20"/>
        <v/>
      </c>
      <c r="AB251" t="str">
        <f t="shared" si="21"/>
        <v/>
      </c>
      <c r="AC251" t="str">
        <f t="shared" si="22"/>
        <v/>
      </c>
      <c r="AD251" t="str">
        <f t="shared" si="23"/>
        <v/>
      </c>
      <c r="AE251" t="str">
        <f t="shared" si="24"/>
        <v/>
      </c>
      <c r="AF251" t="str">
        <f t="shared" si="25"/>
        <v/>
      </c>
      <c r="AG251" t="str">
        <f t="shared" si="26"/>
        <v/>
      </c>
      <c r="AH251" s="65" t="str">
        <f t="array" ref="AH251">if(sum(H251:AG251)=0,,sum(sort(TRANSPOSE(H251:AG251),1,false)))</f>
        <v/>
      </c>
    </row>
    <row r="252" hidden="1">
      <c r="F252" s="4">
        <v>120.0</v>
      </c>
      <c r="H252" t="str">
        <f t="shared" si="1"/>
        <v/>
      </c>
      <c r="I252" t="str">
        <f t="shared" si="2"/>
        <v/>
      </c>
      <c r="J252" t="str">
        <f t="shared" si="3"/>
        <v/>
      </c>
      <c r="K252" t="str">
        <f t="shared" si="4"/>
        <v/>
      </c>
      <c r="L252" t="str">
        <f t="shared" si="5"/>
        <v/>
      </c>
      <c r="M252" t="str">
        <f t="shared" si="6"/>
        <v/>
      </c>
      <c r="N252" t="str">
        <f t="shared" si="7"/>
        <v/>
      </c>
      <c r="O252" t="str">
        <f t="shared" si="8"/>
        <v/>
      </c>
      <c r="P252" t="str">
        <f t="shared" si="9"/>
        <v/>
      </c>
      <c r="Q252" t="str">
        <f t="shared" si="10"/>
        <v/>
      </c>
      <c r="R252" t="str">
        <f t="shared" si="11"/>
        <v/>
      </c>
      <c r="S252" t="str">
        <f t="shared" si="12"/>
        <v/>
      </c>
      <c r="T252" t="str">
        <f t="shared" si="13"/>
        <v/>
      </c>
      <c r="U252" t="str">
        <f t="shared" si="14"/>
        <v/>
      </c>
      <c r="V252" t="str">
        <f t="shared" si="15"/>
        <v/>
      </c>
      <c r="W252" t="str">
        <f t="shared" si="16"/>
        <v/>
      </c>
      <c r="X252" t="str">
        <f t="shared" si="17"/>
        <v/>
      </c>
      <c r="Y252" t="str">
        <f t="shared" si="18"/>
        <v/>
      </c>
      <c r="Z252" t="str">
        <f t="shared" si="19"/>
        <v/>
      </c>
      <c r="AA252" t="str">
        <f t="shared" si="20"/>
        <v/>
      </c>
      <c r="AB252" t="str">
        <f t="shared" si="21"/>
        <v/>
      </c>
      <c r="AC252" t="str">
        <f t="shared" si="22"/>
        <v/>
      </c>
      <c r="AD252" t="str">
        <f t="shared" si="23"/>
        <v/>
      </c>
      <c r="AE252" t="str">
        <f t="shared" si="24"/>
        <v/>
      </c>
      <c r="AF252" t="str">
        <f t="shared" si="25"/>
        <v/>
      </c>
      <c r="AG252" t="str">
        <f t="shared" si="26"/>
        <v/>
      </c>
      <c r="AH252" s="65" t="str">
        <f t="array" ref="AH252">if(sum(H252:AG252)=0,,sum(sort(TRANSPOSE(H252:AG252),1,false)))</f>
        <v/>
      </c>
    </row>
    <row r="253" hidden="1">
      <c r="F253" s="4">
        <v>121.0</v>
      </c>
      <c r="H253" t="str">
        <f t="shared" si="1"/>
        <v/>
      </c>
      <c r="I253" t="str">
        <f t="shared" si="2"/>
        <v/>
      </c>
      <c r="J253" t="str">
        <f t="shared" si="3"/>
        <v/>
      </c>
      <c r="K253" t="str">
        <f t="shared" si="4"/>
        <v/>
      </c>
      <c r="L253" t="str">
        <f t="shared" si="5"/>
        <v/>
      </c>
      <c r="M253" t="str">
        <f t="shared" si="6"/>
        <v/>
      </c>
      <c r="N253" t="str">
        <f t="shared" si="7"/>
        <v/>
      </c>
      <c r="O253" t="str">
        <f t="shared" si="8"/>
        <v/>
      </c>
      <c r="P253" t="str">
        <f t="shared" si="9"/>
        <v/>
      </c>
      <c r="Q253" t="str">
        <f t="shared" si="10"/>
        <v/>
      </c>
      <c r="R253" t="str">
        <f t="shared" si="11"/>
        <v/>
      </c>
      <c r="S253" t="str">
        <f t="shared" si="12"/>
        <v/>
      </c>
      <c r="T253" t="str">
        <f t="shared" si="13"/>
        <v/>
      </c>
      <c r="U253" t="str">
        <f t="shared" si="14"/>
        <v/>
      </c>
      <c r="V253" t="str">
        <f t="shared" si="15"/>
        <v/>
      </c>
      <c r="W253" t="str">
        <f t="shared" si="16"/>
        <v/>
      </c>
      <c r="X253" t="str">
        <f t="shared" si="17"/>
        <v/>
      </c>
      <c r="Y253" t="str">
        <f t="shared" si="18"/>
        <v/>
      </c>
      <c r="Z253" t="str">
        <f t="shared" si="19"/>
        <v/>
      </c>
      <c r="AA253" t="str">
        <f t="shared" si="20"/>
        <v/>
      </c>
      <c r="AB253" t="str">
        <f t="shared" si="21"/>
        <v/>
      </c>
      <c r="AC253" t="str">
        <f t="shared" si="22"/>
        <v/>
      </c>
      <c r="AD253" t="str">
        <f t="shared" si="23"/>
        <v/>
      </c>
      <c r="AE253" t="str">
        <f t="shared" si="24"/>
        <v/>
      </c>
      <c r="AF253" t="str">
        <f t="shared" si="25"/>
        <v/>
      </c>
      <c r="AG253" t="str">
        <f t="shared" si="26"/>
        <v/>
      </c>
      <c r="AH253" s="65" t="str">
        <f t="array" ref="AH253">if(sum(H253:AG253)=0,,sum(sort(TRANSPOSE(H253:AG253),1,false)))</f>
        <v/>
      </c>
    </row>
    <row r="254" hidden="1">
      <c r="F254" s="4">
        <v>122.0</v>
      </c>
      <c r="H254" t="str">
        <f t="shared" si="1"/>
        <v/>
      </c>
      <c r="I254" t="str">
        <f t="shared" si="2"/>
        <v/>
      </c>
      <c r="J254" t="str">
        <f t="shared" si="3"/>
        <v/>
      </c>
      <c r="K254" t="str">
        <f t="shared" si="4"/>
        <v/>
      </c>
      <c r="L254" t="str">
        <f t="shared" si="5"/>
        <v/>
      </c>
      <c r="M254" t="str">
        <f t="shared" si="6"/>
        <v/>
      </c>
      <c r="N254" t="str">
        <f t="shared" si="7"/>
        <v/>
      </c>
      <c r="O254" t="str">
        <f t="shared" si="8"/>
        <v/>
      </c>
      <c r="P254" t="str">
        <f t="shared" si="9"/>
        <v/>
      </c>
      <c r="Q254" t="str">
        <f t="shared" si="10"/>
        <v/>
      </c>
      <c r="R254" t="str">
        <f t="shared" si="11"/>
        <v/>
      </c>
      <c r="S254" t="str">
        <f t="shared" si="12"/>
        <v/>
      </c>
      <c r="T254" t="str">
        <f t="shared" si="13"/>
        <v/>
      </c>
      <c r="U254" t="str">
        <f t="shared" si="14"/>
        <v/>
      </c>
      <c r="V254" t="str">
        <f t="shared" si="15"/>
        <v/>
      </c>
      <c r="W254" t="str">
        <f t="shared" si="16"/>
        <v/>
      </c>
      <c r="X254" t="str">
        <f t="shared" si="17"/>
        <v/>
      </c>
      <c r="Y254" t="str">
        <f t="shared" si="18"/>
        <v/>
      </c>
      <c r="Z254" t="str">
        <f t="shared" si="19"/>
        <v/>
      </c>
      <c r="AA254" t="str">
        <f t="shared" si="20"/>
        <v/>
      </c>
      <c r="AB254" t="str">
        <f t="shared" si="21"/>
        <v/>
      </c>
      <c r="AC254" t="str">
        <f t="shared" si="22"/>
        <v/>
      </c>
      <c r="AD254" t="str">
        <f t="shared" si="23"/>
        <v/>
      </c>
      <c r="AE254" t="str">
        <f t="shared" si="24"/>
        <v/>
      </c>
      <c r="AF254" t="str">
        <f t="shared" si="25"/>
        <v/>
      </c>
      <c r="AG254" t="str">
        <f t="shared" si="26"/>
        <v/>
      </c>
      <c r="AH254" s="65" t="str">
        <f t="array" ref="AH254">if(sum(H254:AG254)=0,,sum(sort(TRANSPOSE(H254:AG254),1,false)))</f>
        <v/>
      </c>
    </row>
    <row r="255" hidden="1">
      <c r="F255" s="4">
        <v>123.0</v>
      </c>
      <c r="H255" t="str">
        <f t="shared" si="1"/>
        <v/>
      </c>
      <c r="I255" t="str">
        <f t="shared" si="2"/>
        <v/>
      </c>
      <c r="J255" t="str">
        <f t="shared" si="3"/>
        <v/>
      </c>
      <c r="K255" t="str">
        <f t="shared" si="4"/>
        <v/>
      </c>
      <c r="L255" t="str">
        <f t="shared" si="5"/>
        <v/>
      </c>
      <c r="M255" t="str">
        <f t="shared" si="6"/>
        <v/>
      </c>
      <c r="N255" t="str">
        <f t="shared" si="7"/>
        <v/>
      </c>
      <c r="O255" t="str">
        <f t="shared" si="8"/>
        <v/>
      </c>
      <c r="P255" t="str">
        <f t="shared" si="9"/>
        <v/>
      </c>
      <c r="Q255" t="str">
        <f t="shared" si="10"/>
        <v/>
      </c>
      <c r="R255" t="str">
        <f t="shared" si="11"/>
        <v/>
      </c>
      <c r="S255" t="str">
        <f t="shared" si="12"/>
        <v/>
      </c>
      <c r="T255" t="str">
        <f t="shared" si="13"/>
        <v/>
      </c>
      <c r="U255" t="str">
        <f t="shared" si="14"/>
        <v/>
      </c>
      <c r="V255" t="str">
        <f t="shared" si="15"/>
        <v/>
      </c>
      <c r="W255" t="str">
        <f t="shared" si="16"/>
        <v/>
      </c>
      <c r="X255" t="str">
        <f t="shared" si="17"/>
        <v/>
      </c>
      <c r="Y255" t="str">
        <f t="shared" si="18"/>
        <v/>
      </c>
      <c r="Z255" t="str">
        <f t="shared" si="19"/>
        <v/>
      </c>
      <c r="AA255" t="str">
        <f t="shared" si="20"/>
        <v/>
      </c>
      <c r="AB255" t="str">
        <f t="shared" si="21"/>
        <v/>
      </c>
      <c r="AC255" t="str">
        <f t="shared" si="22"/>
        <v/>
      </c>
      <c r="AD255" t="str">
        <f t="shared" si="23"/>
        <v/>
      </c>
      <c r="AE255" t="str">
        <f t="shared" si="24"/>
        <v/>
      </c>
      <c r="AF255" t="str">
        <f t="shared" si="25"/>
        <v/>
      </c>
      <c r="AG255" t="str">
        <f t="shared" si="26"/>
        <v/>
      </c>
      <c r="AH255" s="65" t="str">
        <f t="array" ref="AH255">if(sum(H255:AG255)=0,,sum(sort(TRANSPOSE(H255:AG255),1,false)))</f>
        <v/>
      </c>
    </row>
    <row r="256" hidden="1">
      <c r="F256" s="4">
        <v>124.0</v>
      </c>
      <c r="H256" t="str">
        <f t="shared" si="1"/>
        <v/>
      </c>
      <c r="I256" t="str">
        <f t="shared" si="2"/>
        <v/>
      </c>
      <c r="J256" t="str">
        <f t="shared" si="3"/>
        <v/>
      </c>
      <c r="K256" t="str">
        <f t="shared" si="4"/>
        <v/>
      </c>
      <c r="L256" t="str">
        <f t="shared" si="5"/>
        <v/>
      </c>
      <c r="M256" t="str">
        <f t="shared" si="6"/>
        <v/>
      </c>
      <c r="N256" t="str">
        <f t="shared" si="7"/>
        <v/>
      </c>
      <c r="O256" t="str">
        <f t="shared" si="8"/>
        <v/>
      </c>
      <c r="P256" t="str">
        <f t="shared" si="9"/>
        <v/>
      </c>
      <c r="Q256" t="str">
        <f t="shared" si="10"/>
        <v/>
      </c>
      <c r="R256" t="str">
        <f t="shared" si="11"/>
        <v/>
      </c>
      <c r="S256" t="str">
        <f t="shared" si="12"/>
        <v/>
      </c>
      <c r="T256" t="str">
        <f t="shared" si="13"/>
        <v/>
      </c>
      <c r="U256" t="str">
        <f t="shared" si="14"/>
        <v/>
      </c>
      <c r="V256" t="str">
        <f t="shared" si="15"/>
        <v/>
      </c>
      <c r="W256" t="str">
        <f t="shared" si="16"/>
        <v/>
      </c>
      <c r="X256" t="str">
        <f t="shared" si="17"/>
        <v/>
      </c>
      <c r="Y256" t="str">
        <f t="shared" si="18"/>
        <v/>
      </c>
      <c r="Z256" t="str">
        <f t="shared" si="19"/>
        <v/>
      </c>
      <c r="AA256" t="str">
        <f t="shared" si="20"/>
        <v/>
      </c>
      <c r="AB256" t="str">
        <f t="shared" si="21"/>
        <v/>
      </c>
      <c r="AC256" t="str">
        <f t="shared" si="22"/>
        <v/>
      </c>
      <c r="AD256" t="str">
        <f t="shared" si="23"/>
        <v/>
      </c>
      <c r="AE256" t="str">
        <f t="shared" si="24"/>
        <v/>
      </c>
      <c r="AF256" t="str">
        <f t="shared" si="25"/>
        <v/>
      </c>
      <c r="AG256" t="str">
        <f t="shared" si="26"/>
        <v/>
      </c>
      <c r="AH256" s="65" t="str">
        <f t="array" ref="AH256">if(sum(H256:AG256)=0,,sum(sort(TRANSPOSE(H256:AG256),1,false)))</f>
        <v/>
      </c>
    </row>
    <row r="257" hidden="1">
      <c r="F257" s="4">
        <v>125.0</v>
      </c>
      <c r="H257" t="str">
        <f t="shared" si="1"/>
        <v/>
      </c>
      <c r="I257" t="str">
        <f t="shared" si="2"/>
        <v/>
      </c>
      <c r="J257" t="str">
        <f t="shared" si="3"/>
        <v/>
      </c>
      <c r="K257" t="str">
        <f t="shared" si="4"/>
        <v/>
      </c>
      <c r="L257" t="str">
        <f t="shared" si="5"/>
        <v/>
      </c>
      <c r="M257" t="str">
        <f t="shared" si="6"/>
        <v/>
      </c>
      <c r="N257" t="str">
        <f t="shared" si="7"/>
        <v/>
      </c>
      <c r="O257" t="str">
        <f t="shared" si="8"/>
        <v/>
      </c>
      <c r="P257" t="str">
        <f t="shared" si="9"/>
        <v/>
      </c>
      <c r="Q257" t="str">
        <f t="shared" si="10"/>
        <v/>
      </c>
      <c r="R257" t="str">
        <f t="shared" si="11"/>
        <v/>
      </c>
      <c r="S257" t="str">
        <f t="shared" si="12"/>
        <v/>
      </c>
      <c r="T257" t="str">
        <f t="shared" si="13"/>
        <v/>
      </c>
      <c r="U257" t="str">
        <f t="shared" si="14"/>
        <v/>
      </c>
      <c r="V257" t="str">
        <f t="shared" si="15"/>
        <v/>
      </c>
      <c r="W257" t="str">
        <f t="shared" si="16"/>
        <v/>
      </c>
      <c r="X257" t="str">
        <f t="shared" si="17"/>
        <v/>
      </c>
      <c r="Y257" t="str">
        <f t="shared" si="18"/>
        <v/>
      </c>
      <c r="Z257" t="str">
        <f t="shared" si="19"/>
        <v/>
      </c>
      <c r="AA257" t="str">
        <f t="shared" si="20"/>
        <v/>
      </c>
      <c r="AB257" t="str">
        <f t="shared" si="21"/>
        <v/>
      </c>
      <c r="AC257" t="str">
        <f t="shared" si="22"/>
        <v/>
      </c>
      <c r="AD257" t="str">
        <f t="shared" si="23"/>
        <v/>
      </c>
      <c r="AE257" t="str">
        <f t="shared" si="24"/>
        <v/>
      </c>
      <c r="AF257" t="str">
        <f t="shared" si="25"/>
        <v/>
      </c>
      <c r="AG257" t="str">
        <f t="shared" si="26"/>
        <v/>
      </c>
      <c r="AH257" s="65" t="str">
        <f t="array" ref="AH257">if(sum(H257:AG257)=0,,sum(sort(TRANSPOSE(H257:AG257),1,false)))</f>
        <v/>
      </c>
    </row>
    <row r="258" hidden="1">
      <c r="F258" s="4">
        <v>126.0</v>
      </c>
      <c r="H258" t="str">
        <f t="shared" si="1"/>
        <v/>
      </c>
      <c r="I258" t="str">
        <f t="shared" si="2"/>
        <v/>
      </c>
      <c r="J258" t="str">
        <f t="shared" si="3"/>
        <v/>
      </c>
      <c r="K258" t="str">
        <f t="shared" si="4"/>
        <v/>
      </c>
      <c r="L258" t="str">
        <f t="shared" si="5"/>
        <v/>
      </c>
      <c r="M258" t="str">
        <f t="shared" si="6"/>
        <v/>
      </c>
      <c r="N258" t="str">
        <f t="shared" si="7"/>
        <v/>
      </c>
      <c r="O258" t="str">
        <f t="shared" si="8"/>
        <v/>
      </c>
      <c r="P258" t="str">
        <f t="shared" si="9"/>
        <v/>
      </c>
      <c r="Q258" t="str">
        <f t="shared" si="10"/>
        <v/>
      </c>
      <c r="R258" t="str">
        <f t="shared" si="11"/>
        <v/>
      </c>
      <c r="S258" t="str">
        <f t="shared" si="12"/>
        <v/>
      </c>
      <c r="T258" t="str">
        <f t="shared" si="13"/>
        <v/>
      </c>
      <c r="U258" t="str">
        <f t="shared" si="14"/>
        <v/>
      </c>
      <c r="V258" t="str">
        <f t="shared" si="15"/>
        <v/>
      </c>
      <c r="W258" t="str">
        <f t="shared" si="16"/>
        <v/>
      </c>
      <c r="X258" t="str">
        <f t="shared" si="17"/>
        <v/>
      </c>
      <c r="Y258" t="str">
        <f t="shared" si="18"/>
        <v/>
      </c>
      <c r="Z258" t="str">
        <f t="shared" si="19"/>
        <v/>
      </c>
      <c r="AA258" t="str">
        <f t="shared" si="20"/>
        <v/>
      </c>
      <c r="AB258" t="str">
        <f t="shared" si="21"/>
        <v/>
      </c>
      <c r="AC258" t="str">
        <f t="shared" si="22"/>
        <v/>
      </c>
      <c r="AD258" t="str">
        <f t="shared" si="23"/>
        <v/>
      </c>
      <c r="AE258" t="str">
        <f t="shared" si="24"/>
        <v/>
      </c>
      <c r="AF258" t="str">
        <f t="shared" si="25"/>
        <v/>
      </c>
      <c r="AG258" t="str">
        <f t="shared" si="26"/>
        <v/>
      </c>
      <c r="AH258" s="65" t="str">
        <f t="array" ref="AH258">if(sum(H258:AG258)=0,,sum(sort(TRANSPOSE(H258:AG258),1,false)))</f>
        <v/>
      </c>
    </row>
    <row r="259" hidden="1">
      <c r="F259" s="4">
        <v>127.0</v>
      </c>
      <c r="H259" t="str">
        <f t="shared" si="1"/>
        <v/>
      </c>
      <c r="I259" t="str">
        <f t="shared" si="2"/>
        <v/>
      </c>
      <c r="J259" t="str">
        <f t="shared" si="3"/>
        <v/>
      </c>
      <c r="K259" t="str">
        <f t="shared" si="4"/>
        <v/>
      </c>
      <c r="L259" t="str">
        <f t="shared" si="5"/>
        <v/>
      </c>
      <c r="M259" t="str">
        <f t="shared" si="6"/>
        <v/>
      </c>
      <c r="N259" t="str">
        <f t="shared" si="7"/>
        <v/>
      </c>
      <c r="O259" t="str">
        <f t="shared" si="8"/>
        <v/>
      </c>
      <c r="P259" t="str">
        <f t="shared" si="9"/>
        <v/>
      </c>
      <c r="Q259" t="str">
        <f t="shared" si="10"/>
        <v/>
      </c>
      <c r="R259" t="str">
        <f t="shared" si="11"/>
        <v/>
      </c>
      <c r="S259" t="str">
        <f t="shared" si="12"/>
        <v/>
      </c>
      <c r="T259" t="str">
        <f t="shared" si="13"/>
        <v/>
      </c>
      <c r="U259" t="str">
        <f t="shared" si="14"/>
        <v/>
      </c>
      <c r="V259" t="str">
        <f t="shared" si="15"/>
        <v/>
      </c>
      <c r="W259" t="str">
        <f t="shared" si="16"/>
        <v/>
      </c>
      <c r="X259" t="str">
        <f t="shared" si="17"/>
        <v/>
      </c>
      <c r="Y259" t="str">
        <f t="shared" si="18"/>
        <v/>
      </c>
      <c r="Z259" t="str">
        <f t="shared" si="19"/>
        <v/>
      </c>
      <c r="AA259" t="str">
        <f t="shared" si="20"/>
        <v/>
      </c>
      <c r="AB259" t="str">
        <f t="shared" si="21"/>
        <v/>
      </c>
      <c r="AC259" t="str">
        <f t="shared" si="22"/>
        <v/>
      </c>
      <c r="AD259" t="str">
        <f t="shared" si="23"/>
        <v/>
      </c>
      <c r="AE259" t="str">
        <f t="shared" si="24"/>
        <v/>
      </c>
      <c r="AF259" t="str">
        <f t="shared" si="25"/>
        <v/>
      </c>
      <c r="AG259" t="str">
        <f t="shared" si="26"/>
        <v/>
      </c>
      <c r="AH259" s="65" t="str">
        <f t="array" ref="AH259">if(sum(H259:AG259)=0,,sum(sort(TRANSPOSE(H259:AG259),1,false)))</f>
        <v/>
      </c>
    </row>
    <row r="260" hidden="1">
      <c r="F260" s="4">
        <v>128.0</v>
      </c>
      <c r="H260" t="str">
        <f t="shared" si="1"/>
        <v/>
      </c>
      <c r="I260" t="str">
        <f t="shared" si="2"/>
        <v/>
      </c>
      <c r="J260" t="str">
        <f t="shared" si="3"/>
        <v/>
      </c>
      <c r="K260" t="str">
        <f t="shared" si="4"/>
        <v/>
      </c>
      <c r="L260" t="str">
        <f t="shared" si="5"/>
        <v/>
      </c>
      <c r="M260" t="str">
        <f t="shared" si="6"/>
        <v/>
      </c>
      <c r="N260" t="str">
        <f t="shared" si="7"/>
        <v/>
      </c>
      <c r="O260" t="str">
        <f t="shared" si="8"/>
        <v/>
      </c>
      <c r="P260" t="str">
        <f t="shared" si="9"/>
        <v/>
      </c>
      <c r="Q260" t="str">
        <f t="shared" si="10"/>
        <v/>
      </c>
      <c r="R260" t="str">
        <f t="shared" si="11"/>
        <v/>
      </c>
      <c r="S260" t="str">
        <f t="shared" si="12"/>
        <v/>
      </c>
      <c r="T260" t="str">
        <f t="shared" si="13"/>
        <v/>
      </c>
      <c r="U260" t="str">
        <f t="shared" si="14"/>
        <v/>
      </c>
      <c r="V260" t="str">
        <f t="shared" si="15"/>
        <v/>
      </c>
      <c r="W260" t="str">
        <f t="shared" si="16"/>
        <v/>
      </c>
      <c r="X260" t="str">
        <f t="shared" si="17"/>
        <v/>
      </c>
      <c r="Y260" t="str">
        <f t="shared" si="18"/>
        <v/>
      </c>
      <c r="Z260" t="str">
        <f t="shared" si="19"/>
        <v/>
      </c>
      <c r="AA260" t="str">
        <f t="shared" si="20"/>
        <v/>
      </c>
      <c r="AB260" t="str">
        <f t="shared" si="21"/>
        <v/>
      </c>
      <c r="AC260" t="str">
        <f t="shared" si="22"/>
        <v/>
      </c>
      <c r="AD260" t="str">
        <f t="shared" si="23"/>
        <v/>
      </c>
      <c r="AE260" t="str">
        <f t="shared" si="24"/>
        <v/>
      </c>
      <c r="AF260" t="str">
        <f t="shared" si="25"/>
        <v/>
      </c>
      <c r="AG260" t="str">
        <f t="shared" si="26"/>
        <v/>
      </c>
      <c r="AH260" s="65" t="str">
        <f t="array" ref="AH260">if(sum(H260:AG260)=0,,sum(sort(TRANSPOSE(H260:AG260),1,false)))</f>
        <v/>
      </c>
    </row>
    <row r="261" hidden="1">
      <c r="F261" s="4">
        <v>129.0</v>
      </c>
      <c r="H261" t="str">
        <f t="shared" si="1"/>
        <v/>
      </c>
      <c r="I261" t="str">
        <f t="shared" si="2"/>
        <v/>
      </c>
      <c r="J261" t="str">
        <f t="shared" si="3"/>
        <v/>
      </c>
      <c r="K261" t="str">
        <f t="shared" si="4"/>
        <v/>
      </c>
      <c r="L261" t="str">
        <f t="shared" si="5"/>
        <v/>
      </c>
      <c r="M261" t="str">
        <f t="shared" si="6"/>
        <v/>
      </c>
      <c r="N261" t="str">
        <f t="shared" si="7"/>
        <v/>
      </c>
      <c r="O261" t="str">
        <f t="shared" si="8"/>
        <v/>
      </c>
      <c r="P261" t="str">
        <f t="shared" si="9"/>
        <v/>
      </c>
      <c r="Q261" t="str">
        <f t="shared" si="10"/>
        <v/>
      </c>
      <c r="R261" t="str">
        <f t="shared" si="11"/>
        <v/>
      </c>
      <c r="S261" t="str">
        <f t="shared" si="12"/>
        <v/>
      </c>
      <c r="T261" t="str">
        <f t="shared" si="13"/>
        <v/>
      </c>
      <c r="U261" t="str">
        <f t="shared" si="14"/>
        <v/>
      </c>
      <c r="V261" t="str">
        <f t="shared" si="15"/>
        <v/>
      </c>
      <c r="W261" t="str">
        <f t="shared" si="16"/>
        <v/>
      </c>
      <c r="X261" t="str">
        <f t="shared" si="17"/>
        <v/>
      </c>
      <c r="Y261" t="str">
        <f t="shared" si="18"/>
        <v/>
      </c>
      <c r="Z261" t="str">
        <f t="shared" si="19"/>
        <v/>
      </c>
      <c r="AA261" t="str">
        <f t="shared" si="20"/>
        <v/>
      </c>
      <c r="AB261" t="str">
        <f t="shared" si="21"/>
        <v/>
      </c>
      <c r="AC261" t="str">
        <f t="shared" si="22"/>
        <v/>
      </c>
      <c r="AD261" t="str">
        <f t="shared" si="23"/>
        <v/>
      </c>
      <c r="AE261" t="str">
        <f t="shared" si="24"/>
        <v/>
      </c>
      <c r="AF261" t="str">
        <f t="shared" si="25"/>
        <v/>
      </c>
      <c r="AG261" t="str">
        <f t="shared" si="26"/>
        <v/>
      </c>
      <c r="AH261" s="65" t="str">
        <f t="array" ref="AH261">if(sum(H261:AG261)=0,,sum(sort(TRANSPOSE(H261:AG261),1,false)))</f>
        <v/>
      </c>
    </row>
    <row r="262" hidden="1">
      <c r="F262" s="4">
        <v>130.0</v>
      </c>
      <c r="H262" t="str">
        <f t="shared" si="1"/>
        <v/>
      </c>
      <c r="I262" t="str">
        <f t="shared" si="2"/>
        <v/>
      </c>
      <c r="J262" t="str">
        <f t="shared" si="3"/>
        <v/>
      </c>
      <c r="K262" t="str">
        <f t="shared" si="4"/>
        <v/>
      </c>
      <c r="L262" t="str">
        <f t="shared" si="5"/>
        <v/>
      </c>
      <c r="M262" t="str">
        <f t="shared" si="6"/>
        <v/>
      </c>
      <c r="N262" t="str">
        <f t="shared" si="7"/>
        <v/>
      </c>
      <c r="O262" t="str">
        <f t="shared" si="8"/>
        <v/>
      </c>
      <c r="P262" t="str">
        <f t="shared" si="9"/>
        <v/>
      </c>
      <c r="Q262" t="str">
        <f t="shared" si="10"/>
        <v/>
      </c>
      <c r="R262" t="str">
        <f t="shared" si="11"/>
        <v/>
      </c>
      <c r="S262" t="str">
        <f t="shared" si="12"/>
        <v/>
      </c>
      <c r="T262" t="str">
        <f t="shared" si="13"/>
        <v/>
      </c>
      <c r="U262" t="str">
        <f t="shared" si="14"/>
        <v/>
      </c>
      <c r="V262" t="str">
        <f t="shared" si="15"/>
        <v/>
      </c>
      <c r="W262" t="str">
        <f t="shared" si="16"/>
        <v/>
      </c>
      <c r="X262" t="str">
        <f t="shared" si="17"/>
        <v/>
      </c>
      <c r="Y262" t="str">
        <f t="shared" si="18"/>
        <v/>
      </c>
      <c r="Z262" t="str">
        <f t="shared" si="19"/>
        <v/>
      </c>
      <c r="AA262" t="str">
        <f t="shared" si="20"/>
        <v/>
      </c>
      <c r="AB262" t="str">
        <f t="shared" si="21"/>
        <v/>
      </c>
      <c r="AC262" t="str">
        <f t="shared" si="22"/>
        <v/>
      </c>
      <c r="AD262" t="str">
        <f t="shared" si="23"/>
        <v/>
      </c>
      <c r="AE262" t="str">
        <f t="shared" si="24"/>
        <v/>
      </c>
      <c r="AF262" t="str">
        <f t="shared" si="25"/>
        <v/>
      </c>
      <c r="AG262" t="str">
        <f t="shared" si="26"/>
        <v/>
      </c>
      <c r="AH262" s="65" t="str">
        <f t="array" ref="AH262">if(sum(H262:AG262)=0,,sum(sort(TRANSPOSE(H262:AG262),1,false)))</f>
        <v/>
      </c>
    </row>
    <row r="263" hidden="1">
      <c r="F263" s="4">
        <v>131.0</v>
      </c>
      <c r="H263" t="str">
        <f t="shared" si="1"/>
        <v/>
      </c>
      <c r="I263" t="str">
        <f t="shared" si="2"/>
        <v/>
      </c>
      <c r="J263" t="str">
        <f t="shared" si="3"/>
        <v/>
      </c>
      <c r="K263" t="str">
        <f t="shared" si="4"/>
        <v/>
      </c>
      <c r="L263" t="str">
        <f t="shared" si="5"/>
        <v/>
      </c>
      <c r="M263" t="str">
        <f t="shared" si="6"/>
        <v/>
      </c>
      <c r="N263" t="str">
        <f t="shared" si="7"/>
        <v/>
      </c>
      <c r="O263" t="str">
        <f t="shared" si="8"/>
        <v/>
      </c>
      <c r="P263" t="str">
        <f t="shared" si="9"/>
        <v/>
      </c>
      <c r="Q263" t="str">
        <f t="shared" si="10"/>
        <v/>
      </c>
      <c r="R263" t="str">
        <f t="shared" si="11"/>
        <v/>
      </c>
      <c r="S263" t="str">
        <f t="shared" si="12"/>
        <v/>
      </c>
      <c r="T263" t="str">
        <f t="shared" si="13"/>
        <v/>
      </c>
      <c r="U263" t="str">
        <f t="shared" si="14"/>
        <v/>
      </c>
      <c r="V263" t="str">
        <f t="shared" si="15"/>
        <v/>
      </c>
      <c r="W263" t="str">
        <f t="shared" si="16"/>
        <v/>
      </c>
      <c r="X263" t="str">
        <f t="shared" si="17"/>
        <v/>
      </c>
      <c r="Y263" t="str">
        <f t="shared" si="18"/>
        <v/>
      </c>
      <c r="Z263" t="str">
        <f t="shared" si="19"/>
        <v/>
      </c>
      <c r="AA263" t="str">
        <f t="shared" si="20"/>
        <v/>
      </c>
      <c r="AB263" t="str">
        <f t="shared" si="21"/>
        <v/>
      </c>
      <c r="AC263" t="str">
        <f t="shared" si="22"/>
        <v/>
      </c>
      <c r="AD263" t="str">
        <f t="shared" si="23"/>
        <v/>
      </c>
      <c r="AE263" t="str">
        <f t="shared" si="24"/>
        <v/>
      </c>
      <c r="AF263" t="str">
        <f t="shared" si="25"/>
        <v/>
      </c>
      <c r="AG263" t="str">
        <f t="shared" si="26"/>
        <v/>
      </c>
      <c r="AH263" s="65" t="str">
        <f t="array" ref="AH263">if(sum(H263:AG263)=0,,sum(sort(TRANSPOSE(H263:AG263),1,false)))</f>
        <v/>
      </c>
    </row>
    <row r="264" hidden="1">
      <c r="F264" s="4">
        <v>132.0</v>
      </c>
      <c r="H264" t="str">
        <f t="shared" si="1"/>
        <v/>
      </c>
      <c r="I264" t="str">
        <f t="shared" si="2"/>
        <v/>
      </c>
      <c r="J264" t="str">
        <f t="shared" si="3"/>
        <v/>
      </c>
      <c r="K264" t="str">
        <f t="shared" si="4"/>
        <v/>
      </c>
      <c r="L264" t="str">
        <f t="shared" si="5"/>
        <v/>
      </c>
      <c r="M264" t="str">
        <f t="shared" si="6"/>
        <v/>
      </c>
      <c r="N264" t="str">
        <f t="shared" si="7"/>
        <v/>
      </c>
      <c r="O264" t="str">
        <f t="shared" si="8"/>
        <v/>
      </c>
      <c r="P264" t="str">
        <f t="shared" si="9"/>
        <v/>
      </c>
      <c r="Q264" t="str">
        <f t="shared" si="10"/>
        <v/>
      </c>
      <c r="R264" t="str">
        <f t="shared" si="11"/>
        <v/>
      </c>
      <c r="S264" t="str">
        <f t="shared" si="12"/>
        <v/>
      </c>
      <c r="T264" t="str">
        <f t="shared" si="13"/>
        <v/>
      </c>
      <c r="U264" t="str">
        <f t="shared" si="14"/>
        <v/>
      </c>
      <c r="V264" t="str">
        <f t="shared" si="15"/>
        <v/>
      </c>
      <c r="W264" t="str">
        <f t="shared" si="16"/>
        <v/>
      </c>
      <c r="X264" t="str">
        <f t="shared" si="17"/>
        <v/>
      </c>
      <c r="Y264" t="str">
        <f t="shared" si="18"/>
        <v/>
      </c>
      <c r="Z264" t="str">
        <f t="shared" si="19"/>
        <v/>
      </c>
      <c r="AA264" t="str">
        <f t="shared" si="20"/>
        <v/>
      </c>
      <c r="AB264" t="str">
        <f t="shared" si="21"/>
        <v/>
      </c>
      <c r="AC264" t="str">
        <f t="shared" si="22"/>
        <v/>
      </c>
      <c r="AD264" t="str">
        <f t="shared" si="23"/>
        <v/>
      </c>
      <c r="AE264" t="str">
        <f t="shared" si="24"/>
        <v/>
      </c>
      <c r="AF264" t="str">
        <f t="shared" si="25"/>
        <v/>
      </c>
      <c r="AG264" t="str">
        <f t="shared" si="26"/>
        <v/>
      </c>
      <c r="AH264" s="65" t="str">
        <f t="array" ref="AH264">if(sum(H264:AG264)=0,,sum(sort(TRANSPOSE(H264:AG264),1,false)))</f>
        <v/>
      </c>
    </row>
    <row r="265" hidden="1">
      <c r="F265" s="4">
        <v>133.0</v>
      </c>
      <c r="H265" t="str">
        <f t="shared" si="1"/>
        <v/>
      </c>
      <c r="I265" t="str">
        <f t="shared" si="2"/>
        <v/>
      </c>
      <c r="J265" t="str">
        <f t="shared" si="3"/>
        <v/>
      </c>
      <c r="K265" t="str">
        <f t="shared" si="4"/>
        <v/>
      </c>
      <c r="L265" t="str">
        <f t="shared" si="5"/>
        <v/>
      </c>
      <c r="M265" t="str">
        <f t="shared" si="6"/>
        <v/>
      </c>
      <c r="N265" t="str">
        <f t="shared" si="7"/>
        <v/>
      </c>
      <c r="O265" t="str">
        <f t="shared" si="8"/>
        <v/>
      </c>
      <c r="P265" t="str">
        <f t="shared" si="9"/>
        <v/>
      </c>
      <c r="Q265" t="str">
        <f t="shared" si="10"/>
        <v/>
      </c>
      <c r="R265" t="str">
        <f t="shared" si="11"/>
        <v/>
      </c>
      <c r="S265" t="str">
        <f t="shared" si="12"/>
        <v/>
      </c>
      <c r="T265" t="str">
        <f t="shared" si="13"/>
        <v/>
      </c>
      <c r="U265" t="str">
        <f t="shared" si="14"/>
        <v/>
      </c>
      <c r="V265" t="str">
        <f t="shared" si="15"/>
        <v/>
      </c>
      <c r="W265" t="str">
        <f t="shared" si="16"/>
        <v/>
      </c>
      <c r="X265" t="str">
        <f t="shared" si="17"/>
        <v/>
      </c>
      <c r="Y265" t="str">
        <f t="shared" si="18"/>
        <v/>
      </c>
      <c r="Z265" t="str">
        <f t="shared" si="19"/>
        <v/>
      </c>
      <c r="AA265" t="str">
        <f t="shared" si="20"/>
        <v/>
      </c>
      <c r="AB265" t="str">
        <f t="shared" si="21"/>
        <v/>
      </c>
      <c r="AC265" t="str">
        <f t="shared" si="22"/>
        <v/>
      </c>
      <c r="AD265" t="str">
        <f t="shared" si="23"/>
        <v/>
      </c>
      <c r="AE265" t="str">
        <f t="shared" si="24"/>
        <v/>
      </c>
      <c r="AF265" t="str">
        <f t="shared" si="25"/>
        <v/>
      </c>
      <c r="AG265" t="str">
        <f t="shared" si="26"/>
        <v/>
      </c>
      <c r="AH265" s="65" t="str">
        <f t="array" ref="AH265">if(sum(H265:AG265)=0,,sum(sort(TRANSPOSE(H265:AG265),1,false)))</f>
        <v/>
      </c>
    </row>
    <row r="266" hidden="1">
      <c r="F266" s="4">
        <v>134.0</v>
      </c>
      <c r="H266" t="str">
        <f t="shared" si="1"/>
        <v/>
      </c>
      <c r="I266" t="str">
        <f t="shared" si="2"/>
        <v/>
      </c>
      <c r="J266" t="str">
        <f t="shared" si="3"/>
        <v/>
      </c>
      <c r="K266" t="str">
        <f t="shared" si="4"/>
        <v/>
      </c>
      <c r="L266" t="str">
        <f t="shared" si="5"/>
        <v/>
      </c>
      <c r="M266" t="str">
        <f t="shared" si="6"/>
        <v/>
      </c>
      <c r="N266" t="str">
        <f t="shared" si="7"/>
        <v/>
      </c>
      <c r="O266" t="str">
        <f t="shared" si="8"/>
        <v/>
      </c>
      <c r="P266" t="str">
        <f t="shared" si="9"/>
        <v/>
      </c>
      <c r="Q266" t="str">
        <f t="shared" si="10"/>
        <v/>
      </c>
      <c r="R266" t="str">
        <f t="shared" si="11"/>
        <v/>
      </c>
      <c r="S266" t="str">
        <f t="shared" si="12"/>
        <v/>
      </c>
      <c r="T266" t="str">
        <f t="shared" si="13"/>
        <v/>
      </c>
      <c r="U266" t="str">
        <f t="shared" si="14"/>
        <v/>
      </c>
      <c r="V266" t="str">
        <f t="shared" si="15"/>
        <v/>
      </c>
      <c r="W266" t="str">
        <f t="shared" si="16"/>
        <v/>
      </c>
      <c r="X266" t="str">
        <f t="shared" si="17"/>
        <v/>
      </c>
      <c r="Y266" t="str">
        <f t="shared" si="18"/>
        <v/>
      </c>
      <c r="Z266" t="str">
        <f t="shared" si="19"/>
        <v/>
      </c>
      <c r="AA266" t="str">
        <f t="shared" si="20"/>
        <v/>
      </c>
      <c r="AB266" t="str">
        <f t="shared" si="21"/>
        <v/>
      </c>
      <c r="AC266" t="str">
        <f t="shared" si="22"/>
        <v/>
      </c>
      <c r="AD266" t="str">
        <f t="shared" si="23"/>
        <v/>
      </c>
      <c r="AE266" t="str">
        <f t="shared" si="24"/>
        <v/>
      </c>
      <c r="AF266" t="str">
        <f t="shared" si="25"/>
        <v/>
      </c>
      <c r="AG266" t="str">
        <f t="shared" si="26"/>
        <v/>
      </c>
      <c r="AH266" s="65" t="str">
        <f t="array" ref="AH266">if(sum(H266:AG266)=0,,sum(sort(TRANSPOSE(H266:AG266),1,false)))</f>
        <v/>
      </c>
    </row>
    <row r="267" hidden="1">
      <c r="F267" s="4">
        <v>135.0</v>
      </c>
      <c r="H267" t="str">
        <f t="shared" si="1"/>
        <v/>
      </c>
      <c r="I267" t="str">
        <f t="shared" si="2"/>
        <v/>
      </c>
      <c r="J267" t="str">
        <f t="shared" si="3"/>
        <v/>
      </c>
      <c r="K267" t="str">
        <f t="shared" si="4"/>
        <v/>
      </c>
      <c r="L267" t="str">
        <f t="shared" si="5"/>
        <v/>
      </c>
      <c r="M267" t="str">
        <f t="shared" si="6"/>
        <v/>
      </c>
      <c r="N267" t="str">
        <f t="shared" si="7"/>
        <v/>
      </c>
      <c r="O267" t="str">
        <f t="shared" si="8"/>
        <v/>
      </c>
      <c r="P267" t="str">
        <f t="shared" si="9"/>
        <v/>
      </c>
      <c r="Q267" t="str">
        <f t="shared" si="10"/>
        <v/>
      </c>
      <c r="R267" t="str">
        <f t="shared" si="11"/>
        <v/>
      </c>
      <c r="S267" t="str">
        <f t="shared" si="12"/>
        <v/>
      </c>
      <c r="T267" t="str">
        <f t="shared" si="13"/>
        <v/>
      </c>
      <c r="U267" t="str">
        <f t="shared" si="14"/>
        <v/>
      </c>
      <c r="V267" t="str">
        <f t="shared" si="15"/>
        <v/>
      </c>
      <c r="W267" t="str">
        <f t="shared" si="16"/>
        <v/>
      </c>
      <c r="X267" t="str">
        <f t="shared" si="17"/>
        <v/>
      </c>
      <c r="Y267" t="str">
        <f t="shared" si="18"/>
        <v/>
      </c>
      <c r="Z267" t="str">
        <f t="shared" si="19"/>
        <v/>
      </c>
      <c r="AA267" t="str">
        <f t="shared" si="20"/>
        <v/>
      </c>
      <c r="AB267" t="str">
        <f t="shared" si="21"/>
        <v/>
      </c>
      <c r="AC267" t="str">
        <f t="shared" si="22"/>
        <v/>
      </c>
      <c r="AD267" t="str">
        <f t="shared" si="23"/>
        <v/>
      </c>
      <c r="AE267" t="str">
        <f t="shared" si="24"/>
        <v/>
      </c>
      <c r="AF267" t="str">
        <f t="shared" si="25"/>
        <v/>
      </c>
      <c r="AG267" t="str">
        <f t="shared" si="26"/>
        <v/>
      </c>
      <c r="AH267" s="65" t="str">
        <f t="array" ref="AH267">if(sum(H267:AG267)=0,,sum(sort(TRANSPOSE(H267:AG267),1,false)))</f>
        <v/>
      </c>
    </row>
    <row r="268" hidden="1">
      <c r="F268" s="4">
        <v>136.0</v>
      </c>
      <c r="H268" t="str">
        <f t="shared" si="1"/>
        <v/>
      </c>
      <c r="I268" t="str">
        <f t="shared" si="2"/>
        <v/>
      </c>
      <c r="J268" t="str">
        <f t="shared" si="3"/>
        <v/>
      </c>
      <c r="K268" t="str">
        <f t="shared" si="4"/>
        <v/>
      </c>
      <c r="L268" t="str">
        <f t="shared" si="5"/>
        <v/>
      </c>
      <c r="M268" t="str">
        <f t="shared" si="6"/>
        <v/>
      </c>
      <c r="N268" t="str">
        <f t="shared" si="7"/>
        <v/>
      </c>
      <c r="O268" t="str">
        <f t="shared" si="8"/>
        <v/>
      </c>
      <c r="P268" t="str">
        <f t="shared" si="9"/>
        <v/>
      </c>
      <c r="Q268" t="str">
        <f t="shared" si="10"/>
        <v/>
      </c>
      <c r="R268" t="str">
        <f t="shared" si="11"/>
        <v/>
      </c>
      <c r="S268" t="str">
        <f t="shared" si="12"/>
        <v/>
      </c>
      <c r="T268" t="str">
        <f t="shared" si="13"/>
        <v/>
      </c>
      <c r="U268" t="str">
        <f t="shared" si="14"/>
        <v/>
      </c>
      <c r="V268" t="str">
        <f t="shared" si="15"/>
        <v/>
      </c>
      <c r="W268" t="str">
        <f t="shared" si="16"/>
        <v/>
      </c>
      <c r="X268" t="str">
        <f t="shared" si="17"/>
        <v/>
      </c>
      <c r="Y268" t="str">
        <f t="shared" si="18"/>
        <v/>
      </c>
      <c r="Z268" t="str">
        <f t="shared" si="19"/>
        <v/>
      </c>
      <c r="AA268" t="str">
        <f t="shared" si="20"/>
        <v/>
      </c>
      <c r="AB268" t="str">
        <f t="shared" si="21"/>
        <v/>
      </c>
      <c r="AC268" t="str">
        <f t="shared" si="22"/>
        <v/>
      </c>
      <c r="AD268" t="str">
        <f t="shared" si="23"/>
        <v/>
      </c>
      <c r="AE268" t="str">
        <f t="shared" si="24"/>
        <v/>
      </c>
      <c r="AF268" t="str">
        <f t="shared" si="25"/>
        <v/>
      </c>
      <c r="AG268" t="str">
        <f t="shared" si="26"/>
        <v/>
      </c>
      <c r="AH268" s="65" t="str">
        <f t="array" ref="AH268">if(sum(H268:AG268)=0,,sum(sort(TRANSPOSE(H268:AG268),1,false)))</f>
        <v/>
      </c>
    </row>
    <row r="269" hidden="1">
      <c r="F269" s="4">
        <v>137.0</v>
      </c>
      <c r="H269" t="str">
        <f t="shared" si="1"/>
        <v/>
      </c>
      <c r="I269" t="str">
        <f t="shared" si="2"/>
        <v/>
      </c>
      <c r="J269" t="str">
        <f t="shared" si="3"/>
        <v/>
      </c>
      <c r="K269" t="str">
        <f t="shared" si="4"/>
        <v/>
      </c>
      <c r="L269" t="str">
        <f t="shared" si="5"/>
        <v/>
      </c>
      <c r="M269" t="str">
        <f t="shared" si="6"/>
        <v/>
      </c>
      <c r="N269" t="str">
        <f t="shared" si="7"/>
        <v/>
      </c>
      <c r="O269" t="str">
        <f t="shared" si="8"/>
        <v/>
      </c>
      <c r="P269" t="str">
        <f t="shared" si="9"/>
        <v/>
      </c>
      <c r="Q269" t="str">
        <f t="shared" si="10"/>
        <v/>
      </c>
      <c r="R269" t="str">
        <f t="shared" si="11"/>
        <v/>
      </c>
      <c r="S269" t="str">
        <f t="shared" si="12"/>
        <v/>
      </c>
      <c r="T269" t="str">
        <f t="shared" si="13"/>
        <v/>
      </c>
      <c r="U269" t="str">
        <f t="shared" si="14"/>
        <v/>
      </c>
      <c r="V269" t="str">
        <f t="shared" si="15"/>
        <v/>
      </c>
      <c r="W269" t="str">
        <f t="shared" si="16"/>
        <v/>
      </c>
      <c r="X269" t="str">
        <f t="shared" si="17"/>
        <v/>
      </c>
      <c r="Y269" t="str">
        <f t="shared" si="18"/>
        <v/>
      </c>
      <c r="Z269" t="str">
        <f t="shared" si="19"/>
        <v/>
      </c>
      <c r="AA269" t="str">
        <f t="shared" si="20"/>
        <v/>
      </c>
      <c r="AB269" t="str">
        <f t="shared" si="21"/>
        <v/>
      </c>
      <c r="AC269" t="str">
        <f t="shared" si="22"/>
        <v/>
      </c>
      <c r="AD269" t="str">
        <f t="shared" si="23"/>
        <v/>
      </c>
      <c r="AE269" t="str">
        <f t="shared" si="24"/>
        <v/>
      </c>
      <c r="AF269" t="str">
        <f t="shared" si="25"/>
        <v/>
      </c>
      <c r="AG269" t="str">
        <f t="shared" si="26"/>
        <v/>
      </c>
      <c r="AH269" s="65" t="str">
        <f t="array" ref="AH269">if(sum(H269:AG269)=0,,sum(sort(TRANSPOSE(H269:AG269),1,false)))</f>
        <v/>
      </c>
    </row>
    <row r="270" hidden="1">
      <c r="F270" s="4">
        <v>138.0</v>
      </c>
      <c r="H270" t="str">
        <f t="shared" si="1"/>
        <v/>
      </c>
      <c r="I270" t="str">
        <f t="shared" si="2"/>
        <v/>
      </c>
      <c r="J270" t="str">
        <f t="shared" si="3"/>
        <v/>
      </c>
      <c r="K270" t="str">
        <f t="shared" si="4"/>
        <v/>
      </c>
      <c r="L270" t="str">
        <f t="shared" si="5"/>
        <v/>
      </c>
      <c r="M270" t="str">
        <f t="shared" si="6"/>
        <v/>
      </c>
      <c r="N270" t="str">
        <f t="shared" si="7"/>
        <v/>
      </c>
      <c r="O270" t="str">
        <f t="shared" si="8"/>
        <v/>
      </c>
      <c r="P270" t="str">
        <f t="shared" si="9"/>
        <v/>
      </c>
      <c r="Q270" t="str">
        <f t="shared" si="10"/>
        <v/>
      </c>
      <c r="R270" t="str">
        <f t="shared" si="11"/>
        <v/>
      </c>
      <c r="S270" t="str">
        <f t="shared" si="12"/>
        <v/>
      </c>
      <c r="T270" t="str">
        <f t="shared" si="13"/>
        <v/>
      </c>
      <c r="U270" t="str">
        <f t="shared" si="14"/>
        <v/>
      </c>
      <c r="V270" t="str">
        <f t="shared" si="15"/>
        <v/>
      </c>
      <c r="W270" t="str">
        <f t="shared" si="16"/>
        <v/>
      </c>
      <c r="X270" t="str">
        <f t="shared" si="17"/>
        <v/>
      </c>
      <c r="Y270" t="str">
        <f t="shared" si="18"/>
        <v/>
      </c>
      <c r="Z270" t="str">
        <f t="shared" si="19"/>
        <v/>
      </c>
      <c r="AA270" t="str">
        <f t="shared" si="20"/>
        <v/>
      </c>
      <c r="AB270" t="str">
        <f t="shared" si="21"/>
        <v/>
      </c>
      <c r="AC270" t="str">
        <f t="shared" si="22"/>
        <v/>
      </c>
      <c r="AD270" t="str">
        <f t="shared" si="23"/>
        <v/>
      </c>
      <c r="AE270" t="str">
        <f t="shared" si="24"/>
        <v/>
      </c>
      <c r="AF270" t="str">
        <f t="shared" si="25"/>
        <v/>
      </c>
      <c r="AG270" t="str">
        <f t="shared" si="26"/>
        <v/>
      </c>
      <c r="AH270" s="65" t="str">
        <f t="array" ref="AH270">if(sum(H270:AG270)=0,,sum(sort(TRANSPOSE(H270:AG270),1,false)))</f>
        <v/>
      </c>
    </row>
  </sheetData>
  <mergeCells count="27">
    <mergeCell ref="T132:U132"/>
    <mergeCell ref="V132:W132"/>
    <mergeCell ref="AB132:AC132"/>
    <mergeCell ref="AF132:AG132"/>
    <mergeCell ref="AD132:AE132"/>
    <mergeCell ref="X132:Y132"/>
    <mergeCell ref="Z132:AA132"/>
    <mergeCell ref="R132:S132"/>
    <mergeCell ref="H132:I132"/>
    <mergeCell ref="J132:K132"/>
    <mergeCell ref="L132:M132"/>
    <mergeCell ref="N132:O132"/>
    <mergeCell ref="P132:Q132"/>
    <mergeCell ref="P2:Q2"/>
    <mergeCell ref="J2:K2"/>
    <mergeCell ref="L2:M2"/>
    <mergeCell ref="N2:O2"/>
    <mergeCell ref="AD2:AE2"/>
    <mergeCell ref="AF2:AG2"/>
    <mergeCell ref="V2:W2"/>
    <mergeCell ref="G1:AH1"/>
    <mergeCell ref="Z2:AA2"/>
    <mergeCell ref="R2:S2"/>
    <mergeCell ref="AB2:AC2"/>
    <mergeCell ref="T2:U2"/>
    <mergeCell ref="H2:I2"/>
    <mergeCell ref="X2:Y2"/>
  </mergeCells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hidden="1" min="1" max="1" width="4.86"/>
    <col customWidth="1" hidden="1" min="2" max="2" width="7.71"/>
    <col hidden="1" min="3" max="6" width="14.43"/>
    <col customWidth="1" min="7" max="7" width="17.14"/>
    <col customWidth="1" min="8" max="33" width="4.57"/>
    <col customWidth="1" min="34" max="34" width="7.29"/>
  </cols>
  <sheetData>
    <row r="1">
      <c r="A1" s="4">
        <v>1.0</v>
      </c>
      <c r="B1" s="4">
        <v>97.0</v>
      </c>
      <c r="C1" t="str">
        <f>'Womens Varsity Results'!F6</f>
        <v/>
      </c>
      <c r="D1">
        <f>'Womens Varsity Results'!C6</f>
        <v>12</v>
      </c>
      <c r="G1" s="100" t="s">
        <v>537</v>
      </c>
    </row>
    <row r="2">
      <c r="A2" s="4">
        <v>2.0</v>
      </c>
      <c r="B2" s="4">
        <v>97.0</v>
      </c>
      <c r="C2" t="str">
        <f>'Womens Varsity Results'!F7</f>
        <v/>
      </c>
      <c r="D2">
        <f>'Womens Varsity Results'!C7</f>
        <v>9</v>
      </c>
      <c r="G2" s="101"/>
      <c r="H2" s="102">
        <v>97.0</v>
      </c>
      <c r="I2" s="103"/>
      <c r="J2" s="102">
        <v>105.0</v>
      </c>
      <c r="K2" s="103"/>
      <c r="L2" s="102">
        <v>114.0</v>
      </c>
      <c r="M2" s="103"/>
      <c r="N2" s="102">
        <v>123.0</v>
      </c>
      <c r="O2" s="103"/>
      <c r="P2" s="102">
        <v>132.0</v>
      </c>
      <c r="Q2" s="103"/>
      <c r="R2" s="102">
        <v>145.0</v>
      </c>
      <c r="S2" s="103"/>
      <c r="T2" s="102">
        <v>155.0</v>
      </c>
      <c r="U2" s="103"/>
      <c r="V2" s="102">
        <v>165.0</v>
      </c>
      <c r="W2" s="103"/>
      <c r="X2" s="102">
        <v>181.0</v>
      </c>
      <c r="Y2" s="103"/>
      <c r="Z2" s="102">
        <v>198.0</v>
      </c>
      <c r="AA2" s="103"/>
      <c r="AB2" s="102">
        <v>220.0</v>
      </c>
      <c r="AC2" s="103"/>
      <c r="AD2" s="102">
        <v>242.0</v>
      </c>
      <c r="AE2" s="103"/>
      <c r="AF2" s="102" t="s">
        <v>130</v>
      </c>
      <c r="AG2" s="103"/>
      <c r="AH2" s="104" t="s">
        <v>118</v>
      </c>
    </row>
    <row r="3">
      <c r="A3" s="4">
        <v>3.0</v>
      </c>
      <c r="B3" s="4">
        <v>97.0</v>
      </c>
      <c r="C3" t="str">
        <f>'Womens Varsity Results'!F8</f>
        <v/>
      </c>
      <c r="D3">
        <f>'Womens Varsity Results'!C8</f>
        <v>8</v>
      </c>
      <c r="G3" s="105" t="str">
        <f t="array" ref="G3:AH131">sort(G133:AH261,AH133:AH261,false)</f>
        <v/>
      </c>
      <c r="H3" s="106"/>
      <c r="I3" s="107"/>
      <c r="J3" s="108"/>
      <c r="K3" s="107"/>
      <c r="L3" s="108"/>
      <c r="M3" s="107"/>
      <c r="N3" s="106"/>
      <c r="O3" s="109"/>
      <c r="P3" s="106"/>
      <c r="Q3" s="110"/>
      <c r="R3" s="106"/>
      <c r="S3" s="107"/>
      <c r="T3" s="106"/>
      <c r="U3" s="107"/>
      <c r="V3" s="108"/>
      <c r="W3" s="107"/>
      <c r="X3" s="106"/>
      <c r="Y3" s="107"/>
      <c r="Z3" s="108"/>
      <c r="AA3" s="109"/>
      <c r="AB3" s="108"/>
      <c r="AC3" s="107"/>
      <c r="AD3" s="108"/>
      <c r="AE3" s="107"/>
      <c r="AF3" s="106"/>
      <c r="AG3" s="107"/>
      <c r="AH3" s="111"/>
    </row>
    <row r="4">
      <c r="A4" s="4">
        <v>4.0</v>
      </c>
      <c r="B4" s="4">
        <v>97.0</v>
      </c>
      <c r="C4" t="str">
        <f>'Womens Varsity Results'!F9</f>
        <v/>
      </c>
      <c r="D4">
        <f>'Womens Varsity Results'!C9</f>
        <v>7</v>
      </c>
      <c r="G4" s="112"/>
      <c r="H4" s="113"/>
      <c r="I4" s="114"/>
      <c r="J4" s="113"/>
      <c r="K4" s="114"/>
      <c r="L4" s="115"/>
      <c r="M4" s="114"/>
      <c r="N4" s="115"/>
      <c r="O4" s="116"/>
      <c r="P4" s="113"/>
      <c r="Q4" s="114"/>
      <c r="R4" s="115"/>
      <c r="S4" s="114"/>
      <c r="T4" s="113"/>
      <c r="U4" s="114"/>
      <c r="V4" s="115"/>
      <c r="W4" s="114"/>
      <c r="X4" s="115"/>
      <c r="Y4" s="114"/>
      <c r="Z4" s="115"/>
      <c r="AA4" s="116"/>
      <c r="AB4" s="113"/>
      <c r="AC4" s="117"/>
      <c r="AD4" s="115"/>
      <c r="AE4" s="114"/>
      <c r="AF4" s="115"/>
      <c r="AG4" s="114"/>
      <c r="AH4" s="118"/>
    </row>
    <row r="5">
      <c r="A5" s="4">
        <v>5.0</v>
      </c>
      <c r="B5" s="4">
        <v>97.0</v>
      </c>
      <c r="C5" t="str">
        <f>'Womens Varsity Results'!F10</f>
        <v/>
      </c>
      <c r="D5">
        <f>'Womens Varsity Results'!C10</f>
        <v>6</v>
      </c>
      <c r="G5" s="119"/>
      <c r="H5" s="120"/>
      <c r="I5" s="121"/>
      <c r="J5" s="120"/>
      <c r="K5" s="121"/>
      <c r="L5" s="122"/>
      <c r="M5" s="121"/>
      <c r="N5" s="120"/>
      <c r="O5" s="123"/>
      <c r="P5" s="122"/>
      <c r="Q5" s="121"/>
      <c r="R5" s="122"/>
      <c r="S5" s="121"/>
      <c r="T5" s="122"/>
      <c r="U5" s="121"/>
      <c r="V5" s="120"/>
      <c r="W5" s="124"/>
      <c r="X5" s="122"/>
      <c r="Y5" s="121"/>
      <c r="Z5" s="122"/>
      <c r="AA5" s="123"/>
      <c r="AB5" s="122"/>
      <c r="AC5" s="121"/>
      <c r="AD5" s="122"/>
      <c r="AE5" s="121"/>
      <c r="AF5" s="122"/>
      <c r="AG5" s="121"/>
      <c r="AH5" s="125"/>
    </row>
    <row r="6">
      <c r="A6" s="4">
        <v>6.0</v>
      </c>
      <c r="B6" s="4">
        <v>97.0</v>
      </c>
      <c r="C6" t="str">
        <f>'Womens Varsity Results'!F11</f>
        <v/>
      </c>
      <c r="D6">
        <f>'Womens Varsity Results'!C11</f>
        <v>5</v>
      </c>
      <c r="G6" s="112"/>
      <c r="H6" s="113"/>
      <c r="I6" s="114"/>
      <c r="J6" s="115"/>
      <c r="K6" s="114"/>
      <c r="L6" s="115"/>
      <c r="M6" s="114"/>
      <c r="N6" s="113"/>
      <c r="O6" s="126"/>
      <c r="P6" s="115"/>
      <c r="Q6" s="114"/>
      <c r="R6" s="115"/>
      <c r="S6" s="114"/>
      <c r="T6" s="113"/>
      <c r="U6" s="114"/>
      <c r="V6" s="115"/>
      <c r="W6" s="114"/>
      <c r="X6" s="115"/>
      <c r="Y6" s="114"/>
      <c r="Z6" s="115"/>
      <c r="AA6" s="116"/>
      <c r="AB6" s="115"/>
      <c r="AC6" s="114"/>
      <c r="AD6" s="115"/>
      <c r="AE6" s="114"/>
      <c r="AF6" s="115"/>
      <c r="AG6" s="114"/>
      <c r="AH6" s="118"/>
    </row>
    <row r="7">
      <c r="A7" s="4">
        <v>7.0</v>
      </c>
      <c r="B7" s="4">
        <v>97.0</v>
      </c>
      <c r="C7" t="str">
        <f>'Womens Varsity Results'!F12</f>
        <v/>
      </c>
      <c r="D7">
        <f>'Womens Varsity Results'!C12</f>
        <v>4</v>
      </c>
      <c r="G7" s="119"/>
      <c r="H7" s="120"/>
      <c r="I7" s="121"/>
      <c r="J7" s="122"/>
      <c r="K7" s="121"/>
      <c r="L7" s="120"/>
      <c r="M7" s="121"/>
      <c r="N7" s="122"/>
      <c r="O7" s="123"/>
      <c r="P7" s="122"/>
      <c r="Q7" s="121"/>
      <c r="R7" s="122"/>
      <c r="S7" s="121"/>
      <c r="T7" s="122"/>
      <c r="U7" s="121"/>
      <c r="V7" s="122"/>
      <c r="W7" s="121"/>
      <c r="X7" s="122"/>
      <c r="Y7" s="121"/>
      <c r="Z7" s="120"/>
      <c r="AA7" s="123"/>
      <c r="AB7" s="120"/>
      <c r="AC7" s="121"/>
      <c r="AD7" s="122"/>
      <c r="AE7" s="121"/>
      <c r="AF7" s="122"/>
      <c r="AG7" s="121"/>
      <c r="AH7" s="125"/>
    </row>
    <row r="8">
      <c r="A8" s="4">
        <v>8.0</v>
      </c>
      <c r="B8" s="4">
        <v>97.0</v>
      </c>
      <c r="C8" t="str">
        <f>'Womens Varsity Results'!F13</f>
        <v/>
      </c>
      <c r="D8">
        <f>'Womens Varsity Results'!C13</f>
        <v>3</v>
      </c>
      <c r="G8" s="112"/>
      <c r="H8" s="113"/>
      <c r="I8" s="114"/>
      <c r="J8" s="115"/>
      <c r="K8" s="114"/>
      <c r="L8" s="115"/>
      <c r="M8" s="114"/>
      <c r="N8" s="113"/>
      <c r="O8" s="116"/>
      <c r="P8" s="115"/>
      <c r="Q8" s="114"/>
      <c r="R8" s="113"/>
      <c r="S8" s="114"/>
      <c r="T8" s="115"/>
      <c r="U8" s="114"/>
      <c r="V8" s="115"/>
      <c r="W8" s="114"/>
      <c r="X8" s="115"/>
      <c r="Y8" s="114"/>
      <c r="Z8" s="115"/>
      <c r="AA8" s="116"/>
      <c r="AB8" s="115"/>
      <c r="AC8" s="114"/>
      <c r="AD8" s="113"/>
      <c r="AE8" s="114"/>
      <c r="AF8" s="115"/>
      <c r="AG8" s="114"/>
      <c r="AH8" s="118"/>
    </row>
    <row r="9">
      <c r="A9" s="4">
        <v>9.0</v>
      </c>
      <c r="B9" s="4">
        <v>97.0</v>
      </c>
      <c r="C9" t="str">
        <f>'Womens Varsity Results'!F14</f>
        <v/>
      </c>
      <c r="D9">
        <f>'Womens Varsity Results'!C14</f>
        <v>2</v>
      </c>
      <c r="G9" s="119"/>
      <c r="H9" s="120"/>
      <c r="I9" s="121"/>
      <c r="J9" s="122"/>
      <c r="K9" s="121"/>
      <c r="L9" s="122"/>
      <c r="M9" s="121"/>
      <c r="N9" s="122"/>
      <c r="O9" s="123"/>
      <c r="P9" s="120"/>
      <c r="Q9" s="121"/>
      <c r="R9" s="122"/>
      <c r="S9" s="121"/>
      <c r="T9" s="120"/>
      <c r="U9" s="121"/>
      <c r="V9" s="122"/>
      <c r="W9" s="121"/>
      <c r="X9" s="120"/>
      <c r="Y9" s="121"/>
      <c r="Z9" s="122"/>
      <c r="AA9" s="123"/>
      <c r="AB9" s="122"/>
      <c r="AC9" s="121"/>
      <c r="AD9" s="122"/>
      <c r="AE9" s="121"/>
      <c r="AF9" s="122"/>
      <c r="AG9" s="121"/>
      <c r="AH9" s="125"/>
    </row>
    <row r="10">
      <c r="A10" s="4">
        <v>10.0</v>
      </c>
      <c r="B10" s="4">
        <v>97.0</v>
      </c>
      <c r="C10" t="str">
        <f>'Womens Varsity Results'!F15</f>
        <v/>
      </c>
      <c r="D10">
        <f>'Womens Varsity Results'!C15</f>
        <v>1</v>
      </c>
      <c r="G10" s="112"/>
      <c r="H10" s="113"/>
      <c r="I10" s="114"/>
      <c r="J10" s="115"/>
      <c r="K10" s="114"/>
      <c r="L10" s="115"/>
      <c r="M10" s="114"/>
      <c r="N10" s="115"/>
      <c r="O10" s="116"/>
      <c r="P10" s="115"/>
      <c r="Q10" s="114"/>
      <c r="R10" s="113"/>
      <c r="S10" s="114"/>
      <c r="T10" s="115"/>
      <c r="U10" s="114"/>
      <c r="V10" s="115"/>
      <c r="W10" s="114"/>
      <c r="X10" s="115"/>
      <c r="Y10" s="114"/>
      <c r="Z10" s="113"/>
      <c r="AA10" s="116"/>
      <c r="AB10" s="115"/>
      <c r="AC10" s="114"/>
      <c r="AD10" s="115"/>
      <c r="AE10" s="114"/>
      <c r="AF10" s="115"/>
      <c r="AG10" s="114"/>
      <c r="AH10" s="118"/>
    </row>
    <row r="11">
      <c r="A11" s="4">
        <v>1.0</v>
      </c>
      <c r="B11" s="4">
        <v>105.0</v>
      </c>
      <c r="C11" t="str">
        <f>'Womens Varsity Results'!F16</f>
        <v/>
      </c>
      <c r="D11">
        <f>'Womens Varsity Results'!C16</f>
        <v>12</v>
      </c>
      <c r="G11" s="119"/>
      <c r="H11" s="120"/>
      <c r="I11" s="121"/>
      <c r="J11" s="122"/>
      <c r="K11" s="121"/>
      <c r="L11" s="122"/>
      <c r="M11" s="121"/>
      <c r="N11" s="122"/>
      <c r="O11" s="123"/>
      <c r="P11" s="122"/>
      <c r="Q11" s="121"/>
      <c r="R11" s="122"/>
      <c r="S11" s="121"/>
      <c r="T11" s="122"/>
      <c r="U11" s="121"/>
      <c r="V11" s="122"/>
      <c r="W11" s="121"/>
      <c r="X11" s="122"/>
      <c r="Y11" s="121"/>
      <c r="Z11" s="122"/>
      <c r="AA11" s="123"/>
      <c r="AB11" s="120"/>
      <c r="AC11" s="121"/>
      <c r="AD11" s="122"/>
      <c r="AE11" s="121"/>
      <c r="AF11" s="122"/>
      <c r="AG11" s="121"/>
      <c r="AH11" s="125"/>
    </row>
    <row r="12">
      <c r="A12" s="4">
        <v>2.0</v>
      </c>
      <c r="B12" s="4">
        <v>105.0</v>
      </c>
      <c r="C12" t="str">
        <f>'Womens Varsity Results'!F17</f>
        <v/>
      </c>
      <c r="D12">
        <f>'Womens Varsity Results'!C17</f>
        <v>9</v>
      </c>
      <c r="G12" s="112"/>
      <c r="H12" s="113"/>
      <c r="I12" s="114"/>
      <c r="J12" s="115"/>
      <c r="K12" s="114"/>
      <c r="L12" s="115"/>
      <c r="M12" s="114"/>
      <c r="N12" s="115"/>
      <c r="O12" s="116"/>
      <c r="P12" s="115"/>
      <c r="Q12" s="114"/>
      <c r="R12" s="115"/>
      <c r="S12" s="114"/>
      <c r="T12" s="115"/>
      <c r="U12" s="114"/>
      <c r="V12" s="115"/>
      <c r="W12" s="114"/>
      <c r="X12" s="115"/>
      <c r="Y12" s="114"/>
      <c r="Z12" s="113"/>
      <c r="AA12" s="116"/>
      <c r="AB12" s="115"/>
      <c r="AC12" s="114"/>
      <c r="AD12" s="115"/>
      <c r="AE12" s="114"/>
      <c r="AF12" s="115"/>
      <c r="AG12" s="114"/>
      <c r="AH12" s="118"/>
    </row>
    <row r="13">
      <c r="A13" s="4">
        <v>3.0</v>
      </c>
      <c r="B13" s="4">
        <v>105.0</v>
      </c>
      <c r="C13" t="str">
        <f>'Womens Varsity Results'!F18</f>
        <v/>
      </c>
      <c r="D13">
        <f>'Womens Varsity Results'!C18</f>
        <v>8</v>
      </c>
      <c r="G13" s="119"/>
      <c r="H13" s="120"/>
      <c r="I13" s="123"/>
      <c r="J13" s="122"/>
      <c r="K13" s="123"/>
      <c r="L13" s="122"/>
      <c r="M13" s="123"/>
      <c r="N13" s="122"/>
      <c r="O13" s="123"/>
      <c r="P13" s="122"/>
      <c r="Q13" s="123"/>
      <c r="R13" s="122"/>
      <c r="S13" s="123"/>
      <c r="T13" s="122"/>
      <c r="U13" s="123"/>
      <c r="V13" s="122"/>
      <c r="W13" s="123"/>
      <c r="X13" s="122"/>
      <c r="Y13" s="123"/>
      <c r="Z13" s="122"/>
      <c r="AA13" s="123"/>
      <c r="AB13" s="122"/>
      <c r="AC13" s="123"/>
      <c r="AD13" s="122"/>
      <c r="AE13" s="123"/>
      <c r="AF13" s="122"/>
      <c r="AG13" s="123"/>
      <c r="AH13" s="125"/>
    </row>
    <row r="14">
      <c r="A14" s="4">
        <v>4.0</v>
      </c>
      <c r="B14" s="4">
        <v>105.0</v>
      </c>
      <c r="C14" t="str">
        <f>'Womens Varsity Results'!F19</f>
        <v/>
      </c>
      <c r="D14">
        <f>'Womens Varsity Results'!C19</f>
        <v>7</v>
      </c>
      <c r="G14" s="112"/>
      <c r="H14" s="127"/>
      <c r="I14" s="128"/>
      <c r="J14" s="129"/>
      <c r="K14" s="128"/>
      <c r="L14" s="129"/>
      <c r="M14" s="128"/>
      <c r="N14" s="129"/>
      <c r="O14" s="128"/>
      <c r="P14" s="129"/>
      <c r="Q14" s="128"/>
      <c r="R14" s="129"/>
      <c r="S14" s="128"/>
      <c r="T14" s="129"/>
      <c r="U14" s="128"/>
      <c r="V14" s="129"/>
      <c r="W14" s="128"/>
      <c r="X14" s="129"/>
      <c r="Y14" s="128"/>
      <c r="Z14" s="129"/>
      <c r="AA14" s="128"/>
      <c r="AB14" s="129"/>
      <c r="AC14" s="128"/>
      <c r="AD14" s="129"/>
      <c r="AE14" s="128"/>
      <c r="AF14" s="129"/>
      <c r="AG14" s="128"/>
      <c r="AH14" s="118"/>
    </row>
    <row r="15">
      <c r="A15" s="4">
        <v>5.0</v>
      </c>
      <c r="B15" s="4">
        <v>105.0</v>
      </c>
      <c r="C15" t="str">
        <f>'Womens Varsity Results'!F20</f>
        <v/>
      </c>
      <c r="D15">
        <f>'Womens Varsity Results'!C20</f>
        <v>6</v>
      </c>
      <c r="G15" s="130"/>
      <c r="H15" s="131"/>
      <c r="I15" s="132"/>
      <c r="J15" s="131"/>
      <c r="K15" s="132"/>
      <c r="L15" s="131"/>
      <c r="M15" s="132"/>
      <c r="N15" s="131"/>
      <c r="O15" s="132"/>
      <c r="P15" s="131"/>
      <c r="Q15" s="132"/>
      <c r="R15" s="131"/>
      <c r="S15" s="132"/>
      <c r="T15" s="131"/>
      <c r="U15" s="132"/>
      <c r="V15" s="131"/>
      <c r="W15" s="132"/>
      <c r="X15" s="131"/>
      <c r="Y15" s="132"/>
      <c r="Z15" s="131"/>
      <c r="AA15" s="132"/>
      <c r="AB15" s="131"/>
      <c r="AC15" s="132"/>
      <c r="AD15" s="131"/>
      <c r="AE15" s="132"/>
      <c r="AF15" s="131"/>
      <c r="AG15" s="132"/>
      <c r="AH15" s="133"/>
    </row>
    <row r="16">
      <c r="A16" s="4">
        <v>6.0</v>
      </c>
      <c r="B16" s="4">
        <v>105.0</v>
      </c>
      <c r="C16" t="str">
        <f>'Womens Varsity Results'!F21</f>
        <v/>
      </c>
      <c r="D16">
        <f>'Womens Varsity Results'!C21</f>
        <v>5</v>
      </c>
      <c r="G16" s="112"/>
      <c r="H16" s="129"/>
      <c r="I16" s="128"/>
      <c r="J16" s="129"/>
      <c r="K16" s="128"/>
      <c r="L16" s="129"/>
      <c r="M16" s="128"/>
      <c r="N16" s="129"/>
      <c r="O16" s="128"/>
      <c r="P16" s="129"/>
      <c r="Q16" s="128"/>
      <c r="R16" s="129"/>
      <c r="S16" s="128"/>
      <c r="T16" s="129"/>
      <c r="U16" s="128"/>
      <c r="V16" s="129"/>
      <c r="W16" s="128"/>
      <c r="X16" s="129"/>
      <c r="Y16" s="128"/>
      <c r="Z16" s="129"/>
      <c r="AA16" s="128"/>
      <c r="AB16" s="129"/>
      <c r="AC16" s="128"/>
      <c r="AD16" s="129"/>
      <c r="AE16" s="128"/>
      <c r="AF16" s="129"/>
      <c r="AG16" s="128"/>
      <c r="AH16" s="118"/>
    </row>
    <row r="17">
      <c r="A17" s="4">
        <v>7.0</v>
      </c>
      <c r="B17" s="4">
        <v>105.0</v>
      </c>
      <c r="C17" t="str">
        <f>'Womens Varsity Results'!F22</f>
        <v/>
      </c>
      <c r="D17">
        <f>'Womens Varsity Results'!C22</f>
        <v>4</v>
      </c>
      <c r="G17" s="130"/>
      <c r="H17" s="131"/>
      <c r="I17" s="132"/>
      <c r="J17" s="131"/>
      <c r="K17" s="132"/>
      <c r="L17" s="131"/>
      <c r="M17" s="132"/>
      <c r="N17" s="131"/>
      <c r="O17" s="132"/>
      <c r="P17" s="131"/>
      <c r="Q17" s="132"/>
      <c r="R17" s="131"/>
      <c r="S17" s="132"/>
      <c r="T17" s="131"/>
      <c r="U17" s="132"/>
      <c r="V17" s="131"/>
      <c r="W17" s="132"/>
      <c r="X17" s="131"/>
      <c r="Y17" s="132"/>
      <c r="Z17" s="131"/>
      <c r="AA17" s="132"/>
      <c r="AB17" s="131"/>
      <c r="AC17" s="132"/>
      <c r="AD17" s="131"/>
      <c r="AE17" s="132"/>
      <c r="AF17" s="131"/>
      <c r="AG17" s="132"/>
      <c r="AH17" s="133"/>
    </row>
    <row r="18">
      <c r="A18" s="4">
        <v>8.0</v>
      </c>
      <c r="B18" s="4">
        <v>105.0</v>
      </c>
      <c r="C18" t="str">
        <f>'Womens Varsity Results'!F23</f>
        <v/>
      </c>
      <c r="D18">
        <f>'Womens Varsity Results'!C23</f>
        <v>3</v>
      </c>
      <c r="G18" s="112"/>
      <c r="H18" s="129"/>
      <c r="I18" s="128"/>
      <c r="J18" s="129"/>
      <c r="K18" s="128"/>
      <c r="L18" s="129"/>
      <c r="M18" s="128"/>
      <c r="N18" s="129"/>
      <c r="O18" s="128"/>
      <c r="P18" s="129"/>
      <c r="Q18" s="128"/>
      <c r="R18" s="129"/>
      <c r="S18" s="128"/>
      <c r="T18" s="129"/>
      <c r="U18" s="128"/>
      <c r="V18" s="129"/>
      <c r="W18" s="128"/>
      <c r="X18" s="129"/>
      <c r="Y18" s="128"/>
      <c r="Z18" s="129"/>
      <c r="AA18" s="128"/>
      <c r="AB18" s="129"/>
      <c r="AC18" s="128"/>
      <c r="AD18" s="129"/>
      <c r="AE18" s="128"/>
      <c r="AF18" s="129"/>
      <c r="AG18" s="128"/>
      <c r="AH18" s="118"/>
    </row>
    <row r="19">
      <c r="A19" s="4">
        <v>9.0</v>
      </c>
      <c r="B19" s="4">
        <v>105.0</v>
      </c>
      <c r="C19" t="str">
        <f>'Womens Varsity Results'!F24</f>
        <v/>
      </c>
      <c r="D19">
        <f>'Womens Varsity Results'!C24</f>
        <v>2</v>
      </c>
      <c r="G19" s="130"/>
      <c r="H19" s="131"/>
      <c r="I19" s="132"/>
      <c r="J19" s="131"/>
      <c r="K19" s="132"/>
      <c r="L19" s="131"/>
      <c r="M19" s="132"/>
      <c r="N19" s="131"/>
      <c r="O19" s="132"/>
      <c r="P19" s="131"/>
      <c r="Q19" s="132"/>
      <c r="R19" s="131"/>
      <c r="S19" s="132"/>
      <c r="T19" s="131"/>
      <c r="U19" s="132"/>
      <c r="V19" s="131"/>
      <c r="W19" s="132"/>
      <c r="X19" s="131"/>
      <c r="Y19" s="132"/>
      <c r="Z19" s="131"/>
      <c r="AA19" s="132"/>
      <c r="AB19" s="131"/>
      <c r="AC19" s="132"/>
      <c r="AD19" s="131"/>
      <c r="AE19" s="132"/>
      <c r="AF19" s="131"/>
      <c r="AG19" s="132"/>
      <c r="AH19" s="133"/>
    </row>
    <row r="20">
      <c r="A20" s="4">
        <v>10.0</v>
      </c>
      <c r="B20" s="4">
        <v>105.0</v>
      </c>
      <c r="C20" t="str">
        <f>'Womens Varsity Results'!F25</f>
        <v/>
      </c>
      <c r="D20">
        <f>'Womens Varsity Results'!C25</f>
        <v>1</v>
      </c>
      <c r="G20" s="112"/>
      <c r="H20" s="129"/>
      <c r="I20" s="128"/>
      <c r="J20" s="129"/>
      <c r="K20" s="128"/>
      <c r="L20" s="129"/>
      <c r="M20" s="128"/>
      <c r="N20" s="129"/>
      <c r="O20" s="128"/>
      <c r="P20" s="129"/>
      <c r="Q20" s="128"/>
      <c r="R20" s="129"/>
      <c r="S20" s="128"/>
      <c r="T20" s="129"/>
      <c r="U20" s="128"/>
      <c r="V20" s="129"/>
      <c r="W20" s="128"/>
      <c r="X20" s="129"/>
      <c r="Y20" s="128"/>
      <c r="Z20" s="129"/>
      <c r="AA20" s="128"/>
      <c r="AB20" s="129"/>
      <c r="AC20" s="128"/>
      <c r="AD20" s="129"/>
      <c r="AE20" s="128"/>
      <c r="AF20" s="129"/>
      <c r="AG20" s="128"/>
      <c r="AH20" s="118"/>
    </row>
    <row r="21">
      <c r="A21" s="4">
        <v>1.0</v>
      </c>
      <c r="B21" s="4">
        <v>114.0</v>
      </c>
      <c r="C21" t="str">
        <f>'Womens Varsity Results'!F26</f>
        <v/>
      </c>
      <c r="D21">
        <f>'Womens Varsity Results'!C26</f>
        <v>12</v>
      </c>
      <c r="G21" s="130"/>
      <c r="H21" s="131"/>
      <c r="I21" s="132"/>
      <c r="J21" s="131"/>
      <c r="K21" s="132"/>
      <c r="L21" s="131"/>
      <c r="M21" s="132"/>
      <c r="N21" s="131"/>
      <c r="O21" s="132"/>
      <c r="P21" s="131"/>
      <c r="Q21" s="132"/>
      <c r="R21" s="131"/>
      <c r="S21" s="132"/>
      <c r="T21" s="131"/>
      <c r="U21" s="132"/>
      <c r="V21" s="131"/>
      <c r="W21" s="132"/>
      <c r="X21" s="131"/>
      <c r="Y21" s="132"/>
      <c r="Z21" s="131"/>
      <c r="AA21" s="132"/>
      <c r="AB21" s="131"/>
      <c r="AC21" s="132"/>
      <c r="AD21" s="131"/>
      <c r="AE21" s="132"/>
      <c r="AF21" s="131"/>
      <c r="AG21" s="132"/>
      <c r="AH21" s="133"/>
    </row>
    <row r="22">
      <c r="A22" s="4">
        <v>2.0</v>
      </c>
      <c r="B22" s="4">
        <v>114.0</v>
      </c>
      <c r="C22" t="str">
        <f>'Womens Varsity Results'!F27</f>
        <v/>
      </c>
      <c r="D22">
        <f>'Womens Varsity Results'!C27</f>
        <v>9</v>
      </c>
      <c r="G22" s="112"/>
      <c r="H22" s="129"/>
      <c r="I22" s="128"/>
      <c r="J22" s="129"/>
      <c r="K22" s="128"/>
      <c r="L22" s="129"/>
      <c r="M22" s="128"/>
      <c r="N22" s="129"/>
      <c r="O22" s="128"/>
      <c r="P22" s="129"/>
      <c r="Q22" s="128"/>
      <c r="R22" s="129"/>
      <c r="S22" s="128"/>
      <c r="T22" s="129"/>
      <c r="U22" s="128"/>
      <c r="V22" s="129"/>
      <c r="W22" s="128"/>
      <c r="X22" s="129"/>
      <c r="Y22" s="128"/>
      <c r="Z22" s="129"/>
      <c r="AA22" s="128"/>
      <c r="AB22" s="129"/>
      <c r="AC22" s="128"/>
      <c r="AD22" s="129"/>
      <c r="AE22" s="128"/>
      <c r="AF22" s="129"/>
      <c r="AG22" s="128"/>
      <c r="AH22" s="118"/>
    </row>
    <row r="23">
      <c r="A23" s="4">
        <v>3.0</v>
      </c>
      <c r="B23" s="4">
        <v>114.0</v>
      </c>
      <c r="C23" t="str">
        <f>'Womens Varsity Results'!F28</f>
        <v/>
      </c>
      <c r="D23">
        <f>'Womens Varsity Results'!C28</f>
        <v>8</v>
      </c>
      <c r="G23" s="130"/>
      <c r="H23" s="131"/>
      <c r="I23" s="132"/>
      <c r="J23" s="131"/>
      <c r="K23" s="132"/>
      <c r="L23" s="131"/>
      <c r="M23" s="132"/>
      <c r="N23" s="131"/>
      <c r="O23" s="132"/>
      <c r="P23" s="131"/>
      <c r="Q23" s="132"/>
      <c r="R23" s="131"/>
      <c r="S23" s="132"/>
      <c r="T23" s="131"/>
      <c r="U23" s="132"/>
      <c r="V23" s="131"/>
      <c r="W23" s="132"/>
      <c r="X23" s="131"/>
      <c r="Y23" s="132"/>
      <c r="Z23" s="131"/>
      <c r="AA23" s="132"/>
      <c r="AB23" s="131"/>
      <c r="AC23" s="132"/>
      <c r="AD23" s="131"/>
      <c r="AE23" s="132"/>
      <c r="AF23" s="131"/>
      <c r="AG23" s="132"/>
      <c r="AH23" s="133"/>
    </row>
    <row r="24">
      <c r="A24" s="4">
        <v>4.0</v>
      </c>
      <c r="B24" s="4">
        <v>114.0</v>
      </c>
      <c r="C24" t="str">
        <f>'Womens Varsity Results'!F29</f>
        <v/>
      </c>
      <c r="D24">
        <f>'Womens Varsity Results'!C29</f>
        <v>7</v>
      </c>
      <c r="G24" s="112"/>
      <c r="H24" s="129"/>
      <c r="I24" s="128"/>
      <c r="J24" s="129"/>
      <c r="K24" s="128"/>
      <c r="L24" s="129"/>
      <c r="M24" s="128"/>
      <c r="N24" s="129"/>
      <c r="O24" s="128"/>
      <c r="P24" s="129"/>
      <c r="Q24" s="128"/>
      <c r="R24" s="129"/>
      <c r="S24" s="128"/>
      <c r="T24" s="129"/>
      <c r="U24" s="128"/>
      <c r="V24" s="129"/>
      <c r="W24" s="128"/>
      <c r="X24" s="129"/>
      <c r="Y24" s="128"/>
      <c r="Z24" s="129"/>
      <c r="AA24" s="128"/>
      <c r="AB24" s="129"/>
      <c r="AC24" s="128"/>
      <c r="AD24" s="129"/>
      <c r="AE24" s="128"/>
      <c r="AF24" s="129"/>
      <c r="AG24" s="128"/>
      <c r="AH24" s="118"/>
    </row>
    <row r="25">
      <c r="A25" s="4">
        <v>5.0</v>
      </c>
      <c r="B25" s="4">
        <v>114.0</v>
      </c>
      <c r="C25" t="str">
        <f>'Womens Varsity Results'!F30</f>
        <v/>
      </c>
      <c r="D25">
        <f>'Womens Varsity Results'!C30</f>
        <v>6</v>
      </c>
      <c r="G25" s="130"/>
      <c r="H25" s="131"/>
      <c r="I25" s="132"/>
      <c r="J25" s="131"/>
      <c r="K25" s="132"/>
      <c r="L25" s="131"/>
      <c r="M25" s="132"/>
      <c r="N25" s="131"/>
      <c r="O25" s="132"/>
      <c r="P25" s="131"/>
      <c r="Q25" s="132"/>
      <c r="R25" s="131"/>
      <c r="S25" s="132"/>
      <c r="T25" s="131"/>
      <c r="U25" s="132"/>
      <c r="V25" s="131"/>
      <c r="W25" s="132"/>
      <c r="X25" s="131"/>
      <c r="Y25" s="132"/>
      <c r="Z25" s="131"/>
      <c r="AA25" s="132"/>
      <c r="AB25" s="131"/>
      <c r="AC25" s="132"/>
      <c r="AD25" s="131"/>
      <c r="AE25" s="132"/>
      <c r="AF25" s="131"/>
      <c r="AG25" s="132"/>
      <c r="AH25" s="133"/>
    </row>
    <row r="26">
      <c r="A26" s="4">
        <v>6.0</v>
      </c>
      <c r="B26" s="4">
        <v>114.0</v>
      </c>
      <c r="C26" t="str">
        <f>'Womens Varsity Results'!F31</f>
        <v/>
      </c>
      <c r="D26">
        <f>'Womens Varsity Results'!C31</f>
        <v>5</v>
      </c>
      <c r="G26" s="112"/>
      <c r="H26" s="129"/>
      <c r="I26" s="128"/>
      <c r="J26" s="129"/>
      <c r="K26" s="128"/>
      <c r="L26" s="129"/>
      <c r="M26" s="128"/>
      <c r="N26" s="129"/>
      <c r="O26" s="128"/>
      <c r="P26" s="129"/>
      <c r="Q26" s="128"/>
      <c r="R26" s="129"/>
      <c r="S26" s="128"/>
      <c r="T26" s="129"/>
      <c r="U26" s="128"/>
      <c r="V26" s="129"/>
      <c r="W26" s="128"/>
      <c r="X26" s="129"/>
      <c r="Y26" s="128"/>
      <c r="Z26" s="129"/>
      <c r="AA26" s="128"/>
      <c r="AB26" s="129"/>
      <c r="AC26" s="128"/>
      <c r="AD26" s="129"/>
      <c r="AE26" s="128"/>
      <c r="AF26" s="129"/>
      <c r="AG26" s="128"/>
      <c r="AH26" s="118"/>
    </row>
    <row r="27">
      <c r="A27" s="4">
        <v>7.0</v>
      </c>
      <c r="B27" s="4">
        <v>114.0</v>
      </c>
      <c r="C27" t="str">
        <f>'Womens Varsity Results'!F32</f>
        <v/>
      </c>
      <c r="D27">
        <f>'Womens Varsity Results'!C32</f>
        <v>4</v>
      </c>
      <c r="G27" s="130"/>
      <c r="H27" s="131"/>
      <c r="I27" s="132"/>
      <c r="J27" s="131"/>
      <c r="K27" s="132"/>
      <c r="L27" s="131"/>
      <c r="M27" s="132"/>
      <c r="N27" s="131"/>
      <c r="O27" s="132"/>
      <c r="P27" s="131"/>
      <c r="Q27" s="132"/>
      <c r="R27" s="131"/>
      <c r="S27" s="132"/>
      <c r="T27" s="131"/>
      <c r="U27" s="132"/>
      <c r="V27" s="131"/>
      <c r="W27" s="132"/>
      <c r="X27" s="131"/>
      <c r="Y27" s="132"/>
      <c r="Z27" s="131"/>
      <c r="AA27" s="132"/>
      <c r="AB27" s="131"/>
      <c r="AC27" s="132"/>
      <c r="AD27" s="131"/>
      <c r="AE27" s="132"/>
      <c r="AF27" s="131"/>
      <c r="AG27" s="132"/>
      <c r="AH27" s="133"/>
    </row>
    <row r="28">
      <c r="A28" s="4">
        <v>8.0</v>
      </c>
      <c r="B28" s="4">
        <v>114.0</v>
      </c>
      <c r="C28" t="str">
        <f>'Womens Varsity Results'!F33</f>
        <v/>
      </c>
      <c r="D28">
        <f>'Womens Varsity Results'!C33</f>
        <v>3</v>
      </c>
      <c r="G28" s="112"/>
      <c r="H28" s="129"/>
      <c r="I28" s="128"/>
      <c r="J28" s="129"/>
      <c r="K28" s="128"/>
      <c r="L28" s="129"/>
      <c r="M28" s="128"/>
      <c r="N28" s="129"/>
      <c r="O28" s="128"/>
      <c r="P28" s="129"/>
      <c r="Q28" s="128"/>
      <c r="R28" s="129"/>
      <c r="S28" s="128"/>
      <c r="T28" s="129"/>
      <c r="U28" s="128"/>
      <c r="V28" s="129"/>
      <c r="W28" s="128"/>
      <c r="X28" s="129"/>
      <c r="Y28" s="128"/>
      <c r="Z28" s="129"/>
      <c r="AA28" s="128"/>
      <c r="AB28" s="129"/>
      <c r="AC28" s="128"/>
      <c r="AD28" s="129"/>
      <c r="AE28" s="128"/>
      <c r="AF28" s="129"/>
      <c r="AG28" s="128"/>
      <c r="AH28" s="118"/>
    </row>
    <row r="29">
      <c r="A29" s="4">
        <v>9.0</v>
      </c>
      <c r="B29" s="4">
        <v>114.0</v>
      </c>
      <c r="C29" t="str">
        <f>'Womens Varsity Results'!F34</f>
        <v/>
      </c>
      <c r="D29">
        <f>'Womens Varsity Results'!C34</f>
        <v>2</v>
      </c>
      <c r="G29" s="130"/>
      <c r="H29" s="131"/>
      <c r="I29" s="132"/>
      <c r="J29" s="131"/>
      <c r="K29" s="132"/>
      <c r="L29" s="131"/>
      <c r="M29" s="132"/>
      <c r="N29" s="131"/>
      <c r="O29" s="132"/>
      <c r="P29" s="131"/>
      <c r="Q29" s="132"/>
      <c r="R29" s="131"/>
      <c r="S29" s="132"/>
      <c r="T29" s="131"/>
      <c r="U29" s="132"/>
      <c r="V29" s="131"/>
      <c r="W29" s="132"/>
      <c r="X29" s="131"/>
      <c r="Y29" s="132"/>
      <c r="Z29" s="131"/>
      <c r="AA29" s="132"/>
      <c r="AB29" s="131"/>
      <c r="AC29" s="132"/>
      <c r="AD29" s="131"/>
      <c r="AE29" s="132"/>
      <c r="AF29" s="131"/>
      <c r="AG29" s="132"/>
      <c r="AH29" s="133"/>
    </row>
    <row r="30">
      <c r="A30" s="4">
        <v>10.0</v>
      </c>
      <c r="B30" s="4">
        <v>114.0</v>
      </c>
      <c r="C30" t="str">
        <f>'Womens Varsity Results'!F35</f>
        <v/>
      </c>
      <c r="D30">
        <f>'Womens Varsity Results'!C35</f>
        <v>1</v>
      </c>
      <c r="G30" s="112"/>
      <c r="H30" s="129"/>
      <c r="I30" s="128"/>
      <c r="J30" s="129"/>
      <c r="K30" s="128"/>
      <c r="L30" s="129"/>
      <c r="M30" s="128"/>
      <c r="N30" s="129"/>
      <c r="O30" s="128"/>
      <c r="P30" s="129"/>
      <c r="Q30" s="128"/>
      <c r="R30" s="129"/>
      <c r="S30" s="128"/>
      <c r="T30" s="129"/>
      <c r="U30" s="128"/>
      <c r="V30" s="129"/>
      <c r="W30" s="128"/>
      <c r="X30" s="129"/>
      <c r="Y30" s="128"/>
      <c r="Z30" s="129"/>
      <c r="AA30" s="128"/>
      <c r="AB30" s="129"/>
      <c r="AC30" s="128"/>
      <c r="AD30" s="129"/>
      <c r="AE30" s="128"/>
      <c r="AF30" s="129"/>
      <c r="AG30" s="128"/>
      <c r="AH30" s="118"/>
    </row>
    <row r="31">
      <c r="A31" s="4">
        <v>1.0</v>
      </c>
      <c r="B31" s="4">
        <v>123.0</v>
      </c>
      <c r="C31" t="str">
        <f>'Womens Varsity Results'!F36</f>
        <v/>
      </c>
      <c r="D31">
        <f>'Womens Varsity Results'!C36</f>
        <v>12</v>
      </c>
      <c r="G31" s="130"/>
      <c r="H31" s="131"/>
      <c r="I31" s="132"/>
      <c r="J31" s="131"/>
      <c r="K31" s="132"/>
      <c r="L31" s="131"/>
      <c r="M31" s="132"/>
      <c r="N31" s="131"/>
      <c r="O31" s="132"/>
      <c r="P31" s="131"/>
      <c r="Q31" s="132"/>
      <c r="R31" s="131"/>
      <c r="S31" s="132"/>
      <c r="T31" s="131"/>
      <c r="U31" s="132"/>
      <c r="V31" s="131"/>
      <c r="W31" s="132"/>
      <c r="X31" s="131"/>
      <c r="Y31" s="132"/>
      <c r="Z31" s="131"/>
      <c r="AA31" s="132"/>
      <c r="AB31" s="131"/>
      <c r="AC31" s="132"/>
      <c r="AD31" s="131"/>
      <c r="AE31" s="132"/>
      <c r="AF31" s="131"/>
      <c r="AG31" s="132"/>
      <c r="AH31" s="133"/>
    </row>
    <row r="32">
      <c r="A32" s="4">
        <v>2.0</v>
      </c>
      <c r="B32" s="4">
        <v>123.0</v>
      </c>
      <c r="C32" t="str">
        <f>'Womens Varsity Results'!F37</f>
        <v/>
      </c>
      <c r="D32">
        <f>'Womens Varsity Results'!C37</f>
        <v>9</v>
      </c>
      <c r="G32" s="112"/>
      <c r="H32" s="129"/>
      <c r="I32" s="128"/>
      <c r="J32" s="129"/>
      <c r="K32" s="128"/>
      <c r="L32" s="129"/>
      <c r="M32" s="128"/>
      <c r="N32" s="129"/>
      <c r="O32" s="128"/>
      <c r="P32" s="129"/>
      <c r="Q32" s="128"/>
      <c r="R32" s="129"/>
      <c r="S32" s="128"/>
      <c r="T32" s="129"/>
      <c r="U32" s="128"/>
      <c r="V32" s="129"/>
      <c r="W32" s="128"/>
      <c r="X32" s="129"/>
      <c r="Y32" s="128"/>
      <c r="Z32" s="129"/>
      <c r="AA32" s="128"/>
      <c r="AB32" s="129"/>
      <c r="AC32" s="128"/>
      <c r="AD32" s="129"/>
      <c r="AE32" s="128"/>
      <c r="AF32" s="129"/>
      <c r="AG32" s="128"/>
      <c r="AH32" s="118"/>
    </row>
    <row r="33">
      <c r="A33" s="4">
        <v>3.0</v>
      </c>
      <c r="B33" s="4">
        <v>123.0</v>
      </c>
      <c r="C33" t="str">
        <f>'Womens Varsity Results'!F38</f>
        <v/>
      </c>
      <c r="D33">
        <f>'Womens Varsity Results'!C38</f>
        <v>8</v>
      </c>
      <c r="G33" s="130"/>
      <c r="H33" s="131"/>
      <c r="I33" s="132"/>
      <c r="J33" s="131"/>
      <c r="K33" s="132"/>
      <c r="L33" s="131"/>
      <c r="M33" s="132"/>
      <c r="N33" s="131"/>
      <c r="O33" s="132"/>
      <c r="P33" s="131"/>
      <c r="Q33" s="132"/>
      <c r="R33" s="131"/>
      <c r="S33" s="132"/>
      <c r="T33" s="131"/>
      <c r="U33" s="132"/>
      <c r="V33" s="131"/>
      <c r="W33" s="132"/>
      <c r="X33" s="131"/>
      <c r="Y33" s="132"/>
      <c r="Z33" s="131"/>
      <c r="AA33" s="132"/>
      <c r="AB33" s="131"/>
      <c r="AC33" s="132"/>
      <c r="AD33" s="131"/>
      <c r="AE33" s="132"/>
      <c r="AF33" s="131"/>
      <c r="AG33" s="132"/>
      <c r="AH33" s="133"/>
    </row>
    <row r="34">
      <c r="A34" s="4">
        <v>4.0</v>
      </c>
      <c r="B34" s="4">
        <v>123.0</v>
      </c>
      <c r="C34" t="str">
        <f>'Womens Varsity Results'!F39</f>
        <v/>
      </c>
      <c r="D34">
        <f>'Womens Varsity Results'!C39</f>
        <v>7</v>
      </c>
      <c r="G34" s="112"/>
      <c r="H34" s="129"/>
      <c r="I34" s="128"/>
      <c r="J34" s="129"/>
      <c r="K34" s="128"/>
      <c r="L34" s="129"/>
      <c r="M34" s="128"/>
      <c r="N34" s="129"/>
      <c r="O34" s="128"/>
      <c r="P34" s="129"/>
      <c r="Q34" s="128"/>
      <c r="R34" s="129"/>
      <c r="S34" s="128"/>
      <c r="T34" s="129"/>
      <c r="U34" s="128"/>
      <c r="V34" s="129"/>
      <c r="W34" s="128"/>
      <c r="X34" s="129"/>
      <c r="Y34" s="128"/>
      <c r="Z34" s="129"/>
      <c r="AA34" s="128"/>
      <c r="AB34" s="129"/>
      <c r="AC34" s="128"/>
      <c r="AD34" s="129"/>
      <c r="AE34" s="128"/>
      <c r="AF34" s="129"/>
      <c r="AG34" s="128"/>
      <c r="AH34" s="118"/>
    </row>
    <row r="35">
      <c r="A35" s="4">
        <v>5.0</v>
      </c>
      <c r="B35" s="4">
        <v>123.0</v>
      </c>
      <c r="C35" t="str">
        <f>'Womens Varsity Results'!F40</f>
        <v/>
      </c>
      <c r="D35">
        <f>'Womens Varsity Results'!C40</f>
        <v>6</v>
      </c>
      <c r="G35" s="130"/>
      <c r="H35" s="131"/>
      <c r="I35" s="132"/>
      <c r="J35" s="131"/>
      <c r="K35" s="132"/>
      <c r="L35" s="131"/>
      <c r="M35" s="132"/>
      <c r="N35" s="131"/>
      <c r="O35" s="132"/>
      <c r="P35" s="131"/>
      <c r="Q35" s="132"/>
      <c r="R35" s="131"/>
      <c r="S35" s="132"/>
      <c r="T35" s="131"/>
      <c r="U35" s="132"/>
      <c r="V35" s="131"/>
      <c r="W35" s="132"/>
      <c r="X35" s="131"/>
      <c r="Y35" s="132"/>
      <c r="Z35" s="131"/>
      <c r="AA35" s="132"/>
      <c r="AB35" s="131"/>
      <c r="AC35" s="132"/>
      <c r="AD35" s="131"/>
      <c r="AE35" s="132"/>
      <c r="AF35" s="131"/>
      <c r="AG35" s="132"/>
      <c r="AH35" s="133"/>
    </row>
    <row r="36">
      <c r="A36" s="4">
        <v>6.0</v>
      </c>
      <c r="B36" s="4">
        <v>123.0</v>
      </c>
      <c r="C36" t="str">
        <f>'Womens Varsity Results'!F41</f>
        <v/>
      </c>
      <c r="D36">
        <f>'Womens Varsity Results'!C41</f>
        <v>5</v>
      </c>
      <c r="G36" s="112"/>
      <c r="H36" s="129"/>
      <c r="I36" s="128"/>
      <c r="J36" s="129"/>
      <c r="K36" s="128"/>
      <c r="L36" s="129"/>
      <c r="M36" s="128"/>
      <c r="N36" s="129"/>
      <c r="O36" s="128"/>
      <c r="P36" s="129"/>
      <c r="Q36" s="128"/>
      <c r="R36" s="129"/>
      <c r="S36" s="128"/>
      <c r="T36" s="129"/>
      <c r="U36" s="128"/>
      <c r="V36" s="129"/>
      <c r="W36" s="128"/>
      <c r="X36" s="129"/>
      <c r="Y36" s="128"/>
      <c r="Z36" s="129"/>
      <c r="AA36" s="128"/>
      <c r="AB36" s="129"/>
      <c r="AC36" s="128"/>
      <c r="AD36" s="129"/>
      <c r="AE36" s="128"/>
      <c r="AF36" s="129"/>
      <c r="AG36" s="128"/>
      <c r="AH36" s="118"/>
    </row>
    <row r="37">
      <c r="A37" s="4">
        <v>7.0</v>
      </c>
      <c r="B37" s="4">
        <v>123.0</v>
      </c>
      <c r="C37" t="str">
        <f>'Womens Varsity Results'!F42</f>
        <v/>
      </c>
      <c r="D37">
        <f>'Womens Varsity Results'!C42</f>
        <v>4</v>
      </c>
      <c r="G37" s="130"/>
      <c r="H37" s="131"/>
      <c r="I37" s="132"/>
      <c r="J37" s="131"/>
      <c r="K37" s="132"/>
      <c r="L37" s="131"/>
      <c r="M37" s="132"/>
      <c r="N37" s="131"/>
      <c r="O37" s="132"/>
      <c r="P37" s="131"/>
      <c r="Q37" s="132"/>
      <c r="R37" s="131"/>
      <c r="S37" s="132"/>
      <c r="T37" s="131"/>
      <c r="U37" s="132"/>
      <c r="V37" s="131"/>
      <c r="W37" s="132"/>
      <c r="X37" s="131"/>
      <c r="Y37" s="132"/>
      <c r="Z37" s="131"/>
      <c r="AA37" s="132"/>
      <c r="AB37" s="131"/>
      <c r="AC37" s="132"/>
      <c r="AD37" s="131"/>
      <c r="AE37" s="132"/>
      <c r="AF37" s="131"/>
      <c r="AG37" s="132"/>
      <c r="AH37" s="133"/>
    </row>
    <row r="38">
      <c r="A38" s="4">
        <v>8.0</v>
      </c>
      <c r="B38" s="4">
        <v>123.0</v>
      </c>
      <c r="C38" t="str">
        <f>'Womens Varsity Results'!F43</f>
        <v/>
      </c>
      <c r="D38">
        <f>'Womens Varsity Results'!C43</f>
        <v>3</v>
      </c>
      <c r="G38" s="112"/>
      <c r="H38" s="129"/>
      <c r="I38" s="128"/>
      <c r="J38" s="129"/>
      <c r="K38" s="128"/>
      <c r="L38" s="129"/>
      <c r="M38" s="128"/>
      <c r="N38" s="129"/>
      <c r="O38" s="128"/>
      <c r="P38" s="129"/>
      <c r="Q38" s="128"/>
      <c r="R38" s="129"/>
      <c r="S38" s="128"/>
      <c r="T38" s="129"/>
      <c r="U38" s="128"/>
      <c r="V38" s="129"/>
      <c r="W38" s="128"/>
      <c r="X38" s="129"/>
      <c r="Y38" s="128"/>
      <c r="Z38" s="129"/>
      <c r="AA38" s="128"/>
      <c r="AB38" s="129"/>
      <c r="AC38" s="128"/>
      <c r="AD38" s="129"/>
      <c r="AE38" s="128"/>
      <c r="AF38" s="129"/>
      <c r="AG38" s="128"/>
      <c r="AH38" s="118"/>
    </row>
    <row r="39">
      <c r="A39" s="4">
        <v>9.0</v>
      </c>
      <c r="B39" s="4">
        <v>123.0</v>
      </c>
      <c r="C39" t="str">
        <f>'Womens Varsity Results'!F44</f>
        <v/>
      </c>
      <c r="D39">
        <f>'Womens Varsity Results'!C44</f>
        <v>2</v>
      </c>
      <c r="G39" s="130"/>
      <c r="H39" s="131"/>
      <c r="I39" s="132"/>
      <c r="J39" s="131"/>
      <c r="K39" s="132"/>
      <c r="L39" s="131"/>
      <c r="M39" s="132"/>
      <c r="N39" s="131"/>
      <c r="O39" s="132"/>
      <c r="P39" s="131"/>
      <c r="Q39" s="132"/>
      <c r="R39" s="131"/>
      <c r="S39" s="132"/>
      <c r="T39" s="131"/>
      <c r="U39" s="132"/>
      <c r="V39" s="131"/>
      <c r="W39" s="132"/>
      <c r="X39" s="131"/>
      <c r="Y39" s="132"/>
      <c r="Z39" s="131"/>
      <c r="AA39" s="132"/>
      <c r="AB39" s="131"/>
      <c r="AC39" s="132"/>
      <c r="AD39" s="131"/>
      <c r="AE39" s="132"/>
      <c r="AF39" s="131"/>
      <c r="AG39" s="132"/>
      <c r="AH39" s="133"/>
    </row>
    <row r="40">
      <c r="A40" s="4">
        <v>10.0</v>
      </c>
      <c r="B40" s="4">
        <v>123.0</v>
      </c>
      <c r="C40" t="str">
        <f>'Womens Varsity Results'!F45</f>
        <v/>
      </c>
      <c r="D40">
        <f>'Womens Varsity Results'!C45</f>
        <v>1</v>
      </c>
      <c r="G40" s="112"/>
      <c r="H40" s="129"/>
      <c r="I40" s="128"/>
      <c r="J40" s="129"/>
      <c r="K40" s="128"/>
      <c r="L40" s="129"/>
      <c r="M40" s="128"/>
      <c r="N40" s="129"/>
      <c r="O40" s="128"/>
      <c r="P40" s="129"/>
      <c r="Q40" s="128"/>
      <c r="R40" s="129"/>
      <c r="S40" s="128"/>
      <c r="T40" s="129"/>
      <c r="U40" s="128"/>
      <c r="V40" s="129"/>
      <c r="W40" s="128"/>
      <c r="X40" s="129"/>
      <c r="Y40" s="128"/>
      <c r="Z40" s="129"/>
      <c r="AA40" s="128"/>
      <c r="AB40" s="129"/>
      <c r="AC40" s="128"/>
      <c r="AD40" s="129"/>
      <c r="AE40" s="128"/>
      <c r="AF40" s="129"/>
      <c r="AG40" s="128"/>
      <c r="AH40" s="118"/>
    </row>
    <row r="41">
      <c r="A41" s="4">
        <v>1.0</v>
      </c>
      <c r="B41" s="4">
        <v>132.0</v>
      </c>
      <c r="C41" t="str">
        <f>'Womens Varsity Results'!F46</f>
        <v/>
      </c>
      <c r="D41">
        <f>'Womens Varsity Results'!C46</f>
        <v>12</v>
      </c>
      <c r="G41" s="130"/>
      <c r="H41" s="131"/>
      <c r="I41" s="132"/>
      <c r="J41" s="131"/>
      <c r="K41" s="132"/>
      <c r="L41" s="131"/>
      <c r="M41" s="132"/>
      <c r="N41" s="131"/>
      <c r="O41" s="132"/>
      <c r="P41" s="131"/>
      <c r="Q41" s="132"/>
      <c r="R41" s="131"/>
      <c r="S41" s="132"/>
      <c r="T41" s="131"/>
      <c r="U41" s="132"/>
      <c r="V41" s="131"/>
      <c r="W41" s="132"/>
      <c r="X41" s="131"/>
      <c r="Y41" s="132"/>
      <c r="Z41" s="131"/>
      <c r="AA41" s="132"/>
      <c r="AB41" s="131"/>
      <c r="AC41" s="132"/>
      <c r="AD41" s="131"/>
      <c r="AE41" s="132"/>
      <c r="AF41" s="131"/>
      <c r="AG41" s="132"/>
      <c r="AH41" s="133"/>
    </row>
    <row r="42">
      <c r="A42" s="4">
        <v>2.0</v>
      </c>
      <c r="B42" s="4">
        <v>132.0</v>
      </c>
      <c r="C42" t="str">
        <f>'Womens Varsity Results'!F47</f>
        <v/>
      </c>
      <c r="D42">
        <f>'Womens Varsity Results'!C47</f>
        <v>9</v>
      </c>
      <c r="G42" s="112"/>
      <c r="H42" s="129"/>
      <c r="I42" s="128"/>
      <c r="J42" s="129"/>
      <c r="K42" s="128"/>
      <c r="L42" s="129"/>
      <c r="M42" s="128"/>
      <c r="N42" s="129"/>
      <c r="O42" s="128"/>
      <c r="P42" s="129"/>
      <c r="Q42" s="128"/>
      <c r="R42" s="129"/>
      <c r="S42" s="128"/>
      <c r="T42" s="129"/>
      <c r="U42" s="128"/>
      <c r="V42" s="129"/>
      <c r="W42" s="128"/>
      <c r="X42" s="129"/>
      <c r="Y42" s="128"/>
      <c r="Z42" s="129"/>
      <c r="AA42" s="128"/>
      <c r="AB42" s="129"/>
      <c r="AC42" s="128"/>
      <c r="AD42" s="129"/>
      <c r="AE42" s="128"/>
      <c r="AF42" s="129"/>
      <c r="AG42" s="128"/>
      <c r="AH42" s="118"/>
    </row>
    <row r="43">
      <c r="A43" s="4">
        <v>3.0</v>
      </c>
      <c r="B43" s="4">
        <v>132.0</v>
      </c>
      <c r="C43" t="str">
        <f>'Womens Varsity Results'!F48</f>
        <v/>
      </c>
      <c r="D43">
        <f>'Womens Varsity Results'!C48</f>
        <v>8</v>
      </c>
      <c r="G43" s="130"/>
      <c r="H43" s="131"/>
      <c r="I43" s="132"/>
      <c r="J43" s="131"/>
      <c r="K43" s="132"/>
      <c r="L43" s="131"/>
      <c r="M43" s="132"/>
      <c r="N43" s="131"/>
      <c r="O43" s="132"/>
      <c r="P43" s="131"/>
      <c r="Q43" s="132"/>
      <c r="R43" s="131"/>
      <c r="S43" s="132"/>
      <c r="T43" s="131"/>
      <c r="U43" s="132"/>
      <c r="V43" s="131"/>
      <c r="W43" s="132"/>
      <c r="X43" s="131"/>
      <c r="Y43" s="132"/>
      <c r="Z43" s="131"/>
      <c r="AA43" s="132"/>
      <c r="AB43" s="131"/>
      <c r="AC43" s="132"/>
      <c r="AD43" s="131"/>
      <c r="AE43" s="132"/>
      <c r="AF43" s="131"/>
      <c r="AG43" s="132"/>
      <c r="AH43" s="133"/>
    </row>
    <row r="44">
      <c r="A44" s="4">
        <v>4.0</v>
      </c>
      <c r="B44" s="4">
        <v>132.0</v>
      </c>
      <c r="C44" t="str">
        <f>'Womens Varsity Results'!F49</f>
        <v/>
      </c>
      <c r="D44">
        <f>'Womens Varsity Results'!C49</f>
        <v>7</v>
      </c>
      <c r="G44" s="112"/>
      <c r="H44" s="129"/>
      <c r="I44" s="128"/>
      <c r="J44" s="129"/>
      <c r="K44" s="128"/>
      <c r="L44" s="129"/>
      <c r="M44" s="128"/>
      <c r="N44" s="129"/>
      <c r="O44" s="128"/>
      <c r="P44" s="129"/>
      <c r="Q44" s="128"/>
      <c r="R44" s="129"/>
      <c r="S44" s="128"/>
      <c r="T44" s="129"/>
      <c r="U44" s="128"/>
      <c r="V44" s="129"/>
      <c r="W44" s="128"/>
      <c r="X44" s="129"/>
      <c r="Y44" s="128"/>
      <c r="Z44" s="129"/>
      <c r="AA44" s="128"/>
      <c r="AB44" s="129"/>
      <c r="AC44" s="128"/>
      <c r="AD44" s="129"/>
      <c r="AE44" s="128"/>
      <c r="AF44" s="129"/>
      <c r="AG44" s="128"/>
      <c r="AH44" s="118"/>
    </row>
    <row r="45">
      <c r="A45" s="4">
        <v>5.0</v>
      </c>
      <c r="B45" s="4">
        <v>132.0</v>
      </c>
      <c r="C45" t="str">
        <f>'Womens Varsity Results'!F50</f>
        <v/>
      </c>
      <c r="D45">
        <f>'Womens Varsity Results'!C50</f>
        <v>6</v>
      </c>
      <c r="G45" s="130"/>
      <c r="H45" s="131"/>
      <c r="I45" s="132"/>
      <c r="J45" s="131"/>
      <c r="K45" s="132"/>
      <c r="L45" s="131"/>
      <c r="M45" s="132"/>
      <c r="N45" s="131"/>
      <c r="O45" s="132"/>
      <c r="P45" s="131"/>
      <c r="Q45" s="132"/>
      <c r="R45" s="131"/>
      <c r="S45" s="132"/>
      <c r="T45" s="131"/>
      <c r="U45" s="132"/>
      <c r="V45" s="131"/>
      <c r="W45" s="132"/>
      <c r="X45" s="131"/>
      <c r="Y45" s="132"/>
      <c r="Z45" s="131"/>
      <c r="AA45" s="132"/>
      <c r="AB45" s="131"/>
      <c r="AC45" s="132"/>
      <c r="AD45" s="131"/>
      <c r="AE45" s="132"/>
      <c r="AF45" s="131"/>
      <c r="AG45" s="132"/>
      <c r="AH45" s="133"/>
    </row>
    <row r="46">
      <c r="A46" s="4">
        <v>6.0</v>
      </c>
      <c r="B46" s="4">
        <v>132.0</v>
      </c>
      <c r="C46" t="str">
        <f>'Womens Varsity Results'!F51</f>
        <v/>
      </c>
      <c r="D46">
        <f>'Womens Varsity Results'!C51</f>
        <v>5</v>
      </c>
      <c r="G46" s="112"/>
      <c r="H46" s="129"/>
      <c r="I46" s="128"/>
      <c r="J46" s="129"/>
      <c r="K46" s="128"/>
      <c r="L46" s="129"/>
      <c r="M46" s="128"/>
      <c r="N46" s="129"/>
      <c r="O46" s="128"/>
      <c r="P46" s="129"/>
      <c r="Q46" s="128"/>
      <c r="R46" s="129"/>
      <c r="S46" s="128"/>
      <c r="T46" s="129"/>
      <c r="U46" s="128"/>
      <c r="V46" s="129"/>
      <c r="W46" s="128"/>
      <c r="X46" s="129"/>
      <c r="Y46" s="128"/>
      <c r="Z46" s="129"/>
      <c r="AA46" s="128"/>
      <c r="AB46" s="129"/>
      <c r="AC46" s="128"/>
      <c r="AD46" s="129"/>
      <c r="AE46" s="128"/>
      <c r="AF46" s="129"/>
      <c r="AG46" s="128"/>
      <c r="AH46" s="118"/>
    </row>
    <row r="47">
      <c r="A47" s="4">
        <v>7.0</v>
      </c>
      <c r="B47" s="4">
        <v>132.0</v>
      </c>
      <c r="C47" t="str">
        <f>'Womens Varsity Results'!F52</f>
        <v/>
      </c>
      <c r="D47">
        <f>'Womens Varsity Results'!C52</f>
        <v>4</v>
      </c>
      <c r="G47" s="130"/>
      <c r="H47" s="131"/>
      <c r="I47" s="132"/>
      <c r="J47" s="131"/>
      <c r="K47" s="132"/>
      <c r="L47" s="131"/>
      <c r="M47" s="132"/>
      <c r="N47" s="131"/>
      <c r="O47" s="132"/>
      <c r="P47" s="131"/>
      <c r="Q47" s="132"/>
      <c r="R47" s="131"/>
      <c r="S47" s="132"/>
      <c r="T47" s="131"/>
      <c r="U47" s="132"/>
      <c r="V47" s="131"/>
      <c r="W47" s="132"/>
      <c r="X47" s="131"/>
      <c r="Y47" s="132"/>
      <c r="Z47" s="131"/>
      <c r="AA47" s="132"/>
      <c r="AB47" s="131"/>
      <c r="AC47" s="132"/>
      <c r="AD47" s="131"/>
      <c r="AE47" s="132"/>
      <c r="AF47" s="131"/>
      <c r="AG47" s="132"/>
      <c r="AH47" s="133"/>
    </row>
    <row r="48">
      <c r="A48" s="4">
        <v>8.0</v>
      </c>
      <c r="B48" s="4">
        <v>132.0</v>
      </c>
      <c r="C48" t="str">
        <f>'Womens Varsity Results'!F53</f>
        <v/>
      </c>
      <c r="D48">
        <f>'Womens Varsity Results'!C53</f>
        <v>3</v>
      </c>
      <c r="G48" s="112"/>
      <c r="H48" s="129"/>
      <c r="I48" s="128"/>
      <c r="J48" s="129"/>
      <c r="K48" s="128"/>
      <c r="L48" s="129"/>
      <c r="M48" s="128"/>
      <c r="N48" s="129"/>
      <c r="O48" s="128"/>
      <c r="P48" s="129"/>
      <c r="Q48" s="128"/>
      <c r="R48" s="129"/>
      <c r="S48" s="128"/>
      <c r="T48" s="129"/>
      <c r="U48" s="128"/>
      <c r="V48" s="129"/>
      <c r="W48" s="128"/>
      <c r="X48" s="129"/>
      <c r="Y48" s="128"/>
      <c r="Z48" s="129"/>
      <c r="AA48" s="128"/>
      <c r="AB48" s="129"/>
      <c r="AC48" s="128"/>
      <c r="AD48" s="129"/>
      <c r="AE48" s="128"/>
      <c r="AF48" s="129"/>
      <c r="AG48" s="128"/>
      <c r="AH48" s="118"/>
    </row>
    <row r="49">
      <c r="A49" s="4">
        <v>9.0</v>
      </c>
      <c r="B49" s="4">
        <v>132.0</v>
      </c>
      <c r="C49" t="str">
        <f>'Womens Varsity Results'!F54</f>
        <v/>
      </c>
      <c r="D49">
        <f>'Womens Varsity Results'!C54</f>
        <v>2</v>
      </c>
      <c r="G49" s="130"/>
      <c r="H49" s="131"/>
      <c r="I49" s="132"/>
      <c r="J49" s="131"/>
      <c r="K49" s="132"/>
      <c r="L49" s="131"/>
      <c r="M49" s="132"/>
      <c r="N49" s="131"/>
      <c r="O49" s="132"/>
      <c r="P49" s="131"/>
      <c r="Q49" s="132"/>
      <c r="R49" s="131"/>
      <c r="S49" s="132"/>
      <c r="T49" s="131"/>
      <c r="U49" s="132"/>
      <c r="V49" s="131"/>
      <c r="W49" s="132"/>
      <c r="X49" s="131"/>
      <c r="Y49" s="132"/>
      <c r="Z49" s="131"/>
      <c r="AA49" s="132"/>
      <c r="AB49" s="131"/>
      <c r="AC49" s="132"/>
      <c r="AD49" s="131"/>
      <c r="AE49" s="132"/>
      <c r="AF49" s="131"/>
      <c r="AG49" s="132"/>
      <c r="AH49" s="133"/>
    </row>
    <row r="50">
      <c r="A50" s="4">
        <v>10.0</v>
      </c>
      <c r="B50" s="4">
        <v>132.0</v>
      </c>
      <c r="C50" t="str">
        <f>'Womens Varsity Results'!F55</f>
        <v/>
      </c>
      <c r="D50">
        <f>'Womens Varsity Results'!C55</f>
        <v>1</v>
      </c>
      <c r="G50" s="112"/>
      <c r="H50" s="129"/>
      <c r="I50" s="128"/>
      <c r="J50" s="129"/>
      <c r="K50" s="128"/>
      <c r="L50" s="129"/>
      <c r="M50" s="128"/>
      <c r="N50" s="129"/>
      <c r="O50" s="128"/>
      <c r="P50" s="129"/>
      <c r="Q50" s="128"/>
      <c r="R50" s="129"/>
      <c r="S50" s="128"/>
      <c r="T50" s="129"/>
      <c r="U50" s="128"/>
      <c r="V50" s="129"/>
      <c r="W50" s="128"/>
      <c r="X50" s="129"/>
      <c r="Y50" s="128"/>
      <c r="Z50" s="129"/>
      <c r="AA50" s="128"/>
      <c r="AB50" s="129"/>
      <c r="AC50" s="128"/>
      <c r="AD50" s="129"/>
      <c r="AE50" s="128"/>
      <c r="AF50" s="129"/>
      <c r="AG50" s="128"/>
      <c r="AH50" s="118"/>
    </row>
    <row r="51">
      <c r="A51" s="4">
        <v>1.0</v>
      </c>
      <c r="B51" s="4">
        <v>145.0</v>
      </c>
      <c r="C51" t="str">
        <f>'Womens Varsity Results'!F56</f>
        <v/>
      </c>
      <c r="D51">
        <f>'Womens Varsity Results'!C56</f>
        <v>12</v>
      </c>
      <c r="G51" s="130"/>
      <c r="H51" s="131"/>
      <c r="I51" s="132"/>
      <c r="J51" s="131"/>
      <c r="K51" s="132"/>
      <c r="L51" s="131"/>
      <c r="M51" s="132"/>
      <c r="N51" s="131"/>
      <c r="O51" s="132"/>
      <c r="P51" s="131"/>
      <c r="Q51" s="132"/>
      <c r="R51" s="131"/>
      <c r="S51" s="132"/>
      <c r="T51" s="131"/>
      <c r="U51" s="132"/>
      <c r="V51" s="131"/>
      <c r="W51" s="132"/>
      <c r="X51" s="131"/>
      <c r="Y51" s="132"/>
      <c r="Z51" s="131"/>
      <c r="AA51" s="132"/>
      <c r="AB51" s="131"/>
      <c r="AC51" s="132"/>
      <c r="AD51" s="131"/>
      <c r="AE51" s="132"/>
      <c r="AF51" s="131"/>
      <c r="AG51" s="132"/>
      <c r="AH51" s="133"/>
    </row>
    <row r="52">
      <c r="A52" s="4">
        <v>2.0</v>
      </c>
      <c r="B52" s="4">
        <v>145.0</v>
      </c>
      <c r="C52" t="str">
        <f>'Womens Varsity Results'!F57</f>
        <v/>
      </c>
      <c r="D52">
        <f>'Womens Varsity Results'!C57</f>
        <v>9</v>
      </c>
      <c r="G52" s="112"/>
      <c r="H52" s="129"/>
      <c r="I52" s="128"/>
      <c r="J52" s="129"/>
      <c r="K52" s="128"/>
      <c r="L52" s="129"/>
      <c r="M52" s="128"/>
      <c r="N52" s="129"/>
      <c r="O52" s="128"/>
      <c r="P52" s="129"/>
      <c r="Q52" s="128"/>
      <c r="R52" s="129"/>
      <c r="S52" s="128"/>
      <c r="T52" s="129"/>
      <c r="U52" s="128"/>
      <c r="V52" s="129"/>
      <c r="W52" s="128"/>
      <c r="X52" s="129"/>
      <c r="Y52" s="128"/>
      <c r="Z52" s="129"/>
      <c r="AA52" s="128"/>
      <c r="AB52" s="129"/>
      <c r="AC52" s="128"/>
      <c r="AD52" s="129"/>
      <c r="AE52" s="128"/>
      <c r="AF52" s="129"/>
      <c r="AG52" s="128"/>
      <c r="AH52" s="118"/>
    </row>
    <row r="53">
      <c r="A53" s="4">
        <v>3.0</v>
      </c>
      <c r="B53" s="4">
        <v>145.0</v>
      </c>
      <c r="C53" t="str">
        <f>'Womens Varsity Results'!F58</f>
        <v/>
      </c>
      <c r="D53">
        <f>'Womens Varsity Results'!C58</f>
        <v>8</v>
      </c>
      <c r="G53" s="130"/>
      <c r="H53" s="131"/>
      <c r="I53" s="132"/>
      <c r="J53" s="131"/>
      <c r="K53" s="132"/>
      <c r="L53" s="131"/>
      <c r="M53" s="132"/>
      <c r="N53" s="131"/>
      <c r="O53" s="132"/>
      <c r="P53" s="131"/>
      <c r="Q53" s="132"/>
      <c r="R53" s="131"/>
      <c r="S53" s="132"/>
      <c r="T53" s="131"/>
      <c r="U53" s="132"/>
      <c r="V53" s="131"/>
      <c r="W53" s="132"/>
      <c r="X53" s="131"/>
      <c r="Y53" s="132"/>
      <c r="Z53" s="131"/>
      <c r="AA53" s="132"/>
      <c r="AB53" s="131"/>
      <c r="AC53" s="132"/>
      <c r="AD53" s="131"/>
      <c r="AE53" s="132"/>
      <c r="AF53" s="131"/>
      <c r="AG53" s="132"/>
      <c r="AH53" s="133"/>
    </row>
    <row r="54">
      <c r="A54" s="4">
        <v>4.0</v>
      </c>
      <c r="B54" s="4">
        <v>145.0</v>
      </c>
      <c r="C54" t="str">
        <f>'Womens Varsity Results'!F59</f>
        <v/>
      </c>
      <c r="D54">
        <f>'Womens Varsity Results'!C59</f>
        <v>7</v>
      </c>
      <c r="G54" s="112"/>
      <c r="H54" s="129"/>
      <c r="I54" s="128"/>
      <c r="J54" s="129"/>
      <c r="K54" s="128"/>
      <c r="L54" s="129"/>
      <c r="M54" s="128"/>
      <c r="N54" s="129"/>
      <c r="O54" s="128"/>
      <c r="P54" s="129"/>
      <c r="Q54" s="128"/>
      <c r="R54" s="129"/>
      <c r="S54" s="128"/>
      <c r="T54" s="129"/>
      <c r="U54" s="128"/>
      <c r="V54" s="129"/>
      <c r="W54" s="128"/>
      <c r="X54" s="129"/>
      <c r="Y54" s="128"/>
      <c r="Z54" s="129"/>
      <c r="AA54" s="128"/>
      <c r="AB54" s="129"/>
      <c r="AC54" s="128"/>
      <c r="AD54" s="129"/>
      <c r="AE54" s="128"/>
      <c r="AF54" s="129"/>
      <c r="AG54" s="128"/>
      <c r="AH54" s="118"/>
    </row>
    <row r="55">
      <c r="A55" s="4">
        <v>5.0</v>
      </c>
      <c r="B55" s="4">
        <v>145.0</v>
      </c>
      <c r="C55" t="str">
        <f>'Womens Varsity Results'!F60</f>
        <v/>
      </c>
      <c r="D55">
        <f>'Womens Varsity Results'!C60</f>
        <v>6</v>
      </c>
      <c r="G55" s="130"/>
      <c r="H55" s="131"/>
      <c r="I55" s="132"/>
      <c r="J55" s="131"/>
      <c r="K55" s="132"/>
      <c r="L55" s="131"/>
      <c r="M55" s="132"/>
      <c r="N55" s="131"/>
      <c r="O55" s="132"/>
      <c r="P55" s="131"/>
      <c r="Q55" s="132"/>
      <c r="R55" s="131"/>
      <c r="S55" s="132"/>
      <c r="T55" s="131"/>
      <c r="U55" s="132"/>
      <c r="V55" s="131"/>
      <c r="W55" s="132"/>
      <c r="X55" s="131"/>
      <c r="Y55" s="132"/>
      <c r="Z55" s="131"/>
      <c r="AA55" s="132"/>
      <c r="AB55" s="131"/>
      <c r="AC55" s="132"/>
      <c r="AD55" s="131"/>
      <c r="AE55" s="132"/>
      <c r="AF55" s="131"/>
      <c r="AG55" s="132"/>
      <c r="AH55" s="133"/>
    </row>
    <row r="56">
      <c r="A56" s="4">
        <v>6.0</v>
      </c>
      <c r="B56" s="4">
        <v>145.0</v>
      </c>
      <c r="C56" t="str">
        <f>'Womens Varsity Results'!F61</f>
        <v/>
      </c>
      <c r="D56">
        <f>'Womens Varsity Results'!C61</f>
        <v>5</v>
      </c>
      <c r="G56" s="112"/>
      <c r="H56" s="129"/>
      <c r="I56" s="128"/>
      <c r="J56" s="129"/>
      <c r="K56" s="128"/>
      <c r="L56" s="129"/>
      <c r="M56" s="128"/>
      <c r="N56" s="129"/>
      <c r="O56" s="128"/>
      <c r="P56" s="129"/>
      <c r="Q56" s="128"/>
      <c r="R56" s="129"/>
      <c r="S56" s="128"/>
      <c r="T56" s="129"/>
      <c r="U56" s="128"/>
      <c r="V56" s="129"/>
      <c r="W56" s="128"/>
      <c r="X56" s="129"/>
      <c r="Y56" s="128"/>
      <c r="Z56" s="129"/>
      <c r="AA56" s="128"/>
      <c r="AB56" s="129"/>
      <c r="AC56" s="128"/>
      <c r="AD56" s="129"/>
      <c r="AE56" s="128"/>
      <c r="AF56" s="129"/>
      <c r="AG56" s="128"/>
      <c r="AH56" s="118"/>
    </row>
    <row r="57">
      <c r="A57" s="4">
        <v>7.0</v>
      </c>
      <c r="B57" s="4">
        <v>145.0</v>
      </c>
      <c r="C57" t="str">
        <f>'Womens Varsity Results'!F62</f>
        <v/>
      </c>
      <c r="D57">
        <f>'Womens Varsity Results'!C62</f>
        <v>4</v>
      </c>
      <c r="G57" s="130"/>
      <c r="H57" s="131"/>
      <c r="I57" s="132"/>
      <c r="J57" s="131"/>
      <c r="K57" s="132"/>
      <c r="L57" s="131"/>
      <c r="M57" s="132"/>
      <c r="N57" s="131"/>
      <c r="O57" s="132"/>
      <c r="P57" s="131"/>
      <c r="Q57" s="132"/>
      <c r="R57" s="131"/>
      <c r="S57" s="132"/>
      <c r="T57" s="131"/>
      <c r="U57" s="132"/>
      <c r="V57" s="131"/>
      <c r="W57" s="132"/>
      <c r="X57" s="131"/>
      <c r="Y57" s="132"/>
      <c r="Z57" s="131"/>
      <c r="AA57" s="132"/>
      <c r="AB57" s="131"/>
      <c r="AC57" s="132"/>
      <c r="AD57" s="131"/>
      <c r="AE57" s="132"/>
      <c r="AF57" s="131"/>
      <c r="AG57" s="132"/>
      <c r="AH57" s="133"/>
    </row>
    <row r="58">
      <c r="A58" s="4">
        <v>8.0</v>
      </c>
      <c r="B58" s="4">
        <v>145.0</v>
      </c>
      <c r="C58" t="str">
        <f>'Womens Varsity Results'!F63</f>
        <v/>
      </c>
      <c r="D58">
        <f>'Womens Varsity Results'!C63</f>
        <v>3</v>
      </c>
      <c r="G58" s="112"/>
      <c r="H58" s="129"/>
      <c r="I58" s="128"/>
      <c r="J58" s="129"/>
      <c r="K58" s="128"/>
      <c r="L58" s="129"/>
      <c r="M58" s="128"/>
      <c r="N58" s="129"/>
      <c r="O58" s="128"/>
      <c r="P58" s="129"/>
      <c r="Q58" s="128"/>
      <c r="R58" s="129"/>
      <c r="S58" s="128"/>
      <c r="T58" s="129"/>
      <c r="U58" s="128"/>
      <c r="V58" s="129"/>
      <c r="W58" s="128"/>
      <c r="X58" s="129"/>
      <c r="Y58" s="128"/>
      <c r="Z58" s="129"/>
      <c r="AA58" s="128"/>
      <c r="AB58" s="129"/>
      <c r="AC58" s="128"/>
      <c r="AD58" s="129"/>
      <c r="AE58" s="128"/>
      <c r="AF58" s="129"/>
      <c r="AG58" s="128"/>
      <c r="AH58" s="118"/>
    </row>
    <row r="59">
      <c r="A59" s="4">
        <v>9.0</v>
      </c>
      <c r="B59" s="4">
        <v>145.0</v>
      </c>
      <c r="C59" t="str">
        <f>'Womens Varsity Results'!F64</f>
        <v/>
      </c>
      <c r="D59">
        <f>'Womens Varsity Results'!C64</f>
        <v>2</v>
      </c>
      <c r="G59" s="130"/>
      <c r="H59" s="131"/>
      <c r="I59" s="132"/>
      <c r="J59" s="131"/>
      <c r="K59" s="132"/>
      <c r="L59" s="131"/>
      <c r="M59" s="132"/>
      <c r="N59" s="131"/>
      <c r="O59" s="132"/>
      <c r="P59" s="131"/>
      <c r="Q59" s="132"/>
      <c r="R59" s="131"/>
      <c r="S59" s="132"/>
      <c r="T59" s="131"/>
      <c r="U59" s="132"/>
      <c r="V59" s="131"/>
      <c r="W59" s="132"/>
      <c r="X59" s="131"/>
      <c r="Y59" s="132"/>
      <c r="Z59" s="131"/>
      <c r="AA59" s="132"/>
      <c r="AB59" s="131"/>
      <c r="AC59" s="132"/>
      <c r="AD59" s="131"/>
      <c r="AE59" s="132"/>
      <c r="AF59" s="131"/>
      <c r="AG59" s="132"/>
      <c r="AH59" s="133"/>
    </row>
    <row r="60">
      <c r="A60" s="4">
        <v>10.0</v>
      </c>
      <c r="B60" s="4">
        <v>145.0</v>
      </c>
      <c r="C60" t="str">
        <f>'Womens Varsity Results'!F65</f>
        <v/>
      </c>
      <c r="D60">
        <f>'Womens Varsity Results'!C65</f>
        <v>1</v>
      </c>
      <c r="G60" s="112"/>
      <c r="H60" s="129"/>
      <c r="I60" s="128"/>
      <c r="J60" s="129"/>
      <c r="K60" s="128"/>
      <c r="L60" s="129"/>
      <c r="M60" s="128"/>
      <c r="N60" s="129"/>
      <c r="O60" s="128"/>
      <c r="P60" s="129"/>
      <c r="Q60" s="128"/>
      <c r="R60" s="129"/>
      <c r="S60" s="128"/>
      <c r="T60" s="129"/>
      <c r="U60" s="128"/>
      <c r="V60" s="129"/>
      <c r="W60" s="128"/>
      <c r="X60" s="129"/>
      <c r="Y60" s="128"/>
      <c r="Z60" s="129"/>
      <c r="AA60" s="128"/>
      <c r="AB60" s="129"/>
      <c r="AC60" s="128"/>
      <c r="AD60" s="129"/>
      <c r="AE60" s="128"/>
      <c r="AF60" s="129"/>
      <c r="AG60" s="128"/>
      <c r="AH60" s="118"/>
    </row>
    <row r="61">
      <c r="A61" s="4">
        <v>1.0</v>
      </c>
      <c r="B61" s="4">
        <v>155.0</v>
      </c>
      <c r="C61" t="str">
        <f>'Womens Varsity Results'!F66</f>
        <v/>
      </c>
      <c r="D61">
        <f>'Womens Varsity Results'!C66</f>
        <v>12</v>
      </c>
      <c r="G61" s="130"/>
      <c r="H61" s="131"/>
      <c r="I61" s="132"/>
      <c r="J61" s="131"/>
      <c r="K61" s="132"/>
      <c r="L61" s="131"/>
      <c r="M61" s="132"/>
      <c r="N61" s="131"/>
      <c r="O61" s="132"/>
      <c r="P61" s="131"/>
      <c r="Q61" s="132"/>
      <c r="R61" s="131"/>
      <c r="S61" s="132"/>
      <c r="T61" s="131"/>
      <c r="U61" s="132"/>
      <c r="V61" s="131"/>
      <c r="W61" s="132"/>
      <c r="X61" s="131"/>
      <c r="Y61" s="132"/>
      <c r="Z61" s="131"/>
      <c r="AA61" s="132"/>
      <c r="AB61" s="131"/>
      <c r="AC61" s="132"/>
      <c r="AD61" s="131"/>
      <c r="AE61" s="132"/>
      <c r="AF61" s="131"/>
      <c r="AG61" s="132"/>
      <c r="AH61" s="133"/>
    </row>
    <row r="62">
      <c r="A62" s="4">
        <v>2.0</v>
      </c>
      <c r="B62" s="4">
        <v>155.0</v>
      </c>
      <c r="C62" t="str">
        <f>'Womens Varsity Results'!F67</f>
        <v/>
      </c>
      <c r="D62">
        <f>'Womens Varsity Results'!C67</f>
        <v>9</v>
      </c>
      <c r="G62" s="112"/>
      <c r="H62" s="129"/>
      <c r="I62" s="128"/>
      <c r="J62" s="129"/>
      <c r="K62" s="128"/>
      <c r="L62" s="129"/>
      <c r="M62" s="128"/>
      <c r="N62" s="129"/>
      <c r="O62" s="128"/>
      <c r="P62" s="129"/>
      <c r="Q62" s="128"/>
      <c r="R62" s="129"/>
      <c r="S62" s="128"/>
      <c r="T62" s="129"/>
      <c r="U62" s="128"/>
      <c r="V62" s="129"/>
      <c r="W62" s="128"/>
      <c r="X62" s="129"/>
      <c r="Y62" s="128"/>
      <c r="Z62" s="129"/>
      <c r="AA62" s="128"/>
      <c r="AB62" s="129"/>
      <c r="AC62" s="128"/>
      <c r="AD62" s="129"/>
      <c r="AE62" s="128"/>
      <c r="AF62" s="129"/>
      <c r="AG62" s="128"/>
      <c r="AH62" s="118"/>
    </row>
    <row r="63">
      <c r="A63" s="4">
        <v>3.0</v>
      </c>
      <c r="B63" s="4">
        <v>155.0</v>
      </c>
      <c r="C63" t="str">
        <f>'Womens Varsity Results'!F68</f>
        <v/>
      </c>
      <c r="D63">
        <f>'Womens Varsity Results'!C68</f>
        <v>8</v>
      </c>
      <c r="G63" s="130"/>
      <c r="H63" s="131"/>
      <c r="I63" s="132"/>
      <c r="J63" s="131"/>
      <c r="K63" s="132"/>
      <c r="L63" s="131"/>
      <c r="M63" s="132"/>
      <c r="N63" s="131"/>
      <c r="O63" s="132"/>
      <c r="P63" s="131"/>
      <c r="Q63" s="132"/>
      <c r="R63" s="131"/>
      <c r="S63" s="132"/>
      <c r="T63" s="131"/>
      <c r="U63" s="132"/>
      <c r="V63" s="131"/>
      <c r="W63" s="132"/>
      <c r="X63" s="131"/>
      <c r="Y63" s="132"/>
      <c r="Z63" s="131"/>
      <c r="AA63" s="132"/>
      <c r="AB63" s="131"/>
      <c r="AC63" s="132"/>
      <c r="AD63" s="131"/>
      <c r="AE63" s="132"/>
      <c r="AF63" s="131"/>
      <c r="AG63" s="132"/>
      <c r="AH63" s="133"/>
    </row>
    <row r="64">
      <c r="A64" s="4">
        <v>4.0</v>
      </c>
      <c r="B64" s="4">
        <v>155.0</v>
      </c>
      <c r="C64" t="str">
        <f>'Womens Varsity Results'!F69</f>
        <v/>
      </c>
      <c r="D64">
        <f>'Womens Varsity Results'!C69</f>
        <v>7</v>
      </c>
      <c r="G64" s="112"/>
      <c r="H64" s="129"/>
      <c r="I64" s="128"/>
      <c r="J64" s="129"/>
      <c r="K64" s="128"/>
      <c r="L64" s="129"/>
      <c r="M64" s="128"/>
      <c r="N64" s="129"/>
      <c r="O64" s="128"/>
      <c r="P64" s="129"/>
      <c r="Q64" s="128"/>
      <c r="R64" s="129"/>
      <c r="S64" s="128"/>
      <c r="T64" s="129"/>
      <c r="U64" s="128"/>
      <c r="V64" s="129"/>
      <c r="W64" s="128"/>
      <c r="X64" s="129"/>
      <c r="Y64" s="128"/>
      <c r="Z64" s="129"/>
      <c r="AA64" s="128"/>
      <c r="AB64" s="129"/>
      <c r="AC64" s="128"/>
      <c r="AD64" s="129"/>
      <c r="AE64" s="128"/>
      <c r="AF64" s="129"/>
      <c r="AG64" s="128"/>
      <c r="AH64" s="118"/>
    </row>
    <row r="65">
      <c r="A65" s="4">
        <v>5.0</v>
      </c>
      <c r="B65" s="4">
        <v>155.0</v>
      </c>
      <c r="C65" t="str">
        <f>'Womens Varsity Results'!F70</f>
        <v/>
      </c>
      <c r="D65">
        <f>'Womens Varsity Results'!C70</f>
        <v>6</v>
      </c>
      <c r="G65" s="130"/>
      <c r="H65" s="131"/>
      <c r="I65" s="132"/>
      <c r="J65" s="131"/>
      <c r="K65" s="132"/>
      <c r="L65" s="131"/>
      <c r="M65" s="132"/>
      <c r="N65" s="131"/>
      <c r="O65" s="132"/>
      <c r="P65" s="131"/>
      <c r="Q65" s="132"/>
      <c r="R65" s="131"/>
      <c r="S65" s="132"/>
      <c r="T65" s="131"/>
      <c r="U65" s="132"/>
      <c r="V65" s="131"/>
      <c r="W65" s="132"/>
      <c r="X65" s="131"/>
      <c r="Y65" s="132"/>
      <c r="Z65" s="131"/>
      <c r="AA65" s="132"/>
      <c r="AB65" s="131"/>
      <c r="AC65" s="132"/>
      <c r="AD65" s="131"/>
      <c r="AE65" s="132"/>
      <c r="AF65" s="131"/>
      <c r="AG65" s="132"/>
      <c r="AH65" s="133"/>
    </row>
    <row r="66">
      <c r="A66" s="4">
        <v>6.0</v>
      </c>
      <c r="B66" s="4">
        <v>155.0</v>
      </c>
      <c r="C66" t="str">
        <f>'Womens Varsity Results'!F71</f>
        <v/>
      </c>
      <c r="D66">
        <f>'Womens Varsity Results'!C71</f>
        <v>5</v>
      </c>
      <c r="G66" s="112"/>
      <c r="H66" s="129"/>
      <c r="I66" s="128"/>
      <c r="J66" s="129"/>
      <c r="K66" s="128"/>
      <c r="L66" s="129"/>
      <c r="M66" s="128"/>
      <c r="N66" s="129"/>
      <c r="O66" s="128"/>
      <c r="P66" s="129"/>
      <c r="Q66" s="128"/>
      <c r="R66" s="129"/>
      <c r="S66" s="128"/>
      <c r="T66" s="129"/>
      <c r="U66" s="128"/>
      <c r="V66" s="129"/>
      <c r="W66" s="128"/>
      <c r="X66" s="129"/>
      <c r="Y66" s="128"/>
      <c r="Z66" s="129"/>
      <c r="AA66" s="128"/>
      <c r="AB66" s="129"/>
      <c r="AC66" s="128"/>
      <c r="AD66" s="129"/>
      <c r="AE66" s="128"/>
      <c r="AF66" s="129"/>
      <c r="AG66" s="128"/>
      <c r="AH66" s="118"/>
    </row>
    <row r="67">
      <c r="A67" s="4">
        <v>7.0</v>
      </c>
      <c r="B67" s="4">
        <v>155.0</v>
      </c>
      <c r="C67" t="str">
        <f>'Womens Varsity Results'!F72</f>
        <v/>
      </c>
      <c r="D67">
        <f>'Womens Varsity Results'!C72</f>
        <v>4</v>
      </c>
      <c r="G67" s="130"/>
      <c r="H67" s="131"/>
      <c r="I67" s="132"/>
      <c r="J67" s="131"/>
      <c r="K67" s="132"/>
      <c r="L67" s="131"/>
      <c r="M67" s="132"/>
      <c r="N67" s="131"/>
      <c r="O67" s="132"/>
      <c r="P67" s="131"/>
      <c r="Q67" s="132"/>
      <c r="R67" s="131"/>
      <c r="S67" s="132"/>
      <c r="T67" s="131"/>
      <c r="U67" s="132"/>
      <c r="V67" s="131"/>
      <c r="W67" s="132"/>
      <c r="X67" s="131"/>
      <c r="Y67" s="132"/>
      <c r="Z67" s="131"/>
      <c r="AA67" s="132"/>
      <c r="AB67" s="131"/>
      <c r="AC67" s="132"/>
      <c r="AD67" s="131"/>
      <c r="AE67" s="132"/>
      <c r="AF67" s="131"/>
      <c r="AG67" s="132"/>
      <c r="AH67" s="133"/>
    </row>
    <row r="68">
      <c r="A68" s="4">
        <v>8.0</v>
      </c>
      <c r="B68" s="4">
        <v>155.0</v>
      </c>
      <c r="C68" t="str">
        <f>'Womens Varsity Results'!F73</f>
        <v/>
      </c>
      <c r="D68">
        <f>'Womens Varsity Results'!C73</f>
        <v>3</v>
      </c>
      <c r="G68" s="112"/>
      <c r="H68" s="129"/>
      <c r="I68" s="128"/>
      <c r="J68" s="129"/>
      <c r="K68" s="128"/>
      <c r="L68" s="129"/>
      <c r="M68" s="128"/>
      <c r="N68" s="129"/>
      <c r="O68" s="128"/>
      <c r="P68" s="129"/>
      <c r="Q68" s="128"/>
      <c r="R68" s="129"/>
      <c r="S68" s="128"/>
      <c r="T68" s="129"/>
      <c r="U68" s="128"/>
      <c r="V68" s="129"/>
      <c r="W68" s="128"/>
      <c r="X68" s="129"/>
      <c r="Y68" s="128"/>
      <c r="Z68" s="129"/>
      <c r="AA68" s="128"/>
      <c r="AB68" s="129"/>
      <c r="AC68" s="128"/>
      <c r="AD68" s="129"/>
      <c r="AE68" s="128"/>
      <c r="AF68" s="129"/>
      <c r="AG68" s="128"/>
      <c r="AH68" s="118"/>
    </row>
    <row r="69">
      <c r="A69" s="4">
        <v>9.0</v>
      </c>
      <c r="B69" s="4">
        <v>155.0</v>
      </c>
      <c r="C69" t="str">
        <f>'Womens Varsity Results'!F74</f>
        <v/>
      </c>
      <c r="D69">
        <f>'Womens Varsity Results'!C74</f>
        <v>2</v>
      </c>
      <c r="G69" s="130"/>
      <c r="H69" s="131"/>
      <c r="I69" s="132"/>
      <c r="J69" s="131"/>
      <c r="K69" s="132"/>
      <c r="L69" s="131"/>
      <c r="M69" s="132"/>
      <c r="N69" s="131"/>
      <c r="O69" s="132"/>
      <c r="P69" s="131"/>
      <c r="Q69" s="132"/>
      <c r="R69" s="131"/>
      <c r="S69" s="132"/>
      <c r="T69" s="131"/>
      <c r="U69" s="132"/>
      <c r="V69" s="131"/>
      <c r="W69" s="132"/>
      <c r="X69" s="131"/>
      <c r="Y69" s="132"/>
      <c r="Z69" s="131"/>
      <c r="AA69" s="132"/>
      <c r="AB69" s="131"/>
      <c r="AC69" s="132"/>
      <c r="AD69" s="131"/>
      <c r="AE69" s="132"/>
      <c r="AF69" s="131"/>
      <c r="AG69" s="132"/>
      <c r="AH69" s="133"/>
    </row>
    <row r="70">
      <c r="A70" s="4">
        <v>10.0</v>
      </c>
      <c r="B70" s="4">
        <v>155.0</v>
      </c>
      <c r="C70" t="str">
        <f>'Womens Varsity Results'!F75</f>
        <v/>
      </c>
      <c r="D70">
        <f>'Womens Varsity Results'!C75</f>
        <v>1</v>
      </c>
      <c r="G70" s="112"/>
      <c r="H70" s="129"/>
      <c r="I70" s="128"/>
      <c r="J70" s="129"/>
      <c r="K70" s="128"/>
      <c r="L70" s="129"/>
      <c r="M70" s="128"/>
      <c r="N70" s="129"/>
      <c r="O70" s="128"/>
      <c r="P70" s="129"/>
      <c r="Q70" s="128"/>
      <c r="R70" s="129"/>
      <c r="S70" s="128"/>
      <c r="T70" s="129"/>
      <c r="U70" s="128"/>
      <c r="V70" s="129"/>
      <c r="W70" s="128"/>
      <c r="X70" s="129"/>
      <c r="Y70" s="128"/>
      <c r="Z70" s="129"/>
      <c r="AA70" s="128"/>
      <c r="AB70" s="129"/>
      <c r="AC70" s="128"/>
      <c r="AD70" s="129"/>
      <c r="AE70" s="128"/>
      <c r="AF70" s="129"/>
      <c r="AG70" s="128"/>
      <c r="AH70" s="118"/>
    </row>
    <row r="71">
      <c r="A71" s="4">
        <v>1.0</v>
      </c>
      <c r="B71" s="4">
        <v>165.0</v>
      </c>
      <c r="C71" t="str">
        <f>'Womens Varsity Results'!F76</f>
        <v/>
      </c>
      <c r="D71">
        <f>'Womens Varsity Results'!C76</f>
        <v>12</v>
      </c>
      <c r="G71" s="130"/>
      <c r="H71" s="131"/>
      <c r="I71" s="132"/>
      <c r="J71" s="131"/>
      <c r="K71" s="132"/>
      <c r="L71" s="131"/>
      <c r="M71" s="132"/>
      <c r="N71" s="131"/>
      <c r="O71" s="132"/>
      <c r="P71" s="131"/>
      <c r="Q71" s="132"/>
      <c r="R71" s="131"/>
      <c r="S71" s="132"/>
      <c r="T71" s="131"/>
      <c r="U71" s="132"/>
      <c r="V71" s="131"/>
      <c r="W71" s="132"/>
      <c r="X71" s="131"/>
      <c r="Y71" s="132"/>
      <c r="Z71" s="131"/>
      <c r="AA71" s="132"/>
      <c r="AB71" s="131"/>
      <c r="AC71" s="132"/>
      <c r="AD71" s="131"/>
      <c r="AE71" s="132"/>
      <c r="AF71" s="131"/>
      <c r="AG71" s="132"/>
      <c r="AH71" s="133"/>
    </row>
    <row r="72">
      <c r="A72" s="4">
        <v>2.0</v>
      </c>
      <c r="B72" s="4">
        <v>165.0</v>
      </c>
      <c r="C72" t="str">
        <f>'Womens Varsity Results'!F77</f>
        <v/>
      </c>
      <c r="D72">
        <f>'Womens Varsity Results'!C77</f>
        <v>9</v>
      </c>
      <c r="G72" s="112"/>
      <c r="H72" s="129"/>
      <c r="I72" s="128"/>
      <c r="J72" s="129"/>
      <c r="K72" s="128"/>
      <c r="L72" s="129"/>
      <c r="M72" s="128"/>
      <c r="N72" s="129"/>
      <c r="O72" s="128"/>
      <c r="P72" s="129"/>
      <c r="Q72" s="128"/>
      <c r="R72" s="129"/>
      <c r="S72" s="128"/>
      <c r="T72" s="129"/>
      <c r="U72" s="128"/>
      <c r="V72" s="129"/>
      <c r="W72" s="128"/>
      <c r="X72" s="129"/>
      <c r="Y72" s="128"/>
      <c r="Z72" s="129"/>
      <c r="AA72" s="128"/>
      <c r="AB72" s="129"/>
      <c r="AC72" s="128"/>
      <c r="AD72" s="129"/>
      <c r="AE72" s="128"/>
      <c r="AF72" s="129"/>
      <c r="AG72" s="128"/>
      <c r="AH72" s="118"/>
    </row>
    <row r="73">
      <c r="A73" s="4">
        <v>3.0</v>
      </c>
      <c r="B73" s="4">
        <v>165.0</v>
      </c>
      <c r="C73" t="str">
        <f>'Womens Varsity Results'!F78</f>
        <v/>
      </c>
      <c r="D73">
        <f>'Womens Varsity Results'!C78</f>
        <v>8</v>
      </c>
      <c r="G73" s="130"/>
      <c r="H73" s="131"/>
      <c r="I73" s="132"/>
      <c r="J73" s="131"/>
      <c r="K73" s="132"/>
      <c r="L73" s="131"/>
      <c r="M73" s="132"/>
      <c r="N73" s="131"/>
      <c r="O73" s="132"/>
      <c r="P73" s="131"/>
      <c r="Q73" s="132"/>
      <c r="R73" s="131"/>
      <c r="S73" s="132"/>
      <c r="T73" s="131"/>
      <c r="U73" s="132"/>
      <c r="V73" s="131"/>
      <c r="W73" s="132"/>
      <c r="X73" s="131"/>
      <c r="Y73" s="132"/>
      <c r="Z73" s="131"/>
      <c r="AA73" s="132"/>
      <c r="AB73" s="131"/>
      <c r="AC73" s="132"/>
      <c r="AD73" s="131"/>
      <c r="AE73" s="132"/>
      <c r="AF73" s="131"/>
      <c r="AG73" s="132"/>
      <c r="AH73" s="133"/>
    </row>
    <row r="74">
      <c r="A74" s="4">
        <v>4.0</v>
      </c>
      <c r="B74" s="4">
        <v>165.0</v>
      </c>
      <c r="C74" t="str">
        <f>'Womens Varsity Results'!F79</f>
        <v/>
      </c>
      <c r="D74">
        <f>'Womens Varsity Results'!C79</f>
        <v>7</v>
      </c>
      <c r="G74" s="112"/>
      <c r="H74" s="129"/>
      <c r="I74" s="128"/>
      <c r="J74" s="129"/>
      <c r="K74" s="128"/>
      <c r="L74" s="129"/>
      <c r="M74" s="128"/>
      <c r="N74" s="129"/>
      <c r="O74" s="128"/>
      <c r="P74" s="129"/>
      <c r="Q74" s="128"/>
      <c r="R74" s="129"/>
      <c r="S74" s="128"/>
      <c r="T74" s="129"/>
      <c r="U74" s="128"/>
      <c r="V74" s="129"/>
      <c r="W74" s="128"/>
      <c r="X74" s="129"/>
      <c r="Y74" s="128"/>
      <c r="Z74" s="129"/>
      <c r="AA74" s="128"/>
      <c r="AB74" s="129"/>
      <c r="AC74" s="128"/>
      <c r="AD74" s="129"/>
      <c r="AE74" s="128"/>
      <c r="AF74" s="129"/>
      <c r="AG74" s="128"/>
      <c r="AH74" s="118"/>
    </row>
    <row r="75">
      <c r="A75" s="4">
        <v>5.0</v>
      </c>
      <c r="B75" s="4">
        <v>165.0</v>
      </c>
      <c r="C75" t="str">
        <f>'Womens Varsity Results'!F80</f>
        <v/>
      </c>
      <c r="D75">
        <f>'Womens Varsity Results'!C80</f>
        <v>6</v>
      </c>
      <c r="G75" s="130"/>
      <c r="H75" s="131"/>
      <c r="I75" s="132"/>
      <c r="J75" s="131"/>
      <c r="K75" s="132"/>
      <c r="L75" s="131"/>
      <c r="M75" s="132"/>
      <c r="N75" s="131"/>
      <c r="O75" s="132"/>
      <c r="P75" s="131"/>
      <c r="Q75" s="132"/>
      <c r="R75" s="131"/>
      <c r="S75" s="132"/>
      <c r="T75" s="131"/>
      <c r="U75" s="132"/>
      <c r="V75" s="131"/>
      <c r="W75" s="132"/>
      <c r="X75" s="131"/>
      <c r="Y75" s="132"/>
      <c r="Z75" s="131"/>
      <c r="AA75" s="132"/>
      <c r="AB75" s="131"/>
      <c r="AC75" s="132"/>
      <c r="AD75" s="131"/>
      <c r="AE75" s="132"/>
      <c r="AF75" s="131"/>
      <c r="AG75" s="132"/>
      <c r="AH75" s="133"/>
    </row>
    <row r="76">
      <c r="A76" s="4">
        <v>6.0</v>
      </c>
      <c r="B76" s="4">
        <v>165.0</v>
      </c>
      <c r="C76" t="str">
        <f>'Womens Varsity Results'!F81</f>
        <v/>
      </c>
      <c r="D76">
        <f>'Womens Varsity Results'!C81</f>
        <v>5</v>
      </c>
      <c r="G76" s="112"/>
      <c r="H76" s="129"/>
      <c r="I76" s="128"/>
      <c r="J76" s="129"/>
      <c r="K76" s="128"/>
      <c r="L76" s="129"/>
      <c r="M76" s="128"/>
      <c r="N76" s="129"/>
      <c r="O76" s="128"/>
      <c r="P76" s="129"/>
      <c r="Q76" s="128"/>
      <c r="R76" s="129"/>
      <c r="S76" s="128"/>
      <c r="T76" s="129"/>
      <c r="U76" s="128"/>
      <c r="V76" s="129"/>
      <c r="W76" s="128"/>
      <c r="X76" s="129"/>
      <c r="Y76" s="128"/>
      <c r="Z76" s="129"/>
      <c r="AA76" s="128"/>
      <c r="AB76" s="129"/>
      <c r="AC76" s="128"/>
      <c r="AD76" s="129"/>
      <c r="AE76" s="128"/>
      <c r="AF76" s="129"/>
      <c r="AG76" s="128"/>
      <c r="AH76" s="118"/>
    </row>
    <row r="77">
      <c r="A77" s="4">
        <v>7.0</v>
      </c>
      <c r="B77" s="4">
        <v>165.0</v>
      </c>
      <c r="C77" t="str">
        <f>'Womens Varsity Results'!F82</f>
        <v/>
      </c>
      <c r="D77">
        <f>'Womens Varsity Results'!C82</f>
        <v>4</v>
      </c>
      <c r="G77" s="130"/>
      <c r="H77" s="131"/>
      <c r="I77" s="132"/>
      <c r="J77" s="131"/>
      <c r="K77" s="132"/>
      <c r="L77" s="131"/>
      <c r="M77" s="132"/>
      <c r="N77" s="131"/>
      <c r="O77" s="132"/>
      <c r="P77" s="131"/>
      <c r="Q77" s="132"/>
      <c r="R77" s="131"/>
      <c r="S77" s="132"/>
      <c r="T77" s="131"/>
      <c r="U77" s="132"/>
      <c r="V77" s="131"/>
      <c r="W77" s="132"/>
      <c r="X77" s="131"/>
      <c r="Y77" s="132"/>
      <c r="Z77" s="131"/>
      <c r="AA77" s="132"/>
      <c r="AB77" s="131"/>
      <c r="AC77" s="132"/>
      <c r="AD77" s="131"/>
      <c r="AE77" s="132"/>
      <c r="AF77" s="131"/>
      <c r="AG77" s="132"/>
      <c r="AH77" s="133"/>
    </row>
    <row r="78">
      <c r="A78" s="4">
        <v>8.0</v>
      </c>
      <c r="B78" s="4">
        <v>165.0</v>
      </c>
      <c r="C78" t="str">
        <f>'Womens Varsity Results'!F83</f>
        <v/>
      </c>
      <c r="D78">
        <f>'Womens Varsity Results'!C83</f>
        <v>3</v>
      </c>
      <c r="G78" s="112"/>
      <c r="H78" s="129"/>
      <c r="I78" s="128"/>
      <c r="J78" s="129"/>
      <c r="K78" s="128"/>
      <c r="L78" s="129"/>
      <c r="M78" s="128"/>
      <c r="N78" s="129"/>
      <c r="O78" s="128"/>
      <c r="P78" s="129"/>
      <c r="Q78" s="128"/>
      <c r="R78" s="129"/>
      <c r="S78" s="128"/>
      <c r="T78" s="129"/>
      <c r="U78" s="128"/>
      <c r="V78" s="129"/>
      <c r="W78" s="128"/>
      <c r="X78" s="129"/>
      <c r="Y78" s="128"/>
      <c r="Z78" s="129"/>
      <c r="AA78" s="128"/>
      <c r="AB78" s="129"/>
      <c r="AC78" s="128"/>
      <c r="AD78" s="129"/>
      <c r="AE78" s="128"/>
      <c r="AF78" s="129"/>
      <c r="AG78" s="128"/>
      <c r="AH78" s="118"/>
    </row>
    <row r="79">
      <c r="A79" s="4">
        <v>9.0</v>
      </c>
      <c r="B79" s="4">
        <v>165.0</v>
      </c>
      <c r="C79" t="str">
        <f>'Womens Varsity Results'!F84</f>
        <v/>
      </c>
      <c r="D79">
        <f>'Womens Varsity Results'!C84</f>
        <v>2</v>
      </c>
      <c r="G79" s="130"/>
      <c r="H79" s="131"/>
      <c r="I79" s="132"/>
      <c r="J79" s="131"/>
      <c r="K79" s="132"/>
      <c r="L79" s="131"/>
      <c r="M79" s="132"/>
      <c r="N79" s="131"/>
      <c r="O79" s="132"/>
      <c r="P79" s="131"/>
      <c r="Q79" s="132"/>
      <c r="R79" s="131"/>
      <c r="S79" s="132"/>
      <c r="T79" s="131"/>
      <c r="U79" s="132"/>
      <c r="V79" s="131"/>
      <c r="W79" s="132"/>
      <c r="X79" s="131"/>
      <c r="Y79" s="132"/>
      <c r="Z79" s="131"/>
      <c r="AA79" s="132"/>
      <c r="AB79" s="131"/>
      <c r="AC79" s="132"/>
      <c r="AD79" s="131"/>
      <c r="AE79" s="132"/>
      <c r="AF79" s="131"/>
      <c r="AG79" s="132"/>
      <c r="AH79" s="133"/>
    </row>
    <row r="80">
      <c r="A80" s="4">
        <v>10.0</v>
      </c>
      <c r="B80" s="4">
        <v>165.0</v>
      </c>
      <c r="C80" t="str">
        <f>'Womens Varsity Results'!F85</f>
        <v/>
      </c>
      <c r="D80">
        <f>'Womens Varsity Results'!C85</f>
        <v>1</v>
      </c>
      <c r="G80" s="112"/>
      <c r="H80" s="129"/>
      <c r="I80" s="128"/>
      <c r="J80" s="129"/>
      <c r="K80" s="128"/>
      <c r="L80" s="129"/>
      <c r="M80" s="128"/>
      <c r="N80" s="129"/>
      <c r="O80" s="128"/>
      <c r="P80" s="129"/>
      <c r="Q80" s="128"/>
      <c r="R80" s="129"/>
      <c r="S80" s="128"/>
      <c r="T80" s="129"/>
      <c r="U80" s="128"/>
      <c r="V80" s="129"/>
      <c r="W80" s="128"/>
      <c r="X80" s="129"/>
      <c r="Y80" s="128"/>
      <c r="Z80" s="129"/>
      <c r="AA80" s="128"/>
      <c r="AB80" s="129"/>
      <c r="AC80" s="128"/>
      <c r="AD80" s="129"/>
      <c r="AE80" s="128"/>
      <c r="AF80" s="129"/>
      <c r="AG80" s="128"/>
      <c r="AH80" s="118"/>
    </row>
    <row r="81">
      <c r="A81" s="4">
        <v>1.0</v>
      </c>
      <c r="B81" s="4">
        <v>181.0</v>
      </c>
      <c r="C81" t="str">
        <f>'Womens Varsity Results'!F86</f>
        <v/>
      </c>
      <c r="D81">
        <f>'Womens Varsity Results'!C86</f>
        <v>12</v>
      </c>
      <c r="G81" s="130"/>
      <c r="H81" s="131"/>
      <c r="I81" s="132"/>
      <c r="J81" s="131"/>
      <c r="K81" s="132"/>
      <c r="L81" s="131"/>
      <c r="M81" s="132"/>
      <c r="N81" s="131"/>
      <c r="O81" s="132"/>
      <c r="P81" s="131"/>
      <c r="Q81" s="132"/>
      <c r="R81" s="131"/>
      <c r="S81" s="132"/>
      <c r="T81" s="131"/>
      <c r="U81" s="132"/>
      <c r="V81" s="131"/>
      <c r="W81" s="132"/>
      <c r="X81" s="131"/>
      <c r="Y81" s="132"/>
      <c r="Z81" s="131"/>
      <c r="AA81" s="132"/>
      <c r="AB81" s="131"/>
      <c r="AC81" s="132"/>
      <c r="AD81" s="131"/>
      <c r="AE81" s="132"/>
      <c r="AF81" s="131"/>
      <c r="AG81" s="132"/>
      <c r="AH81" s="133"/>
    </row>
    <row r="82">
      <c r="A82" s="4">
        <v>2.0</v>
      </c>
      <c r="B82" s="4">
        <v>181.0</v>
      </c>
      <c r="C82" t="str">
        <f>'Womens Varsity Results'!F87</f>
        <v/>
      </c>
      <c r="D82">
        <f>'Womens Varsity Results'!C87</f>
        <v>9</v>
      </c>
      <c r="G82" s="112"/>
      <c r="H82" s="129"/>
      <c r="I82" s="128"/>
      <c r="J82" s="129"/>
      <c r="K82" s="128"/>
      <c r="L82" s="129"/>
      <c r="M82" s="128"/>
      <c r="N82" s="129"/>
      <c r="O82" s="128"/>
      <c r="P82" s="129"/>
      <c r="Q82" s="128"/>
      <c r="R82" s="129"/>
      <c r="S82" s="128"/>
      <c r="T82" s="129"/>
      <c r="U82" s="128"/>
      <c r="V82" s="129"/>
      <c r="W82" s="128"/>
      <c r="X82" s="129"/>
      <c r="Y82" s="128"/>
      <c r="Z82" s="129"/>
      <c r="AA82" s="128"/>
      <c r="AB82" s="129"/>
      <c r="AC82" s="128"/>
      <c r="AD82" s="129"/>
      <c r="AE82" s="128"/>
      <c r="AF82" s="129"/>
      <c r="AG82" s="128"/>
      <c r="AH82" s="118"/>
    </row>
    <row r="83">
      <c r="A83" s="4">
        <v>3.0</v>
      </c>
      <c r="B83" s="4">
        <v>181.0</v>
      </c>
      <c r="C83" t="str">
        <f>'Womens Varsity Results'!F88</f>
        <v/>
      </c>
      <c r="D83">
        <f>'Womens Varsity Results'!C88</f>
        <v>8</v>
      </c>
      <c r="G83" s="130"/>
      <c r="H83" s="131"/>
      <c r="I83" s="132"/>
      <c r="J83" s="131"/>
      <c r="K83" s="132"/>
      <c r="L83" s="131"/>
      <c r="M83" s="132"/>
      <c r="N83" s="131"/>
      <c r="O83" s="132"/>
      <c r="P83" s="131"/>
      <c r="Q83" s="132"/>
      <c r="R83" s="131"/>
      <c r="S83" s="132"/>
      <c r="T83" s="131"/>
      <c r="U83" s="132"/>
      <c r="V83" s="131"/>
      <c r="W83" s="132"/>
      <c r="X83" s="131"/>
      <c r="Y83" s="132"/>
      <c r="Z83" s="131"/>
      <c r="AA83" s="132"/>
      <c r="AB83" s="131"/>
      <c r="AC83" s="132"/>
      <c r="AD83" s="131"/>
      <c r="AE83" s="132"/>
      <c r="AF83" s="131"/>
      <c r="AG83" s="132"/>
      <c r="AH83" s="133"/>
    </row>
    <row r="84">
      <c r="A84" s="4">
        <v>4.0</v>
      </c>
      <c r="B84" s="4">
        <v>181.0</v>
      </c>
      <c r="C84" t="str">
        <f>'Womens Varsity Results'!F89</f>
        <v/>
      </c>
      <c r="D84">
        <f>'Womens Varsity Results'!C89</f>
        <v>7</v>
      </c>
      <c r="G84" s="112"/>
      <c r="H84" s="129"/>
      <c r="I84" s="128"/>
      <c r="J84" s="129"/>
      <c r="K84" s="128"/>
      <c r="L84" s="129"/>
      <c r="M84" s="128"/>
      <c r="N84" s="129"/>
      <c r="O84" s="128"/>
      <c r="P84" s="129"/>
      <c r="Q84" s="128"/>
      <c r="R84" s="129"/>
      <c r="S84" s="128"/>
      <c r="T84" s="129"/>
      <c r="U84" s="128"/>
      <c r="V84" s="129"/>
      <c r="W84" s="128"/>
      <c r="X84" s="129"/>
      <c r="Y84" s="128"/>
      <c r="Z84" s="129"/>
      <c r="AA84" s="128"/>
      <c r="AB84" s="129"/>
      <c r="AC84" s="128"/>
      <c r="AD84" s="129"/>
      <c r="AE84" s="128"/>
      <c r="AF84" s="129"/>
      <c r="AG84" s="128"/>
      <c r="AH84" s="118"/>
    </row>
    <row r="85">
      <c r="A85" s="4">
        <v>5.0</v>
      </c>
      <c r="B85" s="4">
        <v>181.0</v>
      </c>
      <c r="C85" t="str">
        <f>'Womens Varsity Results'!F90</f>
        <v/>
      </c>
      <c r="D85">
        <f>'Womens Varsity Results'!C90</f>
        <v>6</v>
      </c>
      <c r="G85" s="130"/>
      <c r="H85" s="131"/>
      <c r="I85" s="132"/>
      <c r="J85" s="131"/>
      <c r="K85" s="132"/>
      <c r="L85" s="131"/>
      <c r="M85" s="132"/>
      <c r="N85" s="131"/>
      <c r="O85" s="132"/>
      <c r="P85" s="131"/>
      <c r="Q85" s="132"/>
      <c r="R85" s="131"/>
      <c r="S85" s="132"/>
      <c r="T85" s="131"/>
      <c r="U85" s="132"/>
      <c r="V85" s="131"/>
      <c r="W85" s="132"/>
      <c r="X85" s="131"/>
      <c r="Y85" s="132"/>
      <c r="Z85" s="131"/>
      <c r="AA85" s="132"/>
      <c r="AB85" s="131"/>
      <c r="AC85" s="132"/>
      <c r="AD85" s="131"/>
      <c r="AE85" s="132"/>
      <c r="AF85" s="131"/>
      <c r="AG85" s="132"/>
      <c r="AH85" s="133"/>
    </row>
    <row r="86">
      <c r="A86" s="4">
        <v>6.0</v>
      </c>
      <c r="B86" s="4">
        <v>181.0</v>
      </c>
      <c r="C86" t="str">
        <f>'Womens Varsity Results'!F91</f>
        <v/>
      </c>
      <c r="D86">
        <f>'Womens Varsity Results'!C91</f>
        <v>5</v>
      </c>
      <c r="G86" s="112"/>
      <c r="H86" s="129"/>
      <c r="I86" s="128"/>
      <c r="J86" s="129"/>
      <c r="K86" s="128"/>
      <c r="L86" s="129"/>
      <c r="M86" s="128"/>
      <c r="N86" s="129"/>
      <c r="O86" s="128"/>
      <c r="P86" s="129"/>
      <c r="Q86" s="128"/>
      <c r="R86" s="129"/>
      <c r="S86" s="128"/>
      <c r="T86" s="129"/>
      <c r="U86" s="128"/>
      <c r="V86" s="129"/>
      <c r="W86" s="128"/>
      <c r="X86" s="129"/>
      <c r="Y86" s="128"/>
      <c r="Z86" s="129"/>
      <c r="AA86" s="128"/>
      <c r="AB86" s="129"/>
      <c r="AC86" s="128"/>
      <c r="AD86" s="129"/>
      <c r="AE86" s="128"/>
      <c r="AF86" s="129"/>
      <c r="AG86" s="128"/>
      <c r="AH86" s="118"/>
    </row>
    <row r="87">
      <c r="A87" s="4">
        <v>7.0</v>
      </c>
      <c r="B87" s="4">
        <v>181.0</v>
      </c>
      <c r="C87" t="str">
        <f>'Womens Varsity Results'!F92</f>
        <v/>
      </c>
      <c r="D87">
        <f>'Womens Varsity Results'!C92</f>
        <v>4</v>
      </c>
      <c r="G87" s="130"/>
      <c r="H87" s="131"/>
      <c r="I87" s="132"/>
      <c r="J87" s="131"/>
      <c r="K87" s="132"/>
      <c r="L87" s="131"/>
      <c r="M87" s="132"/>
      <c r="N87" s="131"/>
      <c r="O87" s="132"/>
      <c r="P87" s="131"/>
      <c r="Q87" s="132"/>
      <c r="R87" s="131"/>
      <c r="S87" s="132"/>
      <c r="T87" s="131"/>
      <c r="U87" s="132"/>
      <c r="V87" s="131"/>
      <c r="W87" s="132"/>
      <c r="X87" s="131"/>
      <c r="Y87" s="132"/>
      <c r="Z87" s="131"/>
      <c r="AA87" s="132"/>
      <c r="AB87" s="131"/>
      <c r="AC87" s="132"/>
      <c r="AD87" s="131"/>
      <c r="AE87" s="132"/>
      <c r="AF87" s="131"/>
      <c r="AG87" s="132"/>
      <c r="AH87" s="133"/>
    </row>
    <row r="88">
      <c r="A88" s="4">
        <v>8.0</v>
      </c>
      <c r="B88" s="4">
        <v>181.0</v>
      </c>
      <c r="C88" t="str">
        <f>'Womens Varsity Results'!F93</f>
        <v/>
      </c>
      <c r="D88">
        <f>'Womens Varsity Results'!C93</f>
        <v>3</v>
      </c>
      <c r="G88" s="112"/>
      <c r="H88" s="129"/>
      <c r="I88" s="128"/>
      <c r="J88" s="129"/>
      <c r="K88" s="128"/>
      <c r="L88" s="129"/>
      <c r="M88" s="128"/>
      <c r="N88" s="129"/>
      <c r="O88" s="128"/>
      <c r="P88" s="129"/>
      <c r="Q88" s="128"/>
      <c r="R88" s="129"/>
      <c r="S88" s="128"/>
      <c r="T88" s="129"/>
      <c r="U88" s="128"/>
      <c r="V88" s="129"/>
      <c r="W88" s="128"/>
      <c r="X88" s="129"/>
      <c r="Y88" s="128"/>
      <c r="Z88" s="129"/>
      <c r="AA88" s="128"/>
      <c r="AB88" s="129"/>
      <c r="AC88" s="128"/>
      <c r="AD88" s="129"/>
      <c r="AE88" s="128"/>
      <c r="AF88" s="129"/>
      <c r="AG88" s="128"/>
      <c r="AH88" s="118"/>
    </row>
    <row r="89">
      <c r="A89" s="4">
        <v>9.0</v>
      </c>
      <c r="B89" s="4">
        <v>181.0</v>
      </c>
      <c r="C89" t="str">
        <f>'Womens Varsity Results'!F94</f>
        <v/>
      </c>
      <c r="D89">
        <f>'Womens Varsity Results'!C94</f>
        <v>2</v>
      </c>
      <c r="G89" s="130"/>
      <c r="H89" s="131"/>
      <c r="I89" s="132"/>
      <c r="J89" s="131"/>
      <c r="K89" s="132"/>
      <c r="L89" s="131"/>
      <c r="M89" s="132"/>
      <c r="N89" s="131"/>
      <c r="O89" s="132"/>
      <c r="P89" s="131"/>
      <c r="Q89" s="132"/>
      <c r="R89" s="131"/>
      <c r="S89" s="132"/>
      <c r="T89" s="131"/>
      <c r="U89" s="132"/>
      <c r="V89" s="131"/>
      <c r="W89" s="132"/>
      <c r="X89" s="131"/>
      <c r="Y89" s="132"/>
      <c r="Z89" s="131"/>
      <c r="AA89" s="132"/>
      <c r="AB89" s="131"/>
      <c r="AC89" s="132"/>
      <c r="AD89" s="131"/>
      <c r="AE89" s="132"/>
      <c r="AF89" s="131"/>
      <c r="AG89" s="132"/>
      <c r="AH89" s="133"/>
    </row>
    <row r="90">
      <c r="A90" s="4">
        <v>10.0</v>
      </c>
      <c r="B90" s="4">
        <v>181.0</v>
      </c>
      <c r="C90" t="str">
        <f>'Womens Varsity Results'!F95</f>
        <v/>
      </c>
      <c r="D90">
        <f>'Womens Varsity Results'!C95</f>
        <v>1</v>
      </c>
      <c r="G90" s="112"/>
      <c r="H90" s="129"/>
      <c r="I90" s="128"/>
      <c r="J90" s="129"/>
      <c r="K90" s="128"/>
      <c r="L90" s="129"/>
      <c r="M90" s="128"/>
      <c r="N90" s="129"/>
      <c r="O90" s="128"/>
      <c r="P90" s="129"/>
      <c r="Q90" s="128"/>
      <c r="R90" s="129"/>
      <c r="S90" s="128"/>
      <c r="T90" s="129"/>
      <c r="U90" s="128"/>
      <c r="V90" s="129"/>
      <c r="W90" s="128"/>
      <c r="X90" s="129"/>
      <c r="Y90" s="128"/>
      <c r="Z90" s="129"/>
      <c r="AA90" s="128"/>
      <c r="AB90" s="129"/>
      <c r="AC90" s="128"/>
      <c r="AD90" s="129"/>
      <c r="AE90" s="128"/>
      <c r="AF90" s="129"/>
      <c r="AG90" s="128"/>
      <c r="AH90" s="118"/>
    </row>
    <row r="91">
      <c r="A91" s="4">
        <v>1.0</v>
      </c>
      <c r="B91" s="4">
        <v>198.0</v>
      </c>
      <c r="C91" t="str">
        <f>'Womens Varsity Results'!F96</f>
        <v/>
      </c>
      <c r="D91">
        <f>'Womens Varsity Results'!C96</f>
        <v>12</v>
      </c>
      <c r="G91" s="130"/>
      <c r="H91" s="131"/>
      <c r="I91" s="132"/>
      <c r="J91" s="131"/>
      <c r="K91" s="132"/>
      <c r="L91" s="131"/>
      <c r="M91" s="132"/>
      <c r="N91" s="131"/>
      <c r="O91" s="132"/>
      <c r="P91" s="131"/>
      <c r="Q91" s="132"/>
      <c r="R91" s="131"/>
      <c r="S91" s="132"/>
      <c r="T91" s="131"/>
      <c r="U91" s="132"/>
      <c r="V91" s="131"/>
      <c r="W91" s="132"/>
      <c r="X91" s="131"/>
      <c r="Y91" s="132"/>
      <c r="Z91" s="131"/>
      <c r="AA91" s="132"/>
      <c r="AB91" s="131"/>
      <c r="AC91" s="132"/>
      <c r="AD91" s="131"/>
      <c r="AE91" s="132"/>
      <c r="AF91" s="131"/>
      <c r="AG91" s="132"/>
      <c r="AH91" s="133"/>
    </row>
    <row r="92">
      <c r="A92" s="4">
        <v>2.0</v>
      </c>
      <c r="B92" s="4">
        <v>198.0</v>
      </c>
      <c r="C92" t="str">
        <f>'Womens Varsity Results'!F97</f>
        <v/>
      </c>
      <c r="D92">
        <f>'Womens Varsity Results'!C97</f>
        <v>9</v>
      </c>
      <c r="G92" s="112"/>
      <c r="H92" s="129"/>
      <c r="I92" s="128"/>
      <c r="J92" s="129"/>
      <c r="K92" s="128"/>
      <c r="L92" s="129"/>
      <c r="M92" s="128"/>
      <c r="N92" s="129"/>
      <c r="O92" s="128"/>
      <c r="P92" s="129"/>
      <c r="Q92" s="128"/>
      <c r="R92" s="129"/>
      <c r="S92" s="128"/>
      <c r="T92" s="129"/>
      <c r="U92" s="128"/>
      <c r="V92" s="129"/>
      <c r="W92" s="128"/>
      <c r="X92" s="129"/>
      <c r="Y92" s="128"/>
      <c r="Z92" s="129"/>
      <c r="AA92" s="128"/>
      <c r="AB92" s="129"/>
      <c r="AC92" s="128"/>
      <c r="AD92" s="129"/>
      <c r="AE92" s="128"/>
      <c r="AF92" s="129"/>
      <c r="AG92" s="128"/>
      <c r="AH92" s="118"/>
    </row>
    <row r="93">
      <c r="A93" s="4">
        <v>3.0</v>
      </c>
      <c r="B93" s="4">
        <v>198.0</v>
      </c>
      <c r="C93" t="str">
        <f>'Womens Varsity Results'!F98</f>
        <v/>
      </c>
      <c r="D93">
        <f>'Womens Varsity Results'!C98</f>
        <v>8</v>
      </c>
      <c r="G93" s="130"/>
      <c r="H93" s="131"/>
      <c r="I93" s="132"/>
      <c r="J93" s="131"/>
      <c r="K93" s="132"/>
      <c r="L93" s="131"/>
      <c r="M93" s="132"/>
      <c r="N93" s="131"/>
      <c r="O93" s="132"/>
      <c r="P93" s="131"/>
      <c r="Q93" s="132"/>
      <c r="R93" s="131"/>
      <c r="S93" s="132"/>
      <c r="T93" s="131"/>
      <c r="U93" s="132"/>
      <c r="V93" s="131"/>
      <c r="W93" s="132"/>
      <c r="X93" s="131"/>
      <c r="Y93" s="132"/>
      <c r="Z93" s="131"/>
      <c r="AA93" s="132"/>
      <c r="AB93" s="131"/>
      <c r="AC93" s="132"/>
      <c r="AD93" s="131"/>
      <c r="AE93" s="132"/>
      <c r="AF93" s="131"/>
      <c r="AG93" s="132"/>
      <c r="AH93" s="133"/>
    </row>
    <row r="94">
      <c r="A94" s="4">
        <v>4.0</v>
      </c>
      <c r="B94" s="4">
        <v>198.0</v>
      </c>
      <c r="C94" t="str">
        <f>'Womens Varsity Results'!F99</f>
        <v/>
      </c>
      <c r="D94">
        <f>'Womens Varsity Results'!C99</f>
        <v>7</v>
      </c>
      <c r="G94" s="112"/>
      <c r="H94" s="129"/>
      <c r="I94" s="128"/>
      <c r="J94" s="129"/>
      <c r="K94" s="128"/>
      <c r="L94" s="129"/>
      <c r="M94" s="128"/>
      <c r="N94" s="129"/>
      <c r="O94" s="128"/>
      <c r="P94" s="129"/>
      <c r="Q94" s="128"/>
      <c r="R94" s="129"/>
      <c r="S94" s="128"/>
      <c r="T94" s="129"/>
      <c r="U94" s="128"/>
      <c r="V94" s="129"/>
      <c r="W94" s="128"/>
      <c r="X94" s="129"/>
      <c r="Y94" s="128"/>
      <c r="Z94" s="129"/>
      <c r="AA94" s="128"/>
      <c r="AB94" s="129"/>
      <c r="AC94" s="128"/>
      <c r="AD94" s="129"/>
      <c r="AE94" s="128"/>
      <c r="AF94" s="129"/>
      <c r="AG94" s="128"/>
      <c r="AH94" s="118"/>
    </row>
    <row r="95">
      <c r="A95" s="4">
        <v>5.0</v>
      </c>
      <c r="B95" s="4">
        <v>198.0</v>
      </c>
      <c r="C95" t="str">
        <f>'Womens Varsity Results'!F100</f>
        <v/>
      </c>
      <c r="D95">
        <f>'Womens Varsity Results'!C100</f>
        <v>6</v>
      </c>
      <c r="G95" s="130"/>
      <c r="H95" s="131"/>
      <c r="I95" s="132"/>
      <c r="J95" s="131"/>
      <c r="K95" s="132"/>
      <c r="L95" s="131"/>
      <c r="M95" s="132"/>
      <c r="N95" s="131"/>
      <c r="O95" s="132"/>
      <c r="P95" s="131"/>
      <c r="Q95" s="132"/>
      <c r="R95" s="131"/>
      <c r="S95" s="132"/>
      <c r="T95" s="131"/>
      <c r="U95" s="132"/>
      <c r="V95" s="131"/>
      <c r="W95" s="132"/>
      <c r="X95" s="131"/>
      <c r="Y95" s="132"/>
      <c r="Z95" s="131"/>
      <c r="AA95" s="132"/>
      <c r="AB95" s="131"/>
      <c r="AC95" s="132"/>
      <c r="AD95" s="131"/>
      <c r="AE95" s="132"/>
      <c r="AF95" s="131"/>
      <c r="AG95" s="132"/>
      <c r="AH95" s="133"/>
    </row>
    <row r="96">
      <c r="A96" s="4">
        <v>6.0</v>
      </c>
      <c r="B96" s="4">
        <v>198.0</v>
      </c>
      <c r="C96" t="str">
        <f>'Womens Varsity Results'!F101</f>
        <v/>
      </c>
      <c r="D96">
        <f>'Womens Varsity Results'!C101</f>
        <v>5</v>
      </c>
      <c r="G96" s="112"/>
      <c r="H96" s="129"/>
      <c r="I96" s="128"/>
      <c r="J96" s="129"/>
      <c r="K96" s="128"/>
      <c r="L96" s="129"/>
      <c r="M96" s="128"/>
      <c r="N96" s="129"/>
      <c r="O96" s="128"/>
      <c r="P96" s="129"/>
      <c r="Q96" s="128"/>
      <c r="R96" s="129"/>
      <c r="S96" s="128"/>
      <c r="T96" s="129"/>
      <c r="U96" s="128"/>
      <c r="V96" s="129"/>
      <c r="W96" s="128"/>
      <c r="X96" s="129"/>
      <c r="Y96" s="128"/>
      <c r="Z96" s="129"/>
      <c r="AA96" s="128"/>
      <c r="AB96" s="129"/>
      <c r="AC96" s="128"/>
      <c r="AD96" s="129"/>
      <c r="AE96" s="128"/>
      <c r="AF96" s="129"/>
      <c r="AG96" s="128"/>
      <c r="AH96" s="118"/>
    </row>
    <row r="97">
      <c r="A97" s="4">
        <v>7.0</v>
      </c>
      <c r="B97" s="4">
        <v>198.0</v>
      </c>
      <c r="C97" t="str">
        <f>'Womens Varsity Results'!F102</f>
        <v/>
      </c>
      <c r="D97">
        <f>'Womens Varsity Results'!C102</f>
        <v>4</v>
      </c>
      <c r="G97" s="130"/>
      <c r="H97" s="131"/>
      <c r="I97" s="132"/>
      <c r="J97" s="131"/>
      <c r="K97" s="132"/>
      <c r="L97" s="131"/>
      <c r="M97" s="132"/>
      <c r="N97" s="131"/>
      <c r="O97" s="132"/>
      <c r="P97" s="131"/>
      <c r="Q97" s="132"/>
      <c r="R97" s="131"/>
      <c r="S97" s="132"/>
      <c r="T97" s="131"/>
      <c r="U97" s="132"/>
      <c r="V97" s="131"/>
      <c r="W97" s="132"/>
      <c r="X97" s="131"/>
      <c r="Y97" s="132"/>
      <c r="Z97" s="131"/>
      <c r="AA97" s="132"/>
      <c r="AB97" s="131"/>
      <c r="AC97" s="132"/>
      <c r="AD97" s="131"/>
      <c r="AE97" s="132"/>
      <c r="AF97" s="131"/>
      <c r="AG97" s="132"/>
      <c r="AH97" s="133"/>
    </row>
    <row r="98">
      <c r="A98" s="4">
        <v>8.0</v>
      </c>
      <c r="B98" s="4">
        <v>198.0</v>
      </c>
      <c r="C98" t="str">
        <f>'Womens Varsity Results'!F103</f>
        <v/>
      </c>
      <c r="D98">
        <f>'Womens Varsity Results'!C103</f>
        <v>3</v>
      </c>
      <c r="G98" s="112"/>
      <c r="H98" s="129"/>
      <c r="I98" s="128"/>
      <c r="J98" s="129"/>
      <c r="K98" s="128"/>
      <c r="L98" s="129"/>
      <c r="M98" s="128"/>
      <c r="N98" s="129"/>
      <c r="O98" s="128"/>
      <c r="P98" s="129"/>
      <c r="Q98" s="128"/>
      <c r="R98" s="129"/>
      <c r="S98" s="128"/>
      <c r="T98" s="129"/>
      <c r="U98" s="128"/>
      <c r="V98" s="129"/>
      <c r="W98" s="128"/>
      <c r="X98" s="129"/>
      <c r="Y98" s="128"/>
      <c r="Z98" s="129"/>
      <c r="AA98" s="128"/>
      <c r="AB98" s="129"/>
      <c r="AC98" s="128"/>
      <c r="AD98" s="129"/>
      <c r="AE98" s="128"/>
      <c r="AF98" s="129"/>
      <c r="AG98" s="128"/>
      <c r="AH98" s="118"/>
    </row>
    <row r="99">
      <c r="A99" s="4">
        <v>9.0</v>
      </c>
      <c r="B99" s="4">
        <v>198.0</v>
      </c>
      <c r="C99" t="str">
        <f>'Womens Varsity Results'!F104</f>
        <v/>
      </c>
      <c r="D99">
        <f>'Womens Varsity Results'!C104</f>
        <v>2</v>
      </c>
      <c r="G99" s="130"/>
      <c r="H99" s="131"/>
      <c r="I99" s="132"/>
      <c r="J99" s="131"/>
      <c r="K99" s="132"/>
      <c r="L99" s="131"/>
      <c r="M99" s="132"/>
      <c r="N99" s="131"/>
      <c r="O99" s="132"/>
      <c r="P99" s="131"/>
      <c r="Q99" s="132"/>
      <c r="R99" s="131"/>
      <c r="S99" s="132"/>
      <c r="T99" s="131"/>
      <c r="U99" s="132"/>
      <c r="V99" s="131"/>
      <c r="W99" s="132"/>
      <c r="X99" s="131"/>
      <c r="Y99" s="132"/>
      <c r="Z99" s="131"/>
      <c r="AA99" s="132"/>
      <c r="AB99" s="131"/>
      <c r="AC99" s="132"/>
      <c r="AD99" s="131"/>
      <c r="AE99" s="132"/>
      <c r="AF99" s="131"/>
      <c r="AG99" s="132"/>
      <c r="AH99" s="133"/>
    </row>
    <row r="100">
      <c r="A100" s="4">
        <v>10.0</v>
      </c>
      <c r="B100" s="4">
        <v>198.0</v>
      </c>
      <c r="C100" t="str">
        <f>'Womens Varsity Results'!F105</f>
        <v/>
      </c>
      <c r="D100">
        <f>'Womens Varsity Results'!C105</f>
        <v>1</v>
      </c>
      <c r="G100" s="112"/>
      <c r="H100" s="129"/>
      <c r="I100" s="128"/>
      <c r="J100" s="129"/>
      <c r="K100" s="128"/>
      <c r="L100" s="129"/>
      <c r="M100" s="128"/>
      <c r="N100" s="129"/>
      <c r="O100" s="128"/>
      <c r="P100" s="129"/>
      <c r="Q100" s="128"/>
      <c r="R100" s="129"/>
      <c r="S100" s="128"/>
      <c r="T100" s="129"/>
      <c r="U100" s="128"/>
      <c r="V100" s="129"/>
      <c r="W100" s="128"/>
      <c r="X100" s="129"/>
      <c r="Y100" s="128"/>
      <c r="Z100" s="129"/>
      <c r="AA100" s="128"/>
      <c r="AB100" s="129"/>
      <c r="AC100" s="128"/>
      <c r="AD100" s="129"/>
      <c r="AE100" s="128"/>
      <c r="AF100" s="129"/>
      <c r="AG100" s="128"/>
      <c r="AH100" s="118"/>
    </row>
    <row r="101">
      <c r="A101" s="4">
        <v>1.0</v>
      </c>
      <c r="B101" s="4">
        <v>220.0</v>
      </c>
      <c r="C101" t="str">
        <f>'Womens Varsity Results'!F106</f>
        <v/>
      </c>
      <c r="D101">
        <f>'Womens Varsity Results'!C106</f>
        <v>12</v>
      </c>
      <c r="G101" s="130"/>
      <c r="H101" s="131"/>
      <c r="I101" s="132"/>
      <c r="J101" s="131"/>
      <c r="K101" s="132"/>
      <c r="L101" s="131"/>
      <c r="M101" s="132"/>
      <c r="N101" s="131"/>
      <c r="O101" s="132"/>
      <c r="P101" s="131"/>
      <c r="Q101" s="132"/>
      <c r="R101" s="131"/>
      <c r="S101" s="132"/>
      <c r="T101" s="131"/>
      <c r="U101" s="132"/>
      <c r="V101" s="131"/>
      <c r="W101" s="132"/>
      <c r="X101" s="131"/>
      <c r="Y101" s="132"/>
      <c r="Z101" s="131"/>
      <c r="AA101" s="132"/>
      <c r="AB101" s="131"/>
      <c r="AC101" s="132"/>
      <c r="AD101" s="131"/>
      <c r="AE101" s="132"/>
      <c r="AF101" s="131"/>
      <c r="AG101" s="132"/>
      <c r="AH101" s="133"/>
    </row>
    <row r="102">
      <c r="A102" s="4">
        <v>2.0</v>
      </c>
      <c r="B102" s="4">
        <v>220.0</v>
      </c>
      <c r="C102" t="str">
        <f>'Womens Varsity Results'!F107</f>
        <v/>
      </c>
      <c r="D102">
        <f>'Womens Varsity Results'!C107</f>
        <v>9</v>
      </c>
      <c r="G102" s="112"/>
      <c r="H102" s="129"/>
      <c r="I102" s="128"/>
      <c r="J102" s="129"/>
      <c r="K102" s="128"/>
      <c r="L102" s="129"/>
      <c r="M102" s="128"/>
      <c r="N102" s="129"/>
      <c r="O102" s="128"/>
      <c r="P102" s="129"/>
      <c r="Q102" s="128"/>
      <c r="R102" s="129"/>
      <c r="S102" s="128"/>
      <c r="T102" s="129"/>
      <c r="U102" s="128"/>
      <c r="V102" s="129"/>
      <c r="W102" s="128"/>
      <c r="X102" s="129"/>
      <c r="Y102" s="128"/>
      <c r="Z102" s="129"/>
      <c r="AA102" s="128"/>
      <c r="AB102" s="129"/>
      <c r="AC102" s="128"/>
      <c r="AD102" s="129"/>
      <c r="AE102" s="128"/>
      <c r="AF102" s="129"/>
      <c r="AG102" s="128"/>
      <c r="AH102" s="118"/>
    </row>
    <row r="103">
      <c r="A103" s="4">
        <v>3.0</v>
      </c>
      <c r="B103" s="4">
        <v>220.0</v>
      </c>
      <c r="C103" t="str">
        <f>'Womens Varsity Results'!F108</f>
        <v/>
      </c>
      <c r="D103">
        <f>'Womens Varsity Results'!C108</f>
        <v>8</v>
      </c>
      <c r="G103" s="130"/>
      <c r="H103" s="131"/>
      <c r="I103" s="132"/>
      <c r="J103" s="131"/>
      <c r="K103" s="132"/>
      <c r="L103" s="131"/>
      <c r="M103" s="132"/>
      <c r="N103" s="131"/>
      <c r="O103" s="132"/>
      <c r="P103" s="131"/>
      <c r="Q103" s="132"/>
      <c r="R103" s="131"/>
      <c r="S103" s="132"/>
      <c r="T103" s="131"/>
      <c r="U103" s="132"/>
      <c r="V103" s="131"/>
      <c r="W103" s="132"/>
      <c r="X103" s="131"/>
      <c r="Y103" s="132"/>
      <c r="Z103" s="131"/>
      <c r="AA103" s="132"/>
      <c r="AB103" s="131"/>
      <c r="AC103" s="132"/>
      <c r="AD103" s="131"/>
      <c r="AE103" s="132"/>
      <c r="AF103" s="131"/>
      <c r="AG103" s="132"/>
      <c r="AH103" s="133"/>
    </row>
    <row r="104">
      <c r="A104" s="4">
        <v>4.0</v>
      </c>
      <c r="B104" s="4">
        <v>220.0</v>
      </c>
      <c r="C104" t="str">
        <f>'Womens Varsity Results'!F109</f>
        <v/>
      </c>
      <c r="D104">
        <f>'Womens Varsity Results'!C109</f>
        <v>7</v>
      </c>
      <c r="G104" s="112"/>
      <c r="H104" s="129"/>
      <c r="I104" s="128"/>
      <c r="J104" s="129"/>
      <c r="K104" s="128"/>
      <c r="L104" s="129"/>
      <c r="M104" s="128"/>
      <c r="N104" s="129"/>
      <c r="O104" s="128"/>
      <c r="P104" s="129"/>
      <c r="Q104" s="128"/>
      <c r="R104" s="129"/>
      <c r="S104" s="128"/>
      <c r="T104" s="129"/>
      <c r="U104" s="128"/>
      <c r="V104" s="129"/>
      <c r="W104" s="128"/>
      <c r="X104" s="129"/>
      <c r="Y104" s="128"/>
      <c r="Z104" s="129"/>
      <c r="AA104" s="128"/>
      <c r="AB104" s="129"/>
      <c r="AC104" s="128"/>
      <c r="AD104" s="129"/>
      <c r="AE104" s="128"/>
      <c r="AF104" s="129"/>
      <c r="AG104" s="128"/>
      <c r="AH104" s="118"/>
    </row>
    <row r="105">
      <c r="A105" s="4">
        <v>5.0</v>
      </c>
      <c r="B105" s="4">
        <v>220.0</v>
      </c>
      <c r="C105" t="str">
        <f>'Womens Varsity Results'!F110</f>
        <v/>
      </c>
      <c r="D105">
        <f>'Womens Varsity Results'!C110</f>
        <v>6</v>
      </c>
      <c r="G105" s="130"/>
      <c r="H105" s="131"/>
      <c r="I105" s="132"/>
      <c r="J105" s="131"/>
      <c r="K105" s="132"/>
      <c r="L105" s="131"/>
      <c r="M105" s="132"/>
      <c r="N105" s="131"/>
      <c r="O105" s="132"/>
      <c r="P105" s="131"/>
      <c r="Q105" s="132"/>
      <c r="R105" s="131"/>
      <c r="S105" s="132"/>
      <c r="T105" s="131"/>
      <c r="U105" s="132"/>
      <c r="V105" s="131"/>
      <c r="W105" s="132"/>
      <c r="X105" s="131"/>
      <c r="Y105" s="132"/>
      <c r="Z105" s="131"/>
      <c r="AA105" s="132"/>
      <c r="AB105" s="131"/>
      <c r="AC105" s="132"/>
      <c r="AD105" s="131"/>
      <c r="AE105" s="132"/>
      <c r="AF105" s="131"/>
      <c r="AG105" s="132"/>
      <c r="AH105" s="133"/>
    </row>
    <row r="106">
      <c r="A106" s="4">
        <v>6.0</v>
      </c>
      <c r="B106" s="4">
        <v>220.0</v>
      </c>
      <c r="C106" t="str">
        <f>'Womens Varsity Results'!F111</f>
        <v/>
      </c>
      <c r="D106">
        <f>'Womens Varsity Results'!C111</f>
        <v>5</v>
      </c>
      <c r="G106" s="112"/>
      <c r="H106" s="129"/>
      <c r="I106" s="128"/>
      <c r="J106" s="129"/>
      <c r="K106" s="128"/>
      <c r="L106" s="129"/>
      <c r="M106" s="128"/>
      <c r="N106" s="129"/>
      <c r="O106" s="128"/>
      <c r="P106" s="129"/>
      <c r="Q106" s="128"/>
      <c r="R106" s="129"/>
      <c r="S106" s="128"/>
      <c r="T106" s="129"/>
      <c r="U106" s="128"/>
      <c r="V106" s="129"/>
      <c r="W106" s="128"/>
      <c r="X106" s="129"/>
      <c r="Y106" s="128"/>
      <c r="Z106" s="129"/>
      <c r="AA106" s="128"/>
      <c r="AB106" s="129"/>
      <c r="AC106" s="128"/>
      <c r="AD106" s="129"/>
      <c r="AE106" s="128"/>
      <c r="AF106" s="129"/>
      <c r="AG106" s="128"/>
      <c r="AH106" s="118"/>
    </row>
    <row r="107">
      <c r="A107" s="4">
        <v>7.0</v>
      </c>
      <c r="B107" s="4">
        <v>220.0</v>
      </c>
      <c r="C107" t="str">
        <f>'Womens Varsity Results'!F112</f>
        <v/>
      </c>
      <c r="D107">
        <f>'Womens Varsity Results'!C112</f>
        <v>4</v>
      </c>
      <c r="G107" s="130"/>
      <c r="H107" s="131"/>
      <c r="I107" s="132"/>
      <c r="J107" s="131"/>
      <c r="K107" s="132"/>
      <c r="L107" s="131"/>
      <c r="M107" s="132"/>
      <c r="N107" s="131"/>
      <c r="O107" s="132"/>
      <c r="P107" s="131"/>
      <c r="Q107" s="132"/>
      <c r="R107" s="131"/>
      <c r="S107" s="132"/>
      <c r="T107" s="131"/>
      <c r="U107" s="132"/>
      <c r="V107" s="131"/>
      <c r="W107" s="132"/>
      <c r="X107" s="131"/>
      <c r="Y107" s="132"/>
      <c r="Z107" s="131"/>
      <c r="AA107" s="132"/>
      <c r="AB107" s="131"/>
      <c r="AC107" s="132"/>
      <c r="AD107" s="131"/>
      <c r="AE107" s="132"/>
      <c r="AF107" s="131"/>
      <c r="AG107" s="132"/>
      <c r="AH107" s="133"/>
    </row>
    <row r="108">
      <c r="A108" s="4">
        <v>8.0</v>
      </c>
      <c r="B108" s="4">
        <v>220.0</v>
      </c>
      <c r="C108" t="str">
        <f>'Womens Varsity Results'!F113</f>
        <v/>
      </c>
      <c r="D108">
        <f>'Womens Varsity Results'!C113</f>
        <v>3</v>
      </c>
      <c r="G108" s="112"/>
      <c r="H108" s="129"/>
      <c r="I108" s="128"/>
      <c r="J108" s="129"/>
      <c r="K108" s="128"/>
      <c r="L108" s="129"/>
      <c r="M108" s="128"/>
      <c r="N108" s="129"/>
      <c r="O108" s="128"/>
      <c r="P108" s="129"/>
      <c r="Q108" s="128"/>
      <c r="R108" s="129"/>
      <c r="S108" s="128"/>
      <c r="T108" s="129"/>
      <c r="U108" s="128"/>
      <c r="V108" s="129"/>
      <c r="W108" s="128"/>
      <c r="X108" s="129"/>
      <c r="Y108" s="128"/>
      <c r="Z108" s="129"/>
      <c r="AA108" s="128"/>
      <c r="AB108" s="129"/>
      <c r="AC108" s="128"/>
      <c r="AD108" s="129"/>
      <c r="AE108" s="128"/>
      <c r="AF108" s="129"/>
      <c r="AG108" s="128"/>
      <c r="AH108" s="118"/>
    </row>
    <row r="109">
      <c r="A109" s="4">
        <v>9.0</v>
      </c>
      <c r="B109" s="4">
        <v>220.0</v>
      </c>
      <c r="C109" t="str">
        <f>'Womens Varsity Results'!F114</f>
        <v/>
      </c>
      <c r="D109">
        <f>'Womens Varsity Results'!C114</f>
        <v>2</v>
      </c>
      <c r="G109" s="130"/>
      <c r="H109" s="131"/>
      <c r="I109" s="132"/>
      <c r="J109" s="131"/>
      <c r="K109" s="132"/>
      <c r="L109" s="131"/>
      <c r="M109" s="132"/>
      <c r="N109" s="131"/>
      <c r="O109" s="132"/>
      <c r="P109" s="131"/>
      <c r="Q109" s="132"/>
      <c r="R109" s="131"/>
      <c r="S109" s="132"/>
      <c r="T109" s="131"/>
      <c r="U109" s="132"/>
      <c r="V109" s="131"/>
      <c r="W109" s="132"/>
      <c r="X109" s="131"/>
      <c r="Y109" s="132"/>
      <c r="Z109" s="131"/>
      <c r="AA109" s="132"/>
      <c r="AB109" s="131"/>
      <c r="AC109" s="132"/>
      <c r="AD109" s="131"/>
      <c r="AE109" s="132"/>
      <c r="AF109" s="131"/>
      <c r="AG109" s="132"/>
      <c r="AH109" s="133"/>
    </row>
    <row r="110">
      <c r="A110" s="4">
        <v>10.0</v>
      </c>
      <c r="B110" s="4">
        <v>220.0</v>
      </c>
      <c r="C110" t="str">
        <f>'Womens Varsity Results'!F115</f>
        <v/>
      </c>
      <c r="D110">
        <f>'Womens Varsity Results'!C115</f>
        <v>1</v>
      </c>
      <c r="G110" s="112"/>
      <c r="H110" s="129"/>
      <c r="I110" s="128"/>
      <c r="J110" s="129"/>
      <c r="K110" s="128"/>
      <c r="L110" s="129"/>
      <c r="M110" s="128"/>
      <c r="N110" s="129"/>
      <c r="O110" s="128"/>
      <c r="P110" s="129"/>
      <c r="Q110" s="128"/>
      <c r="R110" s="129"/>
      <c r="S110" s="128"/>
      <c r="T110" s="129"/>
      <c r="U110" s="128"/>
      <c r="V110" s="129"/>
      <c r="W110" s="128"/>
      <c r="X110" s="129"/>
      <c r="Y110" s="128"/>
      <c r="Z110" s="129"/>
      <c r="AA110" s="128"/>
      <c r="AB110" s="129"/>
      <c r="AC110" s="128"/>
      <c r="AD110" s="129"/>
      <c r="AE110" s="128"/>
      <c r="AF110" s="129"/>
      <c r="AG110" s="128"/>
      <c r="AH110" s="118"/>
    </row>
    <row r="111">
      <c r="A111" s="4">
        <v>1.0</v>
      </c>
      <c r="B111" s="4">
        <v>242.0</v>
      </c>
      <c r="C111" t="str">
        <f>'Womens Varsity Results'!F116</f>
        <v/>
      </c>
      <c r="D111">
        <f>'Womens Varsity Results'!C116</f>
        <v>12</v>
      </c>
      <c r="G111" s="130"/>
      <c r="H111" s="131"/>
      <c r="I111" s="132"/>
      <c r="J111" s="131"/>
      <c r="K111" s="132"/>
      <c r="L111" s="131"/>
      <c r="M111" s="132"/>
      <c r="N111" s="131"/>
      <c r="O111" s="132"/>
      <c r="P111" s="131"/>
      <c r="Q111" s="132"/>
      <c r="R111" s="131"/>
      <c r="S111" s="132"/>
      <c r="T111" s="131"/>
      <c r="U111" s="132"/>
      <c r="V111" s="131"/>
      <c r="W111" s="132"/>
      <c r="X111" s="131"/>
      <c r="Y111" s="132"/>
      <c r="Z111" s="131"/>
      <c r="AA111" s="132"/>
      <c r="AB111" s="131"/>
      <c r="AC111" s="132"/>
      <c r="AD111" s="131"/>
      <c r="AE111" s="132"/>
      <c r="AF111" s="131"/>
      <c r="AG111" s="132"/>
      <c r="AH111" s="133"/>
    </row>
    <row r="112">
      <c r="A112" s="4">
        <v>2.0</v>
      </c>
      <c r="B112" s="4">
        <v>242.0</v>
      </c>
      <c r="C112" t="str">
        <f>'Womens Varsity Results'!F117</f>
        <v/>
      </c>
      <c r="D112">
        <f>'Womens Varsity Results'!C117</f>
        <v>9</v>
      </c>
      <c r="G112" s="112"/>
      <c r="H112" s="129"/>
      <c r="I112" s="128"/>
      <c r="J112" s="129"/>
      <c r="K112" s="128"/>
      <c r="L112" s="129"/>
      <c r="M112" s="128"/>
      <c r="N112" s="129"/>
      <c r="O112" s="128"/>
      <c r="P112" s="129"/>
      <c r="Q112" s="128"/>
      <c r="R112" s="129"/>
      <c r="S112" s="128"/>
      <c r="T112" s="129"/>
      <c r="U112" s="128"/>
      <c r="V112" s="129"/>
      <c r="W112" s="128"/>
      <c r="X112" s="129"/>
      <c r="Y112" s="128"/>
      <c r="Z112" s="129"/>
      <c r="AA112" s="128"/>
      <c r="AB112" s="129"/>
      <c r="AC112" s="128"/>
      <c r="AD112" s="129"/>
      <c r="AE112" s="128"/>
      <c r="AF112" s="129"/>
      <c r="AG112" s="128"/>
      <c r="AH112" s="118"/>
    </row>
    <row r="113">
      <c r="A113" s="4">
        <v>3.0</v>
      </c>
      <c r="B113" s="4">
        <v>242.0</v>
      </c>
      <c r="C113" t="str">
        <f>'Womens Varsity Results'!F118</f>
        <v/>
      </c>
      <c r="D113">
        <f>'Womens Varsity Results'!C118</f>
        <v>8</v>
      </c>
      <c r="G113" s="130"/>
      <c r="H113" s="131"/>
      <c r="I113" s="132"/>
      <c r="J113" s="131"/>
      <c r="K113" s="132"/>
      <c r="L113" s="131"/>
      <c r="M113" s="132"/>
      <c r="N113" s="131"/>
      <c r="O113" s="132"/>
      <c r="P113" s="131"/>
      <c r="Q113" s="132"/>
      <c r="R113" s="131"/>
      <c r="S113" s="132"/>
      <c r="T113" s="131"/>
      <c r="U113" s="132"/>
      <c r="V113" s="131"/>
      <c r="W113" s="132"/>
      <c r="X113" s="131"/>
      <c r="Y113" s="132"/>
      <c r="Z113" s="131"/>
      <c r="AA113" s="132"/>
      <c r="AB113" s="131"/>
      <c r="AC113" s="132"/>
      <c r="AD113" s="131"/>
      <c r="AE113" s="132"/>
      <c r="AF113" s="131"/>
      <c r="AG113" s="132"/>
      <c r="AH113" s="133"/>
    </row>
    <row r="114">
      <c r="A114" s="4">
        <v>4.0</v>
      </c>
      <c r="B114" s="4">
        <v>242.0</v>
      </c>
      <c r="C114" t="str">
        <f>'Womens Varsity Results'!F119</f>
        <v/>
      </c>
      <c r="D114">
        <f>'Womens Varsity Results'!C119</f>
        <v>7</v>
      </c>
      <c r="G114" s="112"/>
      <c r="H114" s="129"/>
      <c r="I114" s="128"/>
      <c r="J114" s="129"/>
      <c r="K114" s="128"/>
      <c r="L114" s="129"/>
      <c r="M114" s="128"/>
      <c r="N114" s="129"/>
      <c r="O114" s="128"/>
      <c r="P114" s="129"/>
      <c r="Q114" s="128"/>
      <c r="R114" s="129"/>
      <c r="S114" s="128"/>
      <c r="T114" s="129"/>
      <c r="U114" s="128"/>
      <c r="V114" s="129"/>
      <c r="W114" s="128"/>
      <c r="X114" s="129"/>
      <c r="Y114" s="128"/>
      <c r="Z114" s="129"/>
      <c r="AA114" s="128"/>
      <c r="AB114" s="129"/>
      <c r="AC114" s="128"/>
      <c r="AD114" s="129"/>
      <c r="AE114" s="128"/>
      <c r="AF114" s="129"/>
      <c r="AG114" s="128"/>
      <c r="AH114" s="118"/>
    </row>
    <row r="115">
      <c r="A115" s="4">
        <v>5.0</v>
      </c>
      <c r="B115" s="4">
        <v>242.0</v>
      </c>
      <c r="C115" t="str">
        <f>'Womens Varsity Results'!F120</f>
        <v/>
      </c>
      <c r="D115">
        <f>'Womens Varsity Results'!C120</f>
        <v>6</v>
      </c>
      <c r="G115" s="130"/>
      <c r="H115" s="131"/>
      <c r="I115" s="132"/>
      <c r="J115" s="131"/>
      <c r="K115" s="132"/>
      <c r="L115" s="131"/>
      <c r="M115" s="132"/>
      <c r="N115" s="131"/>
      <c r="O115" s="132"/>
      <c r="P115" s="131"/>
      <c r="Q115" s="132"/>
      <c r="R115" s="131"/>
      <c r="S115" s="132"/>
      <c r="T115" s="131"/>
      <c r="U115" s="132"/>
      <c r="V115" s="131"/>
      <c r="W115" s="132"/>
      <c r="X115" s="131"/>
      <c r="Y115" s="132"/>
      <c r="Z115" s="131"/>
      <c r="AA115" s="132"/>
      <c r="AB115" s="131"/>
      <c r="AC115" s="132"/>
      <c r="AD115" s="131"/>
      <c r="AE115" s="132"/>
      <c r="AF115" s="131"/>
      <c r="AG115" s="132"/>
      <c r="AH115" s="133"/>
    </row>
    <row r="116">
      <c r="A116" s="4">
        <v>6.0</v>
      </c>
      <c r="B116" s="4">
        <v>242.0</v>
      </c>
      <c r="C116" t="str">
        <f>'Womens Varsity Results'!F121</f>
        <v/>
      </c>
      <c r="D116">
        <f>'Womens Varsity Results'!C121</f>
        <v>5</v>
      </c>
      <c r="G116" s="112"/>
      <c r="H116" s="129"/>
      <c r="I116" s="128"/>
      <c r="J116" s="129"/>
      <c r="K116" s="128"/>
      <c r="L116" s="129"/>
      <c r="M116" s="128"/>
      <c r="N116" s="129"/>
      <c r="O116" s="128"/>
      <c r="P116" s="129"/>
      <c r="Q116" s="128"/>
      <c r="R116" s="129"/>
      <c r="S116" s="128"/>
      <c r="T116" s="129"/>
      <c r="U116" s="128"/>
      <c r="V116" s="129"/>
      <c r="W116" s="128"/>
      <c r="X116" s="129"/>
      <c r="Y116" s="128"/>
      <c r="Z116" s="129"/>
      <c r="AA116" s="128"/>
      <c r="AB116" s="129"/>
      <c r="AC116" s="128"/>
      <c r="AD116" s="129"/>
      <c r="AE116" s="128"/>
      <c r="AF116" s="129"/>
      <c r="AG116" s="128"/>
      <c r="AH116" s="118"/>
    </row>
    <row r="117">
      <c r="A117" s="4">
        <v>7.0</v>
      </c>
      <c r="B117" s="4">
        <v>242.0</v>
      </c>
      <c r="C117" t="str">
        <f>'Womens Varsity Results'!F122</f>
        <v/>
      </c>
      <c r="D117">
        <f>'Womens Varsity Results'!C122</f>
        <v>4</v>
      </c>
      <c r="G117" s="130"/>
      <c r="H117" s="131"/>
      <c r="I117" s="132"/>
      <c r="J117" s="131"/>
      <c r="K117" s="132"/>
      <c r="L117" s="131"/>
      <c r="M117" s="132"/>
      <c r="N117" s="131"/>
      <c r="O117" s="132"/>
      <c r="P117" s="131"/>
      <c r="Q117" s="132"/>
      <c r="R117" s="131"/>
      <c r="S117" s="132"/>
      <c r="T117" s="131"/>
      <c r="U117" s="132"/>
      <c r="V117" s="131"/>
      <c r="W117" s="132"/>
      <c r="X117" s="131"/>
      <c r="Y117" s="132"/>
      <c r="Z117" s="131"/>
      <c r="AA117" s="132"/>
      <c r="AB117" s="131"/>
      <c r="AC117" s="132"/>
      <c r="AD117" s="131"/>
      <c r="AE117" s="132"/>
      <c r="AF117" s="131"/>
      <c r="AG117" s="132"/>
      <c r="AH117" s="133"/>
    </row>
    <row r="118">
      <c r="A118" s="4">
        <v>8.0</v>
      </c>
      <c r="B118" s="4">
        <v>242.0</v>
      </c>
      <c r="C118" t="str">
        <f>'Womens Varsity Results'!F123</f>
        <v/>
      </c>
      <c r="D118">
        <f>'Womens Varsity Results'!C123</f>
        <v>3</v>
      </c>
      <c r="G118" s="112"/>
      <c r="H118" s="129"/>
      <c r="I118" s="128"/>
      <c r="J118" s="129"/>
      <c r="K118" s="128"/>
      <c r="L118" s="129"/>
      <c r="M118" s="128"/>
      <c r="N118" s="129"/>
      <c r="O118" s="128"/>
      <c r="P118" s="129"/>
      <c r="Q118" s="128"/>
      <c r="R118" s="129"/>
      <c r="S118" s="128"/>
      <c r="T118" s="129"/>
      <c r="U118" s="128"/>
      <c r="V118" s="129"/>
      <c r="W118" s="128"/>
      <c r="X118" s="129"/>
      <c r="Y118" s="128"/>
      <c r="Z118" s="129"/>
      <c r="AA118" s="128"/>
      <c r="AB118" s="129"/>
      <c r="AC118" s="128"/>
      <c r="AD118" s="129"/>
      <c r="AE118" s="128"/>
      <c r="AF118" s="129"/>
      <c r="AG118" s="128"/>
      <c r="AH118" s="118"/>
    </row>
    <row r="119">
      <c r="A119" s="4">
        <v>9.0</v>
      </c>
      <c r="B119" s="4">
        <v>242.0</v>
      </c>
      <c r="C119" t="str">
        <f>'Womens Varsity Results'!F124</f>
        <v/>
      </c>
      <c r="D119">
        <f>'Womens Varsity Results'!C124</f>
        <v>2</v>
      </c>
      <c r="G119" s="130"/>
      <c r="H119" s="131"/>
      <c r="I119" s="132"/>
      <c r="J119" s="131"/>
      <c r="K119" s="132"/>
      <c r="L119" s="131"/>
      <c r="M119" s="132"/>
      <c r="N119" s="131"/>
      <c r="O119" s="132"/>
      <c r="P119" s="131"/>
      <c r="Q119" s="132"/>
      <c r="R119" s="131"/>
      <c r="S119" s="132"/>
      <c r="T119" s="131"/>
      <c r="U119" s="132"/>
      <c r="V119" s="131"/>
      <c r="W119" s="132"/>
      <c r="X119" s="131"/>
      <c r="Y119" s="132"/>
      <c r="Z119" s="131"/>
      <c r="AA119" s="132"/>
      <c r="AB119" s="131"/>
      <c r="AC119" s="132"/>
      <c r="AD119" s="131"/>
      <c r="AE119" s="132"/>
      <c r="AF119" s="131"/>
      <c r="AG119" s="132"/>
      <c r="AH119" s="133"/>
    </row>
    <row r="120">
      <c r="A120" s="4">
        <v>10.0</v>
      </c>
      <c r="B120" s="4">
        <v>242.0</v>
      </c>
      <c r="C120" t="str">
        <f>'Womens Varsity Results'!F125</f>
        <v/>
      </c>
      <c r="D120">
        <f>'Womens Varsity Results'!C125</f>
        <v>1</v>
      </c>
      <c r="G120" s="112"/>
      <c r="H120" s="129"/>
      <c r="I120" s="128"/>
      <c r="J120" s="129"/>
      <c r="K120" s="128"/>
      <c r="L120" s="129"/>
      <c r="M120" s="128"/>
      <c r="N120" s="129"/>
      <c r="O120" s="128"/>
      <c r="P120" s="129"/>
      <c r="Q120" s="128"/>
      <c r="R120" s="129"/>
      <c r="S120" s="128"/>
      <c r="T120" s="129"/>
      <c r="U120" s="128"/>
      <c r="V120" s="129"/>
      <c r="W120" s="128"/>
      <c r="X120" s="129"/>
      <c r="Y120" s="128"/>
      <c r="Z120" s="129"/>
      <c r="AA120" s="128"/>
      <c r="AB120" s="129"/>
      <c r="AC120" s="128"/>
      <c r="AD120" s="129"/>
      <c r="AE120" s="128"/>
      <c r="AF120" s="129"/>
      <c r="AG120" s="128"/>
      <c r="AH120" s="118"/>
    </row>
    <row r="121">
      <c r="A121" s="4">
        <v>1.0</v>
      </c>
      <c r="B121" s="36" t="s">
        <v>130</v>
      </c>
      <c r="C121" t="str">
        <f>'Womens Varsity Results'!F126</f>
        <v/>
      </c>
      <c r="D121">
        <f>'Womens Varsity Results'!C126</f>
        <v>12</v>
      </c>
      <c r="G121" s="130"/>
      <c r="H121" s="131"/>
      <c r="I121" s="132"/>
      <c r="J121" s="131"/>
      <c r="K121" s="132"/>
      <c r="L121" s="131"/>
      <c r="M121" s="132"/>
      <c r="N121" s="131"/>
      <c r="O121" s="132"/>
      <c r="P121" s="131"/>
      <c r="Q121" s="132"/>
      <c r="R121" s="131"/>
      <c r="S121" s="132"/>
      <c r="T121" s="131"/>
      <c r="U121" s="132"/>
      <c r="V121" s="131"/>
      <c r="W121" s="132"/>
      <c r="X121" s="131"/>
      <c r="Y121" s="132"/>
      <c r="Z121" s="131"/>
      <c r="AA121" s="132"/>
      <c r="AB121" s="131"/>
      <c r="AC121" s="132"/>
      <c r="AD121" s="131"/>
      <c r="AE121" s="132"/>
      <c r="AF121" s="131"/>
      <c r="AG121" s="132"/>
      <c r="AH121" s="133"/>
    </row>
    <row r="122">
      <c r="A122" s="4">
        <v>2.0</v>
      </c>
      <c r="B122" s="36" t="s">
        <v>130</v>
      </c>
      <c r="C122" t="str">
        <f>'Womens Varsity Results'!F127</f>
        <v/>
      </c>
      <c r="D122">
        <f>'Womens Varsity Results'!C127</f>
        <v>9</v>
      </c>
      <c r="G122" s="112"/>
      <c r="H122" s="129"/>
      <c r="I122" s="128"/>
      <c r="J122" s="129"/>
      <c r="K122" s="128"/>
      <c r="L122" s="129"/>
      <c r="M122" s="128"/>
      <c r="N122" s="129"/>
      <c r="O122" s="128"/>
      <c r="P122" s="129"/>
      <c r="Q122" s="128"/>
      <c r="R122" s="129"/>
      <c r="S122" s="128"/>
      <c r="T122" s="129"/>
      <c r="U122" s="128"/>
      <c r="V122" s="129"/>
      <c r="W122" s="128"/>
      <c r="X122" s="129"/>
      <c r="Y122" s="128"/>
      <c r="Z122" s="129"/>
      <c r="AA122" s="128"/>
      <c r="AB122" s="129"/>
      <c r="AC122" s="128"/>
      <c r="AD122" s="129"/>
      <c r="AE122" s="128"/>
      <c r="AF122" s="129"/>
      <c r="AG122" s="128"/>
      <c r="AH122" s="118"/>
    </row>
    <row r="123">
      <c r="A123" s="4">
        <v>3.0</v>
      </c>
      <c r="B123" s="36" t="s">
        <v>130</v>
      </c>
      <c r="C123" t="str">
        <f>'Womens Varsity Results'!F128</f>
        <v/>
      </c>
      <c r="D123">
        <f>'Womens Varsity Results'!C128</f>
        <v>8</v>
      </c>
      <c r="G123" s="130"/>
      <c r="H123" s="131"/>
      <c r="I123" s="132"/>
      <c r="J123" s="131"/>
      <c r="K123" s="132"/>
      <c r="L123" s="131"/>
      <c r="M123" s="132"/>
      <c r="N123" s="131"/>
      <c r="O123" s="132"/>
      <c r="P123" s="131"/>
      <c r="Q123" s="132"/>
      <c r="R123" s="131"/>
      <c r="S123" s="132"/>
      <c r="T123" s="131"/>
      <c r="U123" s="132"/>
      <c r="V123" s="131"/>
      <c r="W123" s="132"/>
      <c r="X123" s="131"/>
      <c r="Y123" s="132"/>
      <c r="Z123" s="131"/>
      <c r="AA123" s="132"/>
      <c r="AB123" s="131"/>
      <c r="AC123" s="132"/>
      <c r="AD123" s="131"/>
      <c r="AE123" s="132"/>
      <c r="AF123" s="131"/>
      <c r="AG123" s="132"/>
      <c r="AH123" s="133"/>
    </row>
    <row r="124">
      <c r="A124" s="4">
        <v>4.0</v>
      </c>
      <c r="B124" s="36" t="s">
        <v>130</v>
      </c>
      <c r="C124" t="str">
        <f>'Womens Varsity Results'!F129</f>
        <v/>
      </c>
      <c r="D124">
        <f>'Womens Varsity Results'!C129</f>
        <v>7</v>
      </c>
      <c r="G124" s="112"/>
      <c r="H124" s="129"/>
      <c r="I124" s="128"/>
      <c r="J124" s="129"/>
      <c r="K124" s="128"/>
      <c r="L124" s="129"/>
      <c r="M124" s="128"/>
      <c r="N124" s="129"/>
      <c r="O124" s="128"/>
      <c r="P124" s="129"/>
      <c r="Q124" s="128"/>
      <c r="R124" s="129"/>
      <c r="S124" s="128"/>
      <c r="T124" s="129"/>
      <c r="U124" s="128"/>
      <c r="V124" s="129"/>
      <c r="W124" s="128"/>
      <c r="X124" s="129"/>
      <c r="Y124" s="128"/>
      <c r="Z124" s="129"/>
      <c r="AA124" s="128"/>
      <c r="AB124" s="129"/>
      <c r="AC124" s="128"/>
      <c r="AD124" s="129"/>
      <c r="AE124" s="128"/>
      <c r="AF124" s="129"/>
      <c r="AG124" s="128"/>
      <c r="AH124" s="118"/>
    </row>
    <row r="125">
      <c r="A125" s="4">
        <v>5.0</v>
      </c>
      <c r="B125" s="36" t="s">
        <v>130</v>
      </c>
      <c r="C125" t="str">
        <f>'Womens Varsity Results'!F130</f>
        <v/>
      </c>
      <c r="D125">
        <f>'Womens Varsity Results'!C130</f>
        <v>6</v>
      </c>
      <c r="G125" s="130"/>
      <c r="H125" s="131"/>
      <c r="I125" s="132"/>
      <c r="J125" s="131"/>
      <c r="K125" s="132"/>
      <c r="L125" s="131"/>
      <c r="M125" s="132"/>
      <c r="N125" s="131"/>
      <c r="O125" s="132"/>
      <c r="P125" s="131"/>
      <c r="Q125" s="132"/>
      <c r="R125" s="131"/>
      <c r="S125" s="132"/>
      <c r="T125" s="131"/>
      <c r="U125" s="132"/>
      <c r="V125" s="131"/>
      <c r="W125" s="132"/>
      <c r="X125" s="131"/>
      <c r="Y125" s="132"/>
      <c r="Z125" s="131"/>
      <c r="AA125" s="132"/>
      <c r="AB125" s="131"/>
      <c r="AC125" s="132"/>
      <c r="AD125" s="131"/>
      <c r="AE125" s="132"/>
      <c r="AF125" s="131"/>
      <c r="AG125" s="132"/>
      <c r="AH125" s="133"/>
    </row>
    <row r="126">
      <c r="A126" s="4">
        <v>6.0</v>
      </c>
      <c r="B126" s="36" t="s">
        <v>130</v>
      </c>
      <c r="C126" t="str">
        <f>'Womens Varsity Results'!F131</f>
        <v/>
      </c>
      <c r="D126">
        <f>'Womens Varsity Results'!C131</f>
        <v>5</v>
      </c>
      <c r="G126" s="112"/>
      <c r="H126" s="129"/>
      <c r="I126" s="128"/>
      <c r="J126" s="129"/>
      <c r="K126" s="128"/>
      <c r="L126" s="129"/>
      <c r="M126" s="128"/>
      <c r="N126" s="129"/>
      <c r="O126" s="128"/>
      <c r="P126" s="129"/>
      <c r="Q126" s="128"/>
      <c r="R126" s="129"/>
      <c r="S126" s="128"/>
      <c r="T126" s="129"/>
      <c r="U126" s="128"/>
      <c r="V126" s="129"/>
      <c r="W126" s="128"/>
      <c r="X126" s="129"/>
      <c r="Y126" s="128"/>
      <c r="Z126" s="129"/>
      <c r="AA126" s="128"/>
      <c r="AB126" s="129"/>
      <c r="AC126" s="128"/>
      <c r="AD126" s="129"/>
      <c r="AE126" s="128"/>
      <c r="AF126" s="129"/>
      <c r="AG126" s="128"/>
      <c r="AH126" s="118"/>
    </row>
    <row r="127">
      <c r="A127" s="4">
        <v>7.0</v>
      </c>
      <c r="B127" s="36" t="s">
        <v>130</v>
      </c>
      <c r="C127" t="str">
        <f>'Womens Varsity Results'!F132</f>
        <v/>
      </c>
      <c r="D127">
        <f>'Womens Varsity Results'!C132</f>
        <v>4</v>
      </c>
      <c r="G127" s="130"/>
      <c r="H127" s="131"/>
      <c r="I127" s="132"/>
      <c r="J127" s="131"/>
      <c r="K127" s="132"/>
      <c r="L127" s="131"/>
      <c r="M127" s="132"/>
      <c r="N127" s="131"/>
      <c r="O127" s="132"/>
      <c r="P127" s="131"/>
      <c r="Q127" s="132"/>
      <c r="R127" s="131"/>
      <c r="S127" s="132"/>
      <c r="T127" s="131"/>
      <c r="U127" s="132"/>
      <c r="V127" s="131"/>
      <c r="W127" s="132"/>
      <c r="X127" s="131"/>
      <c r="Y127" s="132"/>
      <c r="Z127" s="131"/>
      <c r="AA127" s="132"/>
      <c r="AB127" s="131"/>
      <c r="AC127" s="132"/>
      <c r="AD127" s="131"/>
      <c r="AE127" s="132"/>
      <c r="AF127" s="131"/>
      <c r="AG127" s="132"/>
      <c r="AH127" s="133"/>
    </row>
    <row r="128">
      <c r="A128" s="4">
        <v>8.0</v>
      </c>
      <c r="B128" s="36" t="s">
        <v>130</v>
      </c>
      <c r="C128" t="str">
        <f>'Womens Varsity Results'!F133</f>
        <v/>
      </c>
      <c r="D128">
        <f>'Womens Varsity Results'!C133</f>
        <v>3</v>
      </c>
      <c r="G128" s="112"/>
      <c r="H128" s="129"/>
      <c r="I128" s="128"/>
      <c r="J128" s="129"/>
      <c r="K128" s="128"/>
      <c r="L128" s="129"/>
      <c r="M128" s="128"/>
      <c r="N128" s="129"/>
      <c r="O128" s="128"/>
      <c r="P128" s="129"/>
      <c r="Q128" s="128"/>
      <c r="R128" s="129"/>
      <c r="S128" s="128"/>
      <c r="T128" s="129"/>
      <c r="U128" s="128"/>
      <c r="V128" s="129"/>
      <c r="W128" s="128"/>
      <c r="X128" s="129"/>
      <c r="Y128" s="128"/>
      <c r="Z128" s="129"/>
      <c r="AA128" s="128"/>
      <c r="AB128" s="129"/>
      <c r="AC128" s="128"/>
      <c r="AD128" s="129"/>
      <c r="AE128" s="128"/>
      <c r="AF128" s="129"/>
      <c r="AG128" s="128"/>
      <c r="AH128" s="118"/>
    </row>
    <row r="129">
      <c r="A129" s="4">
        <v>9.0</v>
      </c>
      <c r="B129" s="36" t="s">
        <v>130</v>
      </c>
      <c r="C129" t="str">
        <f>'Womens Varsity Results'!F134</f>
        <v/>
      </c>
      <c r="D129">
        <f>'Womens Varsity Results'!C134</f>
        <v>2</v>
      </c>
      <c r="G129" s="130"/>
      <c r="H129" s="131"/>
      <c r="I129" s="132"/>
      <c r="J129" s="131"/>
      <c r="K129" s="132"/>
      <c r="L129" s="131"/>
      <c r="M129" s="132"/>
      <c r="N129" s="131"/>
      <c r="O129" s="132"/>
      <c r="P129" s="131"/>
      <c r="Q129" s="132"/>
      <c r="R129" s="131"/>
      <c r="S129" s="132"/>
      <c r="T129" s="131"/>
      <c r="U129" s="132"/>
      <c r="V129" s="131"/>
      <c r="W129" s="132"/>
      <c r="X129" s="131"/>
      <c r="Y129" s="132"/>
      <c r="Z129" s="131"/>
      <c r="AA129" s="132"/>
      <c r="AB129" s="131"/>
      <c r="AC129" s="132"/>
      <c r="AD129" s="131"/>
      <c r="AE129" s="132"/>
      <c r="AF129" s="131"/>
      <c r="AG129" s="132"/>
      <c r="AH129" s="133"/>
    </row>
    <row r="130">
      <c r="A130" s="4">
        <v>10.0</v>
      </c>
      <c r="B130" s="36" t="s">
        <v>130</v>
      </c>
      <c r="C130" t="str">
        <f>'Womens Varsity Results'!F135</f>
        <v/>
      </c>
      <c r="D130">
        <f>'Womens Varsity Results'!C135</f>
        <v>1</v>
      </c>
      <c r="G130" s="112"/>
      <c r="H130" s="129"/>
      <c r="I130" s="128"/>
      <c r="J130" s="129"/>
      <c r="K130" s="128"/>
      <c r="L130" s="129"/>
      <c r="M130" s="128"/>
      <c r="N130" s="129"/>
      <c r="O130" s="128"/>
      <c r="P130" s="129"/>
      <c r="Q130" s="128"/>
      <c r="R130" s="129"/>
      <c r="S130" s="128"/>
      <c r="T130" s="129"/>
      <c r="U130" s="128"/>
      <c r="V130" s="129"/>
      <c r="W130" s="128"/>
      <c r="X130" s="129"/>
      <c r="Y130" s="128"/>
      <c r="Z130" s="129"/>
      <c r="AA130" s="128"/>
      <c r="AB130" s="129"/>
      <c r="AC130" s="128"/>
      <c r="AD130" s="129"/>
      <c r="AE130" s="128"/>
      <c r="AF130" s="129"/>
      <c r="AG130" s="128"/>
      <c r="AH130" s="118"/>
    </row>
    <row r="131">
      <c r="G131" s="134"/>
      <c r="H131" s="135"/>
      <c r="I131" s="136"/>
      <c r="J131" s="135"/>
      <c r="K131" s="136"/>
      <c r="L131" s="135"/>
      <c r="M131" s="136"/>
      <c r="N131" s="135"/>
      <c r="O131" s="136"/>
      <c r="P131" s="135"/>
      <c r="Q131" s="136"/>
      <c r="R131" s="135"/>
      <c r="S131" s="136"/>
      <c r="T131" s="137"/>
      <c r="U131" s="136"/>
      <c r="V131" s="135"/>
      <c r="W131" s="136"/>
      <c r="X131" s="135"/>
      <c r="Y131" s="136"/>
      <c r="Z131" s="135"/>
      <c r="AA131" s="136"/>
      <c r="AB131" s="135"/>
      <c r="AC131" s="136"/>
      <c r="AD131" s="135"/>
      <c r="AE131" s="136"/>
      <c r="AF131" s="135"/>
      <c r="AG131" s="136"/>
      <c r="AH131" s="138"/>
    </row>
    <row r="132" hidden="1">
      <c r="H132" s="139">
        <v>114.0</v>
      </c>
      <c r="J132" s="139">
        <v>123.0</v>
      </c>
      <c r="L132" s="139">
        <v>132.0</v>
      </c>
      <c r="N132" s="139">
        <v>145.0</v>
      </c>
      <c r="P132" s="139">
        <v>155.0</v>
      </c>
      <c r="R132" s="139">
        <v>165.0</v>
      </c>
      <c r="T132" s="139">
        <v>181.0</v>
      </c>
      <c r="V132" s="139">
        <v>194.0</v>
      </c>
      <c r="X132" s="139">
        <v>207.0</v>
      </c>
      <c r="Z132" s="139">
        <v>220.0</v>
      </c>
      <c r="AB132" s="139">
        <v>242.0</v>
      </c>
      <c r="AD132" s="139">
        <v>275.0</v>
      </c>
      <c r="AF132" s="139" t="s">
        <v>130</v>
      </c>
      <c r="AH132" s="140" t="s">
        <v>118</v>
      </c>
    </row>
    <row r="133" hidden="1">
      <c r="F133" s="4">
        <v>1.0</v>
      </c>
      <c r="G133" t="str">
        <f>IFERROR(__xludf.DUMMYFUNCTION("unique(C:C)"),"")</f>
        <v/>
      </c>
      <c r="H133" t="str">
        <f t="shared" ref="H133:H270" si="1">IFERROR(__xludf.DUMMYFUNCTION("if(isblank($G133),, if(iserror(index(filter($C$1:$D$10,$C$1:$C$10=$G133),1,2)),,index(filter($C$1:$D$10,$C$1:$C$10=$G133),1,2)))"),"")</f>
        <v/>
      </c>
      <c r="I133" t="str">
        <f t="shared" ref="I133:I270" si="2">IFERROR(__xludf.DUMMYFUNCTION("if(isblank($G133),, if(iserror(index(filter($C$1:$D$10,$C$1:$C$10=$G133),2,2)),,index(filter($C$1:$D$10,$C$1:$C$10=$G133),2,2)))"),"")</f>
        <v/>
      </c>
      <c r="J133" t="str">
        <f t="shared" ref="J133:J270" si="3">IFERROR(__xludf.DUMMYFUNCTION("if(isblank($G133),, if(iserror(index(filter($C$11:$D$20,$C$11:$C$20=$G133),1,2)),,index(filter($C$11:$D$20,$C$11:$C$20=$G133),1,2)))"),"")</f>
        <v/>
      </c>
      <c r="K133" t="str">
        <f t="shared" ref="K133:K270" si="4">IFERROR(__xludf.DUMMYFUNCTION("if(isblank($G133),, if(iserror(index(filter($C$11:$D$20,$C$11:$C$20=$G133),2,2)),,index(filter($C$11:$D$20,$C$11:$C$20=$G133),2,2)))"),"")</f>
        <v/>
      </c>
      <c r="L133" t="str">
        <f t="shared" ref="L133:L270" si="5">IFERROR(__xludf.DUMMYFUNCTION("if(isblank($G133),, if(iserror(index(filter($C$21:$D$30,$C$21:$C$30=$G133),1,2)),,index(filter($C$21:$D$30,$C$21:$C$30=$G133),1,2)))"),"")</f>
        <v/>
      </c>
      <c r="M133" t="str">
        <f t="shared" ref="M133:M270" si="6">IFERROR(__xludf.DUMMYFUNCTION("if(isblank($G133),, if(iserror(index(filter($C$21:$D$30,$C$21:$C$30=$G133),2,2)),,index(filter($C$21:$D$30,$C$21:$C$30=$G133),2,2)))"),"")</f>
        <v/>
      </c>
      <c r="N133" t="str">
        <f t="shared" ref="N133:N270" si="7">IFERROR(__xludf.DUMMYFUNCTION("if(isblank($G133),, if(iserror(index(filter($C$31:$D$40,$C$31:$C$40=$G133),1,2)),,index(filter($C$31:$D$40,$C$31:$C$40=$G133),1,2)))"),"")</f>
        <v/>
      </c>
      <c r="O133" t="str">
        <f t="shared" ref="O133:O270" si="8">IFERROR(__xludf.DUMMYFUNCTION("if(isblank($G133),, if(iserror(index(filter($C$31:$D$40,$C$31:$C$40=$G133),2,2)),,index(filter($C$31:$D$40,$C$31:$C$40=$G133),2,2)))"),"")</f>
        <v/>
      </c>
      <c r="P133" t="str">
        <f t="shared" ref="P133:P270" si="9">IFERROR(__xludf.DUMMYFUNCTION("if(isblank($G133),, if(iserror(index(filter($C$41:$D$50,$C$41:$C$50=$G133),1,2)),,index(filter($C$41:$D$50,$C$41:$C$50=$G133),1,2)))"),"")</f>
        <v/>
      </c>
      <c r="Q133" t="str">
        <f t="shared" ref="Q133:Q270" si="10">IFERROR(__xludf.DUMMYFUNCTION("if(isblank($G133),, if(iserror(index(filter($C$41:$D$50,$C$41:$C$50=$G133),2,2)),,index(filter($C$41:$D$50,$C$41:$C$50=$G133),2,2)))"),"")</f>
        <v/>
      </c>
      <c r="R133" t="str">
        <f t="shared" ref="R133:R270" si="11">IFERROR(__xludf.DUMMYFUNCTION("if(isblank($G133),, if(iserror(index(filter($C$51:$D$60,$C$51:$C$60=$G133),1,2)),,index(filter($C$51:$D$60,$C$51:$C$60=$G133),1,2)))"),"")</f>
        <v/>
      </c>
      <c r="S133" t="str">
        <f t="shared" ref="S133:S270" si="12">IFERROR(__xludf.DUMMYFUNCTION("if(isblank($G133),, if(iserror(index(filter($C$51:$D$60,$C$51:$C$60=$G133),2,2)),,index(filter($C$51:$D$60,$C$51:$C$60=$G133),2,2)))"),"")</f>
        <v/>
      </c>
      <c r="T133" t="str">
        <f t="shared" ref="T133:T270" si="13">IFERROR(__xludf.DUMMYFUNCTION("if(isblank($G133),, if(iserror(index(filter($C$61:$D$70,$C$61:$C$70=$G133),1,2)),,index(filter($C$61:$D$70,$C$61:$C$70=$G133),1,2)))"),"")</f>
        <v/>
      </c>
      <c r="U133" t="str">
        <f t="shared" ref="U133:U270" si="14">IFERROR(__xludf.DUMMYFUNCTION("if(isblank($G133),, if(iserror(index(filter($C$61:$D$70,$C$61:$C$70=$G133),2,2)),,index(filter($C$61:$D$70,$C$61:$C$70=$G133),2,2)))"),"")</f>
        <v/>
      </c>
      <c r="V133" t="str">
        <f t="shared" ref="V133:V270" si="15">IFERROR(__xludf.DUMMYFUNCTION("if(isblank($G133),, if(iserror(index(filter($C$71:$D$80,$C$71:$C$80=$G133),1,2)),,index(filter($C$71:$D$80,$C$71:$C$80=$G133),1,2)))"),"")</f>
        <v/>
      </c>
      <c r="W133" t="str">
        <f t="shared" ref="W133:W270" si="16">IFERROR(__xludf.DUMMYFUNCTION("if(isblank($G133),, if(iserror(index(filter($C$71:$D$80,$C$71:$C$80=$G133),2,2)),,index(filter($C$71:$D$80,$C$71:$C$80=$G133),2,2)))"),"")</f>
        <v/>
      </c>
      <c r="X133" t="str">
        <f t="shared" ref="X133:X270" si="17">IFERROR(__xludf.DUMMYFUNCTION("if(isblank($G133),, if(iserror(index(filter($C$81:$D$90,$C$81:$C$90=$G133),1,2)),,index(filter($C$81:$D$90,$C$81:$C$90=$G133),1,2)))"),"")</f>
        <v/>
      </c>
      <c r="Y133" t="str">
        <f t="shared" ref="Y133:Y270" si="18">IFERROR(__xludf.DUMMYFUNCTION("if(isblank($G133),, if(iserror(index(filter($C$81:$D$90,$C$81:$C$90=$G133),2,2)),,index(filter($C$81:$D$90,$C$81:$C$90=$G133),2,2)))"),"")</f>
        <v/>
      </c>
      <c r="Z133" t="str">
        <f t="shared" ref="Z133:Z270" si="19">IFERROR(__xludf.DUMMYFUNCTION("if(isblank($G133),, if(iserror(index(filter($C$91:$D$100,$C$91:$C$100=$G133),1,2)),,index(filter($C$91:$D$100,$C$91:$C$100=$G133),1,2)))"),"")</f>
        <v/>
      </c>
      <c r="AA133" t="str">
        <f t="shared" ref="AA133:AA270" si="20">IFERROR(__xludf.DUMMYFUNCTION("if(isblank($G133),, if(iserror(index(filter($C$91:$D$100,$C$91:$C$100=$G133),2,2)),,index(filter($C$91:$D$100,$C$91:$C$100=$G133),2,2)))"),"")</f>
        <v/>
      </c>
      <c r="AB133" t="str">
        <f t="shared" ref="AB133:AB270" si="21">IFERROR(__xludf.DUMMYFUNCTION("if(isblank($G133),, if(iserror(index(filter($C$101:$D$110,$C$101:$C$110=$G133),1,2)),,index(filter($C$101:$D$110,$C$101:$C$110=$G133),1,2)))"),"")</f>
        <v/>
      </c>
      <c r="AC133" t="str">
        <f t="shared" ref="AC133:AC270" si="22">IFERROR(__xludf.DUMMYFUNCTION("if(isblank($G133),, if(iserror(index(filter($C$101:$D$110,$C$101:$C$110=$G133),2,2)),,index(filter($C$101:$D$110,$C$101:$C$110=$G133),2,2)))"),"")</f>
        <v/>
      </c>
      <c r="AD133" t="str">
        <f t="shared" ref="AD133:AD270" si="23">IFERROR(__xludf.DUMMYFUNCTION("if(isblank($G133),, if(iserror(index(filter($C$111:$D$120,$C$111:$C$120=$G133),1,2)),,index(filter($C$111:$D$120,$C$111:$C$120=$G133),1,2)))"),"")</f>
        <v/>
      </c>
      <c r="AE133" t="str">
        <f t="shared" ref="AE133:AE270" si="24">IFERROR(__xludf.DUMMYFUNCTION("if(isblank($G133),, if(iserror(index(filter($C$111:$D$120,$C$111:$C$120=$G133),2,2)),,index(filter($C$111:$D$120,$C$111:$C$120=$G133),2,2)))"),"")</f>
        <v/>
      </c>
      <c r="AF133" t="str">
        <f t="shared" ref="AF133:AF270" si="25">IFERROR(__xludf.DUMMYFUNCTION("if(isblank($G133),, if(iserror(index(filter($C$121:$D$130,$C$121:$C$130=$G133),1,2)),,index(filter($C$121:$D$130,$C$121:$C$130=$G133),1,2)))"),"")</f>
        <v/>
      </c>
      <c r="AG133" t="str">
        <f t="shared" ref="AG133:AG270" si="26">IFERROR(__xludf.DUMMYFUNCTION("if(isblank($G133),, if(iserror(index(filter($C$121:$D$130,$C$121:$C$130=$G133),2,2)),,index(filter($C$121:$D$130,$C$121:$C$130=$G133),2,2)))"),"")</f>
        <v/>
      </c>
      <c r="AH133" s="65" t="str">
        <f t="array" ref="AH133">if(sum(H133:AG133)=0,,sum(sort(TRANSPOSE(H133:AG133),1,false)))</f>
        <v/>
      </c>
    </row>
    <row r="134" hidden="1">
      <c r="F134" s="4">
        <v>2.0</v>
      </c>
      <c r="H134" t="str">
        <f t="shared" si="1"/>
        <v/>
      </c>
      <c r="I134" t="str">
        <f t="shared" si="2"/>
        <v/>
      </c>
      <c r="J134" t="str">
        <f t="shared" si="3"/>
        <v/>
      </c>
      <c r="K134" t="str">
        <f t="shared" si="4"/>
        <v/>
      </c>
      <c r="L134" t="str">
        <f t="shared" si="5"/>
        <v/>
      </c>
      <c r="M134" t="str">
        <f t="shared" si="6"/>
        <v/>
      </c>
      <c r="N134" t="str">
        <f t="shared" si="7"/>
        <v/>
      </c>
      <c r="O134" t="str">
        <f t="shared" si="8"/>
        <v/>
      </c>
      <c r="P134" t="str">
        <f t="shared" si="9"/>
        <v/>
      </c>
      <c r="Q134" t="str">
        <f t="shared" si="10"/>
        <v/>
      </c>
      <c r="R134" t="str">
        <f t="shared" si="11"/>
        <v/>
      </c>
      <c r="S134" t="str">
        <f t="shared" si="12"/>
        <v/>
      </c>
      <c r="T134" t="str">
        <f t="shared" si="13"/>
        <v/>
      </c>
      <c r="U134" t="str">
        <f t="shared" si="14"/>
        <v/>
      </c>
      <c r="V134" t="str">
        <f t="shared" si="15"/>
        <v/>
      </c>
      <c r="W134" t="str">
        <f t="shared" si="16"/>
        <v/>
      </c>
      <c r="X134" t="str">
        <f t="shared" si="17"/>
        <v/>
      </c>
      <c r="Y134" t="str">
        <f t="shared" si="18"/>
        <v/>
      </c>
      <c r="Z134" t="str">
        <f t="shared" si="19"/>
        <v/>
      </c>
      <c r="AA134" t="str">
        <f t="shared" si="20"/>
        <v/>
      </c>
      <c r="AB134" t="str">
        <f t="shared" si="21"/>
        <v/>
      </c>
      <c r="AC134" t="str">
        <f t="shared" si="22"/>
        <v/>
      </c>
      <c r="AD134" t="str">
        <f t="shared" si="23"/>
        <v/>
      </c>
      <c r="AE134" t="str">
        <f t="shared" si="24"/>
        <v/>
      </c>
      <c r="AF134" t="str">
        <f t="shared" si="25"/>
        <v/>
      </c>
      <c r="AG134" t="str">
        <f t="shared" si="26"/>
        <v/>
      </c>
      <c r="AH134" s="65" t="str">
        <f t="array" ref="AH134">if(sum(H134:AG134)=0,,sum(sort(TRANSPOSE(H134:AG134),1,false)))</f>
        <v/>
      </c>
    </row>
    <row r="135" hidden="1">
      <c r="F135" s="4">
        <v>3.0</v>
      </c>
      <c r="G135" s="141"/>
      <c r="H135" t="str">
        <f t="shared" si="1"/>
        <v/>
      </c>
      <c r="I135" t="str">
        <f t="shared" si="2"/>
        <v/>
      </c>
      <c r="J135" t="str">
        <f t="shared" si="3"/>
        <v/>
      </c>
      <c r="K135" t="str">
        <f t="shared" si="4"/>
        <v/>
      </c>
      <c r="L135" t="str">
        <f t="shared" si="5"/>
        <v/>
      </c>
      <c r="M135" t="str">
        <f t="shared" si="6"/>
        <v/>
      </c>
      <c r="N135" t="str">
        <f t="shared" si="7"/>
        <v/>
      </c>
      <c r="O135" t="str">
        <f t="shared" si="8"/>
        <v/>
      </c>
      <c r="P135" t="str">
        <f t="shared" si="9"/>
        <v/>
      </c>
      <c r="Q135" t="str">
        <f t="shared" si="10"/>
        <v/>
      </c>
      <c r="R135" t="str">
        <f t="shared" si="11"/>
        <v/>
      </c>
      <c r="S135" t="str">
        <f t="shared" si="12"/>
        <v/>
      </c>
      <c r="T135" t="str">
        <f t="shared" si="13"/>
        <v/>
      </c>
      <c r="U135" t="str">
        <f t="shared" si="14"/>
        <v/>
      </c>
      <c r="V135" t="str">
        <f t="shared" si="15"/>
        <v/>
      </c>
      <c r="W135" t="str">
        <f t="shared" si="16"/>
        <v/>
      </c>
      <c r="X135" t="str">
        <f t="shared" si="17"/>
        <v/>
      </c>
      <c r="Y135" t="str">
        <f t="shared" si="18"/>
        <v/>
      </c>
      <c r="Z135" t="str">
        <f t="shared" si="19"/>
        <v/>
      </c>
      <c r="AA135" t="str">
        <f t="shared" si="20"/>
        <v/>
      </c>
      <c r="AB135" t="str">
        <f t="shared" si="21"/>
        <v/>
      </c>
      <c r="AC135" t="str">
        <f t="shared" si="22"/>
        <v/>
      </c>
      <c r="AD135" t="str">
        <f t="shared" si="23"/>
        <v/>
      </c>
      <c r="AE135" t="str">
        <f t="shared" si="24"/>
        <v/>
      </c>
      <c r="AF135" t="str">
        <f t="shared" si="25"/>
        <v/>
      </c>
      <c r="AG135" t="str">
        <f t="shared" si="26"/>
        <v/>
      </c>
      <c r="AH135" s="65" t="str">
        <f t="array" ref="AH135">if(sum(H135:AG135)=0,,sum(sort(TRANSPOSE(H135:AG135),1,false)))</f>
        <v/>
      </c>
    </row>
    <row r="136" hidden="1">
      <c r="F136" s="4">
        <v>4.0</v>
      </c>
      <c r="G136" s="141"/>
      <c r="H136" t="str">
        <f t="shared" si="1"/>
        <v/>
      </c>
      <c r="I136" t="str">
        <f t="shared" si="2"/>
        <v/>
      </c>
      <c r="J136" t="str">
        <f t="shared" si="3"/>
        <v/>
      </c>
      <c r="K136" t="str">
        <f t="shared" si="4"/>
        <v/>
      </c>
      <c r="L136" t="str">
        <f t="shared" si="5"/>
        <v/>
      </c>
      <c r="M136" t="str">
        <f t="shared" si="6"/>
        <v/>
      </c>
      <c r="N136" t="str">
        <f t="shared" si="7"/>
        <v/>
      </c>
      <c r="O136" t="str">
        <f t="shared" si="8"/>
        <v/>
      </c>
      <c r="P136" t="str">
        <f t="shared" si="9"/>
        <v/>
      </c>
      <c r="Q136" t="str">
        <f t="shared" si="10"/>
        <v/>
      </c>
      <c r="R136" t="str">
        <f t="shared" si="11"/>
        <v/>
      </c>
      <c r="S136" t="str">
        <f t="shared" si="12"/>
        <v/>
      </c>
      <c r="T136" t="str">
        <f t="shared" si="13"/>
        <v/>
      </c>
      <c r="U136" t="str">
        <f t="shared" si="14"/>
        <v/>
      </c>
      <c r="V136" t="str">
        <f t="shared" si="15"/>
        <v/>
      </c>
      <c r="W136" t="str">
        <f t="shared" si="16"/>
        <v/>
      </c>
      <c r="X136" t="str">
        <f t="shared" si="17"/>
        <v/>
      </c>
      <c r="Y136" t="str">
        <f t="shared" si="18"/>
        <v/>
      </c>
      <c r="Z136" t="str">
        <f t="shared" si="19"/>
        <v/>
      </c>
      <c r="AA136" t="str">
        <f t="shared" si="20"/>
        <v/>
      </c>
      <c r="AB136" t="str">
        <f t="shared" si="21"/>
        <v/>
      </c>
      <c r="AC136" t="str">
        <f t="shared" si="22"/>
        <v/>
      </c>
      <c r="AD136" t="str">
        <f t="shared" si="23"/>
        <v/>
      </c>
      <c r="AE136" t="str">
        <f t="shared" si="24"/>
        <v/>
      </c>
      <c r="AF136" t="str">
        <f t="shared" si="25"/>
        <v/>
      </c>
      <c r="AG136" t="str">
        <f t="shared" si="26"/>
        <v/>
      </c>
      <c r="AH136" s="65" t="str">
        <f t="array" ref="AH136">if(sum(H136:AG136)=0,,sum(sort(TRANSPOSE(H136:AG136),1,false)))</f>
        <v/>
      </c>
    </row>
    <row r="137" hidden="1">
      <c r="F137" s="4">
        <v>5.0</v>
      </c>
      <c r="G137" s="141"/>
      <c r="H137" t="str">
        <f t="shared" si="1"/>
        <v/>
      </c>
      <c r="I137" t="str">
        <f t="shared" si="2"/>
        <v/>
      </c>
      <c r="J137" t="str">
        <f t="shared" si="3"/>
        <v/>
      </c>
      <c r="K137" t="str">
        <f t="shared" si="4"/>
        <v/>
      </c>
      <c r="L137" t="str">
        <f t="shared" si="5"/>
        <v/>
      </c>
      <c r="M137" t="str">
        <f t="shared" si="6"/>
        <v/>
      </c>
      <c r="N137" t="str">
        <f t="shared" si="7"/>
        <v/>
      </c>
      <c r="O137" t="str">
        <f t="shared" si="8"/>
        <v/>
      </c>
      <c r="P137" t="str">
        <f t="shared" si="9"/>
        <v/>
      </c>
      <c r="Q137" t="str">
        <f t="shared" si="10"/>
        <v/>
      </c>
      <c r="R137" t="str">
        <f t="shared" si="11"/>
        <v/>
      </c>
      <c r="S137" t="str">
        <f t="shared" si="12"/>
        <v/>
      </c>
      <c r="T137" t="str">
        <f t="shared" si="13"/>
        <v/>
      </c>
      <c r="U137" t="str">
        <f t="shared" si="14"/>
        <v/>
      </c>
      <c r="V137" t="str">
        <f t="shared" si="15"/>
        <v/>
      </c>
      <c r="W137" t="str">
        <f t="shared" si="16"/>
        <v/>
      </c>
      <c r="X137" t="str">
        <f t="shared" si="17"/>
        <v/>
      </c>
      <c r="Y137" t="str">
        <f t="shared" si="18"/>
        <v/>
      </c>
      <c r="Z137" t="str">
        <f t="shared" si="19"/>
        <v/>
      </c>
      <c r="AA137" t="str">
        <f t="shared" si="20"/>
        <v/>
      </c>
      <c r="AB137" t="str">
        <f t="shared" si="21"/>
        <v/>
      </c>
      <c r="AC137" t="str">
        <f t="shared" si="22"/>
        <v/>
      </c>
      <c r="AD137" t="str">
        <f t="shared" si="23"/>
        <v/>
      </c>
      <c r="AE137" t="str">
        <f t="shared" si="24"/>
        <v/>
      </c>
      <c r="AF137" t="str">
        <f t="shared" si="25"/>
        <v/>
      </c>
      <c r="AG137" t="str">
        <f t="shared" si="26"/>
        <v/>
      </c>
      <c r="AH137" s="65" t="str">
        <f t="array" ref="AH137">if(sum(H137:AG137)=0,,sum(sort(TRANSPOSE(H137:AG137),1,false)))</f>
        <v/>
      </c>
    </row>
    <row r="138" hidden="1">
      <c r="F138" s="4">
        <v>6.0</v>
      </c>
      <c r="G138" s="141"/>
      <c r="H138" t="str">
        <f t="shared" si="1"/>
        <v/>
      </c>
      <c r="I138" t="str">
        <f t="shared" si="2"/>
        <v/>
      </c>
      <c r="J138" t="str">
        <f t="shared" si="3"/>
        <v/>
      </c>
      <c r="K138" t="str">
        <f t="shared" si="4"/>
        <v/>
      </c>
      <c r="L138" t="str">
        <f t="shared" si="5"/>
        <v/>
      </c>
      <c r="M138" t="str">
        <f t="shared" si="6"/>
        <v/>
      </c>
      <c r="N138" t="str">
        <f t="shared" si="7"/>
        <v/>
      </c>
      <c r="O138" t="str">
        <f t="shared" si="8"/>
        <v/>
      </c>
      <c r="P138" t="str">
        <f t="shared" si="9"/>
        <v/>
      </c>
      <c r="Q138" t="str">
        <f t="shared" si="10"/>
        <v/>
      </c>
      <c r="R138" t="str">
        <f t="shared" si="11"/>
        <v/>
      </c>
      <c r="S138" t="str">
        <f t="shared" si="12"/>
        <v/>
      </c>
      <c r="T138" t="str">
        <f t="shared" si="13"/>
        <v/>
      </c>
      <c r="U138" t="str">
        <f t="shared" si="14"/>
        <v/>
      </c>
      <c r="V138" t="str">
        <f t="shared" si="15"/>
        <v/>
      </c>
      <c r="W138" t="str">
        <f t="shared" si="16"/>
        <v/>
      </c>
      <c r="X138" t="str">
        <f t="shared" si="17"/>
        <v/>
      </c>
      <c r="Y138" t="str">
        <f t="shared" si="18"/>
        <v/>
      </c>
      <c r="Z138" t="str">
        <f t="shared" si="19"/>
        <v/>
      </c>
      <c r="AA138" t="str">
        <f t="shared" si="20"/>
        <v/>
      </c>
      <c r="AB138" t="str">
        <f t="shared" si="21"/>
        <v/>
      </c>
      <c r="AC138" t="str">
        <f t="shared" si="22"/>
        <v/>
      </c>
      <c r="AD138" t="str">
        <f t="shared" si="23"/>
        <v/>
      </c>
      <c r="AE138" t="str">
        <f t="shared" si="24"/>
        <v/>
      </c>
      <c r="AF138" t="str">
        <f t="shared" si="25"/>
        <v/>
      </c>
      <c r="AG138" t="str">
        <f t="shared" si="26"/>
        <v/>
      </c>
      <c r="AH138" s="65" t="str">
        <f t="array" ref="AH138">if(sum(H138:AG138)=0,,sum(sort(TRANSPOSE(H138:AG138),1,false)))</f>
        <v/>
      </c>
    </row>
    <row r="139" hidden="1">
      <c r="F139" s="4">
        <v>7.0</v>
      </c>
      <c r="G139" s="141"/>
      <c r="H139" t="str">
        <f t="shared" si="1"/>
        <v/>
      </c>
      <c r="I139" t="str">
        <f t="shared" si="2"/>
        <v/>
      </c>
      <c r="J139" t="str">
        <f t="shared" si="3"/>
        <v/>
      </c>
      <c r="K139" t="str">
        <f t="shared" si="4"/>
        <v/>
      </c>
      <c r="L139" t="str">
        <f t="shared" si="5"/>
        <v/>
      </c>
      <c r="M139" t="str">
        <f t="shared" si="6"/>
        <v/>
      </c>
      <c r="N139" t="str">
        <f t="shared" si="7"/>
        <v/>
      </c>
      <c r="O139" t="str">
        <f t="shared" si="8"/>
        <v/>
      </c>
      <c r="P139" t="str">
        <f t="shared" si="9"/>
        <v/>
      </c>
      <c r="Q139" t="str">
        <f t="shared" si="10"/>
        <v/>
      </c>
      <c r="R139" t="str">
        <f t="shared" si="11"/>
        <v/>
      </c>
      <c r="S139" t="str">
        <f t="shared" si="12"/>
        <v/>
      </c>
      <c r="T139" t="str">
        <f t="shared" si="13"/>
        <v/>
      </c>
      <c r="U139" t="str">
        <f t="shared" si="14"/>
        <v/>
      </c>
      <c r="V139" t="str">
        <f t="shared" si="15"/>
        <v/>
      </c>
      <c r="W139" t="str">
        <f t="shared" si="16"/>
        <v/>
      </c>
      <c r="X139" t="str">
        <f t="shared" si="17"/>
        <v/>
      </c>
      <c r="Y139" t="str">
        <f t="shared" si="18"/>
        <v/>
      </c>
      <c r="Z139" t="str">
        <f t="shared" si="19"/>
        <v/>
      </c>
      <c r="AA139" t="str">
        <f t="shared" si="20"/>
        <v/>
      </c>
      <c r="AB139" t="str">
        <f t="shared" si="21"/>
        <v/>
      </c>
      <c r="AC139" t="str">
        <f t="shared" si="22"/>
        <v/>
      </c>
      <c r="AD139" t="str">
        <f t="shared" si="23"/>
        <v/>
      </c>
      <c r="AE139" t="str">
        <f t="shared" si="24"/>
        <v/>
      </c>
      <c r="AF139" t="str">
        <f t="shared" si="25"/>
        <v/>
      </c>
      <c r="AG139" t="str">
        <f t="shared" si="26"/>
        <v/>
      </c>
      <c r="AH139" s="65" t="str">
        <f t="array" ref="AH139">if(sum(H139:AG139)=0,,sum(sort(TRANSPOSE(H139:AG139),1,false)))</f>
        <v/>
      </c>
    </row>
    <row r="140" hidden="1">
      <c r="F140" s="4">
        <v>8.0</v>
      </c>
      <c r="G140" s="141"/>
      <c r="H140" t="str">
        <f t="shared" si="1"/>
        <v/>
      </c>
      <c r="I140" t="str">
        <f t="shared" si="2"/>
        <v/>
      </c>
      <c r="J140" t="str">
        <f t="shared" si="3"/>
        <v/>
      </c>
      <c r="K140" t="str">
        <f t="shared" si="4"/>
        <v/>
      </c>
      <c r="L140" t="str">
        <f t="shared" si="5"/>
        <v/>
      </c>
      <c r="M140" t="str">
        <f t="shared" si="6"/>
        <v/>
      </c>
      <c r="N140" t="str">
        <f t="shared" si="7"/>
        <v/>
      </c>
      <c r="O140" t="str">
        <f t="shared" si="8"/>
        <v/>
      </c>
      <c r="P140" t="str">
        <f t="shared" si="9"/>
        <v/>
      </c>
      <c r="Q140" t="str">
        <f t="shared" si="10"/>
        <v/>
      </c>
      <c r="R140" t="str">
        <f t="shared" si="11"/>
        <v/>
      </c>
      <c r="S140" t="str">
        <f t="shared" si="12"/>
        <v/>
      </c>
      <c r="T140" t="str">
        <f t="shared" si="13"/>
        <v/>
      </c>
      <c r="U140" t="str">
        <f t="shared" si="14"/>
        <v/>
      </c>
      <c r="V140" t="str">
        <f t="shared" si="15"/>
        <v/>
      </c>
      <c r="W140" t="str">
        <f t="shared" si="16"/>
        <v/>
      </c>
      <c r="X140" t="str">
        <f t="shared" si="17"/>
        <v/>
      </c>
      <c r="Y140" t="str">
        <f t="shared" si="18"/>
        <v/>
      </c>
      <c r="Z140" t="str">
        <f t="shared" si="19"/>
        <v/>
      </c>
      <c r="AA140" t="str">
        <f t="shared" si="20"/>
        <v/>
      </c>
      <c r="AB140" t="str">
        <f t="shared" si="21"/>
        <v/>
      </c>
      <c r="AC140" t="str">
        <f t="shared" si="22"/>
        <v/>
      </c>
      <c r="AD140" t="str">
        <f t="shared" si="23"/>
        <v/>
      </c>
      <c r="AE140" t="str">
        <f t="shared" si="24"/>
        <v/>
      </c>
      <c r="AF140" t="str">
        <f t="shared" si="25"/>
        <v/>
      </c>
      <c r="AG140" t="str">
        <f t="shared" si="26"/>
        <v/>
      </c>
      <c r="AH140" s="65" t="str">
        <f t="array" ref="AH140">if(sum(H140:AG140)=0,,sum(sort(TRANSPOSE(H140:AG140),1,false)))</f>
        <v/>
      </c>
    </row>
    <row r="141" hidden="1">
      <c r="F141" s="4">
        <v>9.0</v>
      </c>
      <c r="G141" s="141"/>
      <c r="H141" t="str">
        <f t="shared" si="1"/>
        <v/>
      </c>
      <c r="I141" t="str">
        <f t="shared" si="2"/>
        <v/>
      </c>
      <c r="J141" t="str">
        <f t="shared" si="3"/>
        <v/>
      </c>
      <c r="K141" t="str">
        <f t="shared" si="4"/>
        <v/>
      </c>
      <c r="L141" t="str">
        <f t="shared" si="5"/>
        <v/>
      </c>
      <c r="M141" t="str">
        <f t="shared" si="6"/>
        <v/>
      </c>
      <c r="N141" t="str">
        <f t="shared" si="7"/>
        <v/>
      </c>
      <c r="O141" t="str">
        <f t="shared" si="8"/>
        <v/>
      </c>
      <c r="P141" t="str">
        <f t="shared" si="9"/>
        <v/>
      </c>
      <c r="Q141" t="str">
        <f t="shared" si="10"/>
        <v/>
      </c>
      <c r="R141" t="str">
        <f t="shared" si="11"/>
        <v/>
      </c>
      <c r="S141" t="str">
        <f t="shared" si="12"/>
        <v/>
      </c>
      <c r="T141" t="str">
        <f t="shared" si="13"/>
        <v/>
      </c>
      <c r="U141" t="str">
        <f t="shared" si="14"/>
        <v/>
      </c>
      <c r="V141" t="str">
        <f t="shared" si="15"/>
        <v/>
      </c>
      <c r="W141" t="str">
        <f t="shared" si="16"/>
        <v/>
      </c>
      <c r="X141" t="str">
        <f t="shared" si="17"/>
        <v/>
      </c>
      <c r="Y141" t="str">
        <f t="shared" si="18"/>
        <v/>
      </c>
      <c r="Z141" t="str">
        <f t="shared" si="19"/>
        <v/>
      </c>
      <c r="AA141" t="str">
        <f t="shared" si="20"/>
        <v/>
      </c>
      <c r="AB141" t="str">
        <f t="shared" si="21"/>
        <v/>
      </c>
      <c r="AC141" t="str">
        <f t="shared" si="22"/>
        <v/>
      </c>
      <c r="AD141" t="str">
        <f t="shared" si="23"/>
        <v/>
      </c>
      <c r="AE141" t="str">
        <f t="shared" si="24"/>
        <v/>
      </c>
      <c r="AF141" t="str">
        <f t="shared" si="25"/>
        <v/>
      </c>
      <c r="AG141" t="str">
        <f t="shared" si="26"/>
        <v/>
      </c>
      <c r="AH141" s="65" t="str">
        <f t="array" ref="AH141">if(sum(H141:AG141)=0,,sum(sort(TRANSPOSE(H141:AG141),1,false)))</f>
        <v/>
      </c>
    </row>
    <row r="142" hidden="1">
      <c r="F142" s="4">
        <v>10.0</v>
      </c>
      <c r="G142" s="141"/>
      <c r="H142" t="str">
        <f t="shared" si="1"/>
        <v/>
      </c>
      <c r="I142" t="str">
        <f t="shared" si="2"/>
        <v/>
      </c>
      <c r="J142" t="str">
        <f t="shared" si="3"/>
        <v/>
      </c>
      <c r="K142" t="str">
        <f t="shared" si="4"/>
        <v/>
      </c>
      <c r="L142" t="str">
        <f t="shared" si="5"/>
        <v/>
      </c>
      <c r="M142" t="str">
        <f t="shared" si="6"/>
        <v/>
      </c>
      <c r="N142" t="str">
        <f t="shared" si="7"/>
        <v/>
      </c>
      <c r="O142" t="str">
        <f t="shared" si="8"/>
        <v/>
      </c>
      <c r="P142" t="str">
        <f t="shared" si="9"/>
        <v/>
      </c>
      <c r="Q142" t="str">
        <f t="shared" si="10"/>
        <v/>
      </c>
      <c r="R142" t="str">
        <f t="shared" si="11"/>
        <v/>
      </c>
      <c r="S142" t="str">
        <f t="shared" si="12"/>
        <v/>
      </c>
      <c r="T142" t="str">
        <f t="shared" si="13"/>
        <v/>
      </c>
      <c r="U142" t="str">
        <f t="shared" si="14"/>
        <v/>
      </c>
      <c r="V142" t="str">
        <f t="shared" si="15"/>
        <v/>
      </c>
      <c r="W142" t="str">
        <f t="shared" si="16"/>
        <v/>
      </c>
      <c r="X142" t="str">
        <f t="shared" si="17"/>
        <v/>
      </c>
      <c r="Y142" t="str">
        <f t="shared" si="18"/>
        <v/>
      </c>
      <c r="Z142" t="str">
        <f t="shared" si="19"/>
        <v/>
      </c>
      <c r="AA142" t="str">
        <f t="shared" si="20"/>
        <v/>
      </c>
      <c r="AB142" t="str">
        <f t="shared" si="21"/>
        <v/>
      </c>
      <c r="AC142" t="str">
        <f t="shared" si="22"/>
        <v/>
      </c>
      <c r="AD142" t="str">
        <f t="shared" si="23"/>
        <v/>
      </c>
      <c r="AE142" t="str">
        <f t="shared" si="24"/>
        <v/>
      </c>
      <c r="AF142" t="str">
        <f t="shared" si="25"/>
        <v/>
      </c>
      <c r="AG142" t="str">
        <f t="shared" si="26"/>
        <v/>
      </c>
      <c r="AH142" s="65" t="str">
        <f t="array" ref="AH142">if(sum(H142:AG142)=0,,sum(sort(TRANSPOSE(H142:AG142),1,false)))</f>
        <v/>
      </c>
    </row>
    <row r="143" hidden="1">
      <c r="F143" s="4">
        <v>11.0</v>
      </c>
      <c r="G143" s="141"/>
      <c r="H143" t="str">
        <f t="shared" si="1"/>
        <v/>
      </c>
      <c r="I143" t="str">
        <f t="shared" si="2"/>
        <v/>
      </c>
      <c r="J143" t="str">
        <f t="shared" si="3"/>
        <v/>
      </c>
      <c r="K143" t="str">
        <f t="shared" si="4"/>
        <v/>
      </c>
      <c r="L143" t="str">
        <f t="shared" si="5"/>
        <v/>
      </c>
      <c r="M143" t="str">
        <f t="shared" si="6"/>
        <v/>
      </c>
      <c r="N143" t="str">
        <f t="shared" si="7"/>
        <v/>
      </c>
      <c r="O143" t="str">
        <f t="shared" si="8"/>
        <v/>
      </c>
      <c r="P143" t="str">
        <f t="shared" si="9"/>
        <v/>
      </c>
      <c r="Q143" t="str">
        <f t="shared" si="10"/>
        <v/>
      </c>
      <c r="R143" t="str">
        <f t="shared" si="11"/>
        <v/>
      </c>
      <c r="S143" t="str">
        <f t="shared" si="12"/>
        <v/>
      </c>
      <c r="T143" t="str">
        <f t="shared" si="13"/>
        <v/>
      </c>
      <c r="U143" t="str">
        <f t="shared" si="14"/>
        <v/>
      </c>
      <c r="V143" t="str">
        <f t="shared" si="15"/>
        <v/>
      </c>
      <c r="W143" t="str">
        <f t="shared" si="16"/>
        <v/>
      </c>
      <c r="X143" t="str">
        <f t="shared" si="17"/>
        <v/>
      </c>
      <c r="Y143" t="str">
        <f t="shared" si="18"/>
        <v/>
      </c>
      <c r="Z143" t="str">
        <f t="shared" si="19"/>
        <v/>
      </c>
      <c r="AA143" t="str">
        <f t="shared" si="20"/>
        <v/>
      </c>
      <c r="AB143" t="str">
        <f t="shared" si="21"/>
        <v/>
      </c>
      <c r="AC143" t="str">
        <f t="shared" si="22"/>
        <v/>
      </c>
      <c r="AD143" t="str">
        <f t="shared" si="23"/>
        <v/>
      </c>
      <c r="AE143" t="str">
        <f t="shared" si="24"/>
        <v/>
      </c>
      <c r="AF143" t="str">
        <f t="shared" si="25"/>
        <v/>
      </c>
      <c r="AG143" t="str">
        <f t="shared" si="26"/>
        <v/>
      </c>
      <c r="AH143" s="65" t="str">
        <f t="array" ref="AH143">if(sum(H143:AG143)=0,,sum(sort(TRANSPOSE(H143:AG143),1,false)))</f>
        <v/>
      </c>
    </row>
    <row r="144" hidden="1">
      <c r="F144" s="4">
        <v>12.0</v>
      </c>
      <c r="G144" s="141"/>
      <c r="H144" t="str">
        <f t="shared" si="1"/>
        <v/>
      </c>
      <c r="I144" t="str">
        <f t="shared" si="2"/>
        <v/>
      </c>
      <c r="J144" t="str">
        <f t="shared" si="3"/>
        <v/>
      </c>
      <c r="K144" t="str">
        <f t="shared" si="4"/>
        <v/>
      </c>
      <c r="L144" t="str">
        <f t="shared" si="5"/>
        <v/>
      </c>
      <c r="M144" t="str">
        <f t="shared" si="6"/>
        <v/>
      </c>
      <c r="N144" t="str">
        <f t="shared" si="7"/>
        <v/>
      </c>
      <c r="O144" t="str">
        <f t="shared" si="8"/>
        <v/>
      </c>
      <c r="P144" t="str">
        <f t="shared" si="9"/>
        <v/>
      </c>
      <c r="Q144" t="str">
        <f t="shared" si="10"/>
        <v/>
      </c>
      <c r="R144" t="str">
        <f t="shared" si="11"/>
        <v/>
      </c>
      <c r="S144" t="str">
        <f t="shared" si="12"/>
        <v/>
      </c>
      <c r="T144" t="str">
        <f t="shared" si="13"/>
        <v/>
      </c>
      <c r="U144" t="str">
        <f t="shared" si="14"/>
        <v/>
      </c>
      <c r="V144" t="str">
        <f t="shared" si="15"/>
        <v/>
      </c>
      <c r="W144" t="str">
        <f t="shared" si="16"/>
        <v/>
      </c>
      <c r="X144" t="str">
        <f t="shared" si="17"/>
        <v/>
      </c>
      <c r="Y144" t="str">
        <f t="shared" si="18"/>
        <v/>
      </c>
      <c r="Z144" t="str">
        <f t="shared" si="19"/>
        <v/>
      </c>
      <c r="AA144" t="str">
        <f t="shared" si="20"/>
        <v/>
      </c>
      <c r="AB144" t="str">
        <f t="shared" si="21"/>
        <v/>
      </c>
      <c r="AC144" t="str">
        <f t="shared" si="22"/>
        <v/>
      </c>
      <c r="AD144" t="str">
        <f t="shared" si="23"/>
        <v/>
      </c>
      <c r="AE144" t="str">
        <f t="shared" si="24"/>
        <v/>
      </c>
      <c r="AF144" t="str">
        <f t="shared" si="25"/>
        <v/>
      </c>
      <c r="AG144" t="str">
        <f t="shared" si="26"/>
        <v/>
      </c>
      <c r="AH144" s="65" t="str">
        <f t="array" ref="AH144">if(sum(H144:AG144)=0,,sum(sort(TRANSPOSE(H144:AG144),1,false)))</f>
        <v/>
      </c>
    </row>
    <row r="145" hidden="1">
      <c r="F145" s="4">
        <v>13.0</v>
      </c>
      <c r="G145" s="141"/>
      <c r="H145" t="str">
        <f t="shared" si="1"/>
        <v/>
      </c>
      <c r="I145" t="str">
        <f t="shared" si="2"/>
        <v/>
      </c>
      <c r="J145" t="str">
        <f t="shared" si="3"/>
        <v/>
      </c>
      <c r="K145" t="str">
        <f t="shared" si="4"/>
        <v/>
      </c>
      <c r="L145" t="str">
        <f t="shared" si="5"/>
        <v/>
      </c>
      <c r="M145" t="str">
        <f t="shared" si="6"/>
        <v/>
      </c>
      <c r="N145" t="str">
        <f t="shared" si="7"/>
        <v/>
      </c>
      <c r="O145" t="str">
        <f t="shared" si="8"/>
        <v/>
      </c>
      <c r="P145" t="str">
        <f t="shared" si="9"/>
        <v/>
      </c>
      <c r="Q145" t="str">
        <f t="shared" si="10"/>
        <v/>
      </c>
      <c r="R145" t="str">
        <f t="shared" si="11"/>
        <v/>
      </c>
      <c r="S145" t="str">
        <f t="shared" si="12"/>
        <v/>
      </c>
      <c r="T145" t="str">
        <f t="shared" si="13"/>
        <v/>
      </c>
      <c r="U145" t="str">
        <f t="shared" si="14"/>
        <v/>
      </c>
      <c r="V145" t="str">
        <f t="shared" si="15"/>
        <v/>
      </c>
      <c r="W145" t="str">
        <f t="shared" si="16"/>
        <v/>
      </c>
      <c r="X145" t="str">
        <f t="shared" si="17"/>
        <v/>
      </c>
      <c r="Y145" t="str">
        <f t="shared" si="18"/>
        <v/>
      </c>
      <c r="Z145" t="str">
        <f t="shared" si="19"/>
        <v/>
      </c>
      <c r="AA145" t="str">
        <f t="shared" si="20"/>
        <v/>
      </c>
      <c r="AB145" t="str">
        <f t="shared" si="21"/>
        <v/>
      </c>
      <c r="AC145" t="str">
        <f t="shared" si="22"/>
        <v/>
      </c>
      <c r="AD145" t="str">
        <f t="shared" si="23"/>
        <v/>
      </c>
      <c r="AE145" t="str">
        <f t="shared" si="24"/>
        <v/>
      </c>
      <c r="AF145" t="str">
        <f t="shared" si="25"/>
        <v/>
      </c>
      <c r="AG145" t="str">
        <f t="shared" si="26"/>
        <v/>
      </c>
      <c r="AH145" s="65" t="str">
        <f t="array" ref="AH145">if(sum(H145:AG145)=0,,sum(sort(TRANSPOSE(H145:AG145),1,false)))</f>
        <v/>
      </c>
    </row>
    <row r="146" hidden="1">
      <c r="F146" s="4">
        <v>14.0</v>
      </c>
      <c r="H146" t="str">
        <f t="shared" si="1"/>
        <v/>
      </c>
      <c r="I146" t="str">
        <f t="shared" si="2"/>
        <v/>
      </c>
      <c r="J146" t="str">
        <f t="shared" si="3"/>
        <v/>
      </c>
      <c r="K146" t="str">
        <f t="shared" si="4"/>
        <v/>
      </c>
      <c r="L146" t="str">
        <f t="shared" si="5"/>
        <v/>
      </c>
      <c r="M146" t="str">
        <f t="shared" si="6"/>
        <v/>
      </c>
      <c r="N146" t="str">
        <f t="shared" si="7"/>
        <v/>
      </c>
      <c r="O146" t="str">
        <f t="shared" si="8"/>
        <v/>
      </c>
      <c r="P146" t="str">
        <f t="shared" si="9"/>
        <v/>
      </c>
      <c r="Q146" t="str">
        <f t="shared" si="10"/>
        <v/>
      </c>
      <c r="R146" t="str">
        <f t="shared" si="11"/>
        <v/>
      </c>
      <c r="S146" t="str">
        <f t="shared" si="12"/>
        <v/>
      </c>
      <c r="T146" t="str">
        <f t="shared" si="13"/>
        <v/>
      </c>
      <c r="U146" t="str">
        <f t="shared" si="14"/>
        <v/>
      </c>
      <c r="V146" t="str">
        <f t="shared" si="15"/>
        <v/>
      </c>
      <c r="W146" t="str">
        <f t="shared" si="16"/>
        <v/>
      </c>
      <c r="X146" t="str">
        <f t="shared" si="17"/>
        <v/>
      </c>
      <c r="Y146" t="str">
        <f t="shared" si="18"/>
        <v/>
      </c>
      <c r="Z146" t="str">
        <f t="shared" si="19"/>
        <v/>
      </c>
      <c r="AA146" t="str">
        <f t="shared" si="20"/>
        <v/>
      </c>
      <c r="AB146" t="str">
        <f t="shared" si="21"/>
        <v/>
      </c>
      <c r="AC146" t="str">
        <f t="shared" si="22"/>
        <v/>
      </c>
      <c r="AD146" t="str">
        <f t="shared" si="23"/>
        <v/>
      </c>
      <c r="AE146" t="str">
        <f t="shared" si="24"/>
        <v/>
      </c>
      <c r="AF146" t="str">
        <f t="shared" si="25"/>
        <v/>
      </c>
      <c r="AG146" t="str">
        <f t="shared" si="26"/>
        <v/>
      </c>
      <c r="AH146" s="65" t="str">
        <f t="array" ref="AH146">if(sum(H146:AG146)=0,,sum(sort(TRANSPOSE(H146:AG146),1,false)))</f>
        <v/>
      </c>
    </row>
    <row r="147" hidden="1">
      <c r="F147" s="4">
        <v>15.0</v>
      </c>
      <c r="H147" t="str">
        <f t="shared" si="1"/>
        <v/>
      </c>
      <c r="I147" t="str">
        <f t="shared" si="2"/>
        <v/>
      </c>
      <c r="J147" t="str">
        <f t="shared" si="3"/>
        <v/>
      </c>
      <c r="K147" t="str">
        <f t="shared" si="4"/>
        <v/>
      </c>
      <c r="L147" t="str">
        <f t="shared" si="5"/>
        <v/>
      </c>
      <c r="M147" t="str">
        <f t="shared" si="6"/>
        <v/>
      </c>
      <c r="N147" t="str">
        <f t="shared" si="7"/>
        <v/>
      </c>
      <c r="O147" t="str">
        <f t="shared" si="8"/>
        <v/>
      </c>
      <c r="P147" t="str">
        <f t="shared" si="9"/>
        <v/>
      </c>
      <c r="Q147" t="str">
        <f t="shared" si="10"/>
        <v/>
      </c>
      <c r="R147" t="str">
        <f t="shared" si="11"/>
        <v/>
      </c>
      <c r="S147" t="str">
        <f t="shared" si="12"/>
        <v/>
      </c>
      <c r="T147" t="str">
        <f t="shared" si="13"/>
        <v/>
      </c>
      <c r="U147" t="str">
        <f t="shared" si="14"/>
        <v/>
      </c>
      <c r="V147" t="str">
        <f t="shared" si="15"/>
        <v/>
      </c>
      <c r="W147" t="str">
        <f t="shared" si="16"/>
        <v/>
      </c>
      <c r="X147" t="str">
        <f t="shared" si="17"/>
        <v/>
      </c>
      <c r="Y147" t="str">
        <f t="shared" si="18"/>
        <v/>
      </c>
      <c r="Z147" t="str">
        <f t="shared" si="19"/>
        <v/>
      </c>
      <c r="AA147" t="str">
        <f t="shared" si="20"/>
        <v/>
      </c>
      <c r="AB147" t="str">
        <f t="shared" si="21"/>
        <v/>
      </c>
      <c r="AC147" t="str">
        <f t="shared" si="22"/>
        <v/>
      </c>
      <c r="AD147" t="str">
        <f t="shared" si="23"/>
        <v/>
      </c>
      <c r="AE147" t="str">
        <f t="shared" si="24"/>
        <v/>
      </c>
      <c r="AF147" t="str">
        <f t="shared" si="25"/>
        <v/>
      </c>
      <c r="AG147" t="str">
        <f t="shared" si="26"/>
        <v/>
      </c>
      <c r="AH147" s="65" t="str">
        <f t="array" ref="AH147">if(sum(H147:AG147)=0,,sum(sort(TRANSPOSE(H147:AG147),1,false)))</f>
        <v/>
      </c>
    </row>
    <row r="148" hidden="1">
      <c r="F148" s="4">
        <v>16.0</v>
      </c>
      <c r="H148" t="str">
        <f t="shared" si="1"/>
        <v/>
      </c>
      <c r="I148" t="str">
        <f t="shared" si="2"/>
        <v/>
      </c>
      <c r="J148" t="str">
        <f t="shared" si="3"/>
        <v/>
      </c>
      <c r="K148" t="str">
        <f t="shared" si="4"/>
        <v/>
      </c>
      <c r="L148" t="str">
        <f t="shared" si="5"/>
        <v/>
      </c>
      <c r="M148" t="str">
        <f t="shared" si="6"/>
        <v/>
      </c>
      <c r="N148" t="str">
        <f t="shared" si="7"/>
        <v/>
      </c>
      <c r="O148" t="str">
        <f t="shared" si="8"/>
        <v/>
      </c>
      <c r="P148" t="str">
        <f t="shared" si="9"/>
        <v/>
      </c>
      <c r="Q148" t="str">
        <f t="shared" si="10"/>
        <v/>
      </c>
      <c r="R148" t="str">
        <f t="shared" si="11"/>
        <v/>
      </c>
      <c r="S148" t="str">
        <f t="shared" si="12"/>
        <v/>
      </c>
      <c r="T148" t="str">
        <f t="shared" si="13"/>
        <v/>
      </c>
      <c r="U148" t="str">
        <f t="shared" si="14"/>
        <v/>
      </c>
      <c r="V148" t="str">
        <f t="shared" si="15"/>
        <v/>
      </c>
      <c r="W148" t="str">
        <f t="shared" si="16"/>
        <v/>
      </c>
      <c r="X148" t="str">
        <f t="shared" si="17"/>
        <v/>
      </c>
      <c r="Y148" t="str">
        <f t="shared" si="18"/>
        <v/>
      </c>
      <c r="Z148" t="str">
        <f t="shared" si="19"/>
        <v/>
      </c>
      <c r="AA148" t="str">
        <f t="shared" si="20"/>
        <v/>
      </c>
      <c r="AB148" t="str">
        <f t="shared" si="21"/>
        <v/>
      </c>
      <c r="AC148" t="str">
        <f t="shared" si="22"/>
        <v/>
      </c>
      <c r="AD148" t="str">
        <f t="shared" si="23"/>
        <v/>
      </c>
      <c r="AE148" t="str">
        <f t="shared" si="24"/>
        <v/>
      </c>
      <c r="AF148" t="str">
        <f t="shared" si="25"/>
        <v/>
      </c>
      <c r="AG148" t="str">
        <f t="shared" si="26"/>
        <v/>
      </c>
      <c r="AH148" s="65" t="str">
        <f t="array" ref="AH148">if(sum(H148:AG148)=0,,sum(sort(TRANSPOSE(H148:AG148),1,false)))</f>
        <v/>
      </c>
    </row>
    <row r="149" hidden="1">
      <c r="F149" s="4">
        <v>17.0</v>
      </c>
      <c r="H149" t="str">
        <f t="shared" si="1"/>
        <v/>
      </c>
      <c r="I149" t="str">
        <f t="shared" si="2"/>
        <v/>
      </c>
      <c r="J149" t="str">
        <f t="shared" si="3"/>
        <v/>
      </c>
      <c r="K149" t="str">
        <f t="shared" si="4"/>
        <v/>
      </c>
      <c r="L149" t="str">
        <f t="shared" si="5"/>
        <v/>
      </c>
      <c r="M149" t="str">
        <f t="shared" si="6"/>
        <v/>
      </c>
      <c r="N149" t="str">
        <f t="shared" si="7"/>
        <v/>
      </c>
      <c r="O149" t="str">
        <f t="shared" si="8"/>
        <v/>
      </c>
      <c r="P149" t="str">
        <f t="shared" si="9"/>
        <v/>
      </c>
      <c r="Q149" t="str">
        <f t="shared" si="10"/>
        <v/>
      </c>
      <c r="R149" t="str">
        <f t="shared" si="11"/>
        <v/>
      </c>
      <c r="S149" t="str">
        <f t="shared" si="12"/>
        <v/>
      </c>
      <c r="T149" t="str">
        <f t="shared" si="13"/>
        <v/>
      </c>
      <c r="U149" t="str">
        <f t="shared" si="14"/>
        <v/>
      </c>
      <c r="V149" t="str">
        <f t="shared" si="15"/>
        <v/>
      </c>
      <c r="W149" t="str">
        <f t="shared" si="16"/>
        <v/>
      </c>
      <c r="X149" t="str">
        <f t="shared" si="17"/>
        <v/>
      </c>
      <c r="Y149" t="str">
        <f t="shared" si="18"/>
        <v/>
      </c>
      <c r="Z149" t="str">
        <f t="shared" si="19"/>
        <v/>
      </c>
      <c r="AA149" t="str">
        <f t="shared" si="20"/>
        <v/>
      </c>
      <c r="AB149" t="str">
        <f t="shared" si="21"/>
        <v/>
      </c>
      <c r="AC149" t="str">
        <f t="shared" si="22"/>
        <v/>
      </c>
      <c r="AD149" t="str">
        <f t="shared" si="23"/>
        <v/>
      </c>
      <c r="AE149" t="str">
        <f t="shared" si="24"/>
        <v/>
      </c>
      <c r="AF149" t="str">
        <f t="shared" si="25"/>
        <v/>
      </c>
      <c r="AG149" t="str">
        <f t="shared" si="26"/>
        <v/>
      </c>
      <c r="AH149" s="65" t="str">
        <f t="array" ref="AH149">if(sum(H149:AG149)=0,,sum(sort(TRANSPOSE(H149:AG149),1,false)))</f>
        <v/>
      </c>
    </row>
    <row r="150" hidden="1">
      <c r="F150" s="4">
        <v>18.0</v>
      </c>
      <c r="H150" t="str">
        <f t="shared" si="1"/>
        <v/>
      </c>
      <c r="I150" t="str">
        <f t="shared" si="2"/>
        <v/>
      </c>
      <c r="J150" t="str">
        <f t="shared" si="3"/>
        <v/>
      </c>
      <c r="K150" t="str">
        <f t="shared" si="4"/>
        <v/>
      </c>
      <c r="L150" t="str">
        <f t="shared" si="5"/>
        <v/>
      </c>
      <c r="M150" t="str">
        <f t="shared" si="6"/>
        <v/>
      </c>
      <c r="N150" t="str">
        <f t="shared" si="7"/>
        <v/>
      </c>
      <c r="O150" t="str">
        <f t="shared" si="8"/>
        <v/>
      </c>
      <c r="P150" t="str">
        <f t="shared" si="9"/>
        <v/>
      </c>
      <c r="Q150" t="str">
        <f t="shared" si="10"/>
        <v/>
      </c>
      <c r="R150" t="str">
        <f t="shared" si="11"/>
        <v/>
      </c>
      <c r="S150" t="str">
        <f t="shared" si="12"/>
        <v/>
      </c>
      <c r="T150" t="str">
        <f t="shared" si="13"/>
        <v/>
      </c>
      <c r="U150" t="str">
        <f t="shared" si="14"/>
        <v/>
      </c>
      <c r="V150" t="str">
        <f t="shared" si="15"/>
        <v/>
      </c>
      <c r="W150" t="str">
        <f t="shared" si="16"/>
        <v/>
      </c>
      <c r="X150" t="str">
        <f t="shared" si="17"/>
        <v/>
      </c>
      <c r="Y150" t="str">
        <f t="shared" si="18"/>
        <v/>
      </c>
      <c r="Z150" t="str">
        <f t="shared" si="19"/>
        <v/>
      </c>
      <c r="AA150" t="str">
        <f t="shared" si="20"/>
        <v/>
      </c>
      <c r="AB150" t="str">
        <f t="shared" si="21"/>
        <v/>
      </c>
      <c r="AC150" t="str">
        <f t="shared" si="22"/>
        <v/>
      </c>
      <c r="AD150" t="str">
        <f t="shared" si="23"/>
        <v/>
      </c>
      <c r="AE150" t="str">
        <f t="shared" si="24"/>
        <v/>
      </c>
      <c r="AF150" t="str">
        <f t="shared" si="25"/>
        <v/>
      </c>
      <c r="AG150" t="str">
        <f t="shared" si="26"/>
        <v/>
      </c>
      <c r="AH150" s="65" t="str">
        <f t="array" ref="AH150">if(sum(H150:AG150)=0,,sum(sort(TRANSPOSE(H150:AG150),1,false)))</f>
        <v/>
      </c>
    </row>
    <row r="151" hidden="1">
      <c r="F151" s="4">
        <v>19.0</v>
      </c>
      <c r="H151" t="str">
        <f t="shared" si="1"/>
        <v/>
      </c>
      <c r="I151" t="str">
        <f t="shared" si="2"/>
        <v/>
      </c>
      <c r="J151" t="str">
        <f t="shared" si="3"/>
        <v/>
      </c>
      <c r="K151" t="str">
        <f t="shared" si="4"/>
        <v/>
      </c>
      <c r="L151" t="str">
        <f t="shared" si="5"/>
        <v/>
      </c>
      <c r="M151" t="str">
        <f t="shared" si="6"/>
        <v/>
      </c>
      <c r="N151" t="str">
        <f t="shared" si="7"/>
        <v/>
      </c>
      <c r="O151" t="str">
        <f t="shared" si="8"/>
        <v/>
      </c>
      <c r="P151" t="str">
        <f t="shared" si="9"/>
        <v/>
      </c>
      <c r="Q151" t="str">
        <f t="shared" si="10"/>
        <v/>
      </c>
      <c r="R151" t="str">
        <f t="shared" si="11"/>
        <v/>
      </c>
      <c r="S151" t="str">
        <f t="shared" si="12"/>
        <v/>
      </c>
      <c r="T151" t="str">
        <f t="shared" si="13"/>
        <v/>
      </c>
      <c r="U151" t="str">
        <f t="shared" si="14"/>
        <v/>
      </c>
      <c r="V151" t="str">
        <f t="shared" si="15"/>
        <v/>
      </c>
      <c r="W151" t="str">
        <f t="shared" si="16"/>
        <v/>
      </c>
      <c r="X151" t="str">
        <f t="shared" si="17"/>
        <v/>
      </c>
      <c r="Y151" t="str">
        <f t="shared" si="18"/>
        <v/>
      </c>
      <c r="Z151" t="str">
        <f t="shared" si="19"/>
        <v/>
      </c>
      <c r="AA151" t="str">
        <f t="shared" si="20"/>
        <v/>
      </c>
      <c r="AB151" t="str">
        <f t="shared" si="21"/>
        <v/>
      </c>
      <c r="AC151" t="str">
        <f t="shared" si="22"/>
        <v/>
      </c>
      <c r="AD151" t="str">
        <f t="shared" si="23"/>
        <v/>
      </c>
      <c r="AE151" t="str">
        <f t="shared" si="24"/>
        <v/>
      </c>
      <c r="AF151" t="str">
        <f t="shared" si="25"/>
        <v/>
      </c>
      <c r="AG151" t="str">
        <f t="shared" si="26"/>
        <v/>
      </c>
      <c r="AH151" s="65" t="str">
        <f t="array" ref="AH151">if(sum(H151:AG151)=0,,sum(sort(TRANSPOSE(H151:AG151),1,false)))</f>
        <v/>
      </c>
    </row>
    <row r="152" hidden="1">
      <c r="F152" s="4">
        <v>20.0</v>
      </c>
      <c r="H152" t="str">
        <f t="shared" si="1"/>
        <v/>
      </c>
      <c r="I152" t="str">
        <f t="shared" si="2"/>
        <v/>
      </c>
      <c r="J152" t="str">
        <f t="shared" si="3"/>
        <v/>
      </c>
      <c r="K152" t="str">
        <f t="shared" si="4"/>
        <v/>
      </c>
      <c r="L152" t="str">
        <f t="shared" si="5"/>
        <v/>
      </c>
      <c r="M152" t="str">
        <f t="shared" si="6"/>
        <v/>
      </c>
      <c r="N152" t="str">
        <f t="shared" si="7"/>
        <v/>
      </c>
      <c r="O152" t="str">
        <f t="shared" si="8"/>
        <v/>
      </c>
      <c r="P152" t="str">
        <f t="shared" si="9"/>
        <v/>
      </c>
      <c r="Q152" t="str">
        <f t="shared" si="10"/>
        <v/>
      </c>
      <c r="R152" t="str">
        <f t="shared" si="11"/>
        <v/>
      </c>
      <c r="S152" t="str">
        <f t="shared" si="12"/>
        <v/>
      </c>
      <c r="T152" t="str">
        <f t="shared" si="13"/>
        <v/>
      </c>
      <c r="U152" t="str">
        <f t="shared" si="14"/>
        <v/>
      </c>
      <c r="V152" t="str">
        <f t="shared" si="15"/>
        <v/>
      </c>
      <c r="W152" t="str">
        <f t="shared" si="16"/>
        <v/>
      </c>
      <c r="X152" t="str">
        <f t="shared" si="17"/>
        <v/>
      </c>
      <c r="Y152" t="str">
        <f t="shared" si="18"/>
        <v/>
      </c>
      <c r="Z152" t="str">
        <f t="shared" si="19"/>
        <v/>
      </c>
      <c r="AA152" t="str">
        <f t="shared" si="20"/>
        <v/>
      </c>
      <c r="AB152" t="str">
        <f t="shared" si="21"/>
        <v/>
      </c>
      <c r="AC152" t="str">
        <f t="shared" si="22"/>
        <v/>
      </c>
      <c r="AD152" t="str">
        <f t="shared" si="23"/>
        <v/>
      </c>
      <c r="AE152" t="str">
        <f t="shared" si="24"/>
        <v/>
      </c>
      <c r="AF152" t="str">
        <f t="shared" si="25"/>
        <v/>
      </c>
      <c r="AG152" t="str">
        <f t="shared" si="26"/>
        <v/>
      </c>
      <c r="AH152" s="65" t="str">
        <f t="array" ref="AH152">if(sum(H152:AG152)=0,,sum(sort(TRANSPOSE(H152:AG152),1,false)))</f>
        <v/>
      </c>
    </row>
    <row r="153" hidden="1">
      <c r="F153" s="4">
        <v>21.0</v>
      </c>
      <c r="H153" t="str">
        <f t="shared" si="1"/>
        <v/>
      </c>
      <c r="I153" t="str">
        <f t="shared" si="2"/>
        <v/>
      </c>
      <c r="J153" t="str">
        <f t="shared" si="3"/>
        <v/>
      </c>
      <c r="K153" t="str">
        <f t="shared" si="4"/>
        <v/>
      </c>
      <c r="L153" t="str">
        <f t="shared" si="5"/>
        <v/>
      </c>
      <c r="M153" t="str">
        <f t="shared" si="6"/>
        <v/>
      </c>
      <c r="N153" t="str">
        <f t="shared" si="7"/>
        <v/>
      </c>
      <c r="O153" t="str">
        <f t="shared" si="8"/>
        <v/>
      </c>
      <c r="P153" t="str">
        <f t="shared" si="9"/>
        <v/>
      </c>
      <c r="Q153" t="str">
        <f t="shared" si="10"/>
        <v/>
      </c>
      <c r="R153" t="str">
        <f t="shared" si="11"/>
        <v/>
      </c>
      <c r="S153" t="str">
        <f t="shared" si="12"/>
        <v/>
      </c>
      <c r="T153" t="str">
        <f t="shared" si="13"/>
        <v/>
      </c>
      <c r="U153" t="str">
        <f t="shared" si="14"/>
        <v/>
      </c>
      <c r="V153" t="str">
        <f t="shared" si="15"/>
        <v/>
      </c>
      <c r="W153" t="str">
        <f t="shared" si="16"/>
        <v/>
      </c>
      <c r="X153" t="str">
        <f t="shared" si="17"/>
        <v/>
      </c>
      <c r="Y153" t="str">
        <f t="shared" si="18"/>
        <v/>
      </c>
      <c r="Z153" t="str">
        <f t="shared" si="19"/>
        <v/>
      </c>
      <c r="AA153" t="str">
        <f t="shared" si="20"/>
        <v/>
      </c>
      <c r="AB153" t="str">
        <f t="shared" si="21"/>
        <v/>
      </c>
      <c r="AC153" t="str">
        <f t="shared" si="22"/>
        <v/>
      </c>
      <c r="AD153" t="str">
        <f t="shared" si="23"/>
        <v/>
      </c>
      <c r="AE153" t="str">
        <f t="shared" si="24"/>
        <v/>
      </c>
      <c r="AF153" t="str">
        <f t="shared" si="25"/>
        <v/>
      </c>
      <c r="AG153" t="str">
        <f t="shared" si="26"/>
        <v/>
      </c>
      <c r="AH153" s="65" t="str">
        <f t="array" ref="AH153">if(sum(H153:AG153)=0,,sum(sort(TRANSPOSE(H153:AG153),1,false)))</f>
        <v/>
      </c>
    </row>
    <row r="154" hidden="1">
      <c r="F154" s="4">
        <v>22.0</v>
      </c>
      <c r="H154" t="str">
        <f t="shared" si="1"/>
        <v/>
      </c>
      <c r="I154" t="str">
        <f t="shared" si="2"/>
        <v/>
      </c>
      <c r="J154" t="str">
        <f t="shared" si="3"/>
        <v/>
      </c>
      <c r="K154" t="str">
        <f t="shared" si="4"/>
        <v/>
      </c>
      <c r="L154" t="str">
        <f t="shared" si="5"/>
        <v/>
      </c>
      <c r="M154" t="str">
        <f t="shared" si="6"/>
        <v/>
      </c>
      <c r="N154" t="str">
        <f t="shared" si="7"/>
        <v/>
      </c>
      <c r="O154" t="str">
        <f t="shared" si="8"/>
        <v/>
      </c>
      <c r="P154" t="str">
        <f t="shared" si="9"/>
        <v/>
      </c>
      <c r="Q154" t="str">
        <f t="shared" si="10"/>
        <v/>
      </c>
      <c r="R154" t="str">
        <f t="shared" si="11"/>
        <v/>
      </c>
      <c r="S154" t="str">
        <f t="shared" si="12"/>
        <v/>
      </c>
      <c r="T154" t="str">
        <f t="shared" si="13"/>
        <v/>
      </c>
      <c r="U154" t="str">
        <f t="shared" si="14"/>
        <v/>
      </c>
      <c r="V154" t="str">
        <f t="shared" si="15"/>
        <v/>
      </c>
      <c r="W154" t="str">
        <f t="shared" si="16"/>
        <v/>
      </c>
      <c r="X154" t="str">
        <f t="shared" si="17"/>
        <v/>
      </c>
      <c r="Y154" t="str">
        <f t="shared" si="18"/>
        <v/>
      </c>
      <c r="Z154" t="str">
        <f t="shared" si="19"/>
        <v/>
      </c>
      <c r="AA154" t="str">
        <f t="shared" si="20"/>
        <v/>
      </c>
      <c r="AB154" t="str">
        <f t="shared" si="21"/>
        <v/>
      </c>
      <c r="AC154" t="str">
        <f t="shared" si="22"/>
        <v/>
      </c>
      <c r="AD154" t="str">
        <f t="shared" si="23"/>
        <v/>
      </c>
      <c r="AE154" t="str">
        <f t="shared" si="24"/>
        <v/>
      </c>
      <c r="AF154" t="str">
        <f t="shared" si="25"/>
        <v/>
      </c>
      <c r="AG154" t="str">
        <f t="shared" si="26"/>
        <v/>
      </c>
      <c r="AH154" s="65" t="str">
        <f t="array" ref="AH154">if(sum(H154:AG154)=0,,sum(sort(TRANSPOSE(H154:AG154),1,false)))</f>
        <v/>
      </c>
    </row>
    <row r="155" hidden="1">
      <c r="F155" s="4">
        <v>23.0</v>
      </c>
      <c r="H155" t="str">
        <f t="shared" si="1"/>
        <v/>
      </c>
      <c r="I155" t="str">
        <f t="shared" si="2"/>
        <v/>
      </c>
      <c r="J155" t="str">
        <f t="shared" si="3"/>
        <v/>
      </c>
      <c r="K155" t="str">
        <f t="shared" si="4"/>
        <v/>
      </c>
      <c r="L155" t="str">
        <f t="shared" si="5"/>
        <v/>
      </c>
      <c r="M155" t="str">
        <f t="shared" si="6"/>
        <v/>
      </c>
      <c r="N155" t="str">
        <f t="shared" si="7"/>
        <v/>
      </c>
      <c r="O155" t="str">
        <f t="shared" si="8"/>
        <v/>
      </c>
      <c r="P155" t="str">
        <f t="shared" si="9"/>
        <v/>
      </c>
      <c r="Q155" t="str">
        <f t="shared" si="10"/>
        <v/>
      </c>
      <c r="R155" t="str">
        <f t="shared" si="11"/>
        <v/>
      </c>
      <c r="S155" t="str">
        <f t="shared" si="12"/>
        <v/>
      </c>
      <c r="T155" t="str">
        <f t="shared" si="13"/>
        <v/>
      </c>
      <c r="U155" t="str">
        <f t="shared" si="14"/>
        <v/>
      </c>
      <c r="V155" t="str">
        <f t="shared" si="15"/>
        <v/>
      </c>
      <c r="W155" t="str">
        <f t="shared" si="16"/>
        <v/>
      </c>
      <c r="X155" t="str">
        <f t="shared" si="17"/>
        <v/>
      </c>
      <c r="Y155" t="str">
        <f t="shared" si="18"/>
        <v/>
      </c>
      <c r="Z155" t="str">
        <f t="shared" si="19"/>
        <v/>
      </c>
      <c r="AA155" t="str">
        <f t="shared" si="20"/>
        <v/>
      </c>
      <c r="AB155" t="str">
        <f t="shared" si="21"/>
        <v/>
      </c>
      <c r="AC155" t="str">
        <f t="shared" si="22"/>
        <v/>
      </c>
      <c r="AD155" t="str">
        <f t="shared" si="23"/>
        <v/>
      </c>
      <c r="AE155" t="str">
        <f t="shared" si="24"/>
        <v/>
      </c>
      <c r="AF155" t="str">
        <f t="shared" si="25"/>
        <v/>
      </c>
      <c r="AG155" t="str">
        <f t="shared" si="26"/>
        <v/>
      </c>
      <c r="AH155" s="65" t="str">
        <f t="array" ref="AH155">if(sum(H155:AG155)=0,,sum(sort(TRANSPOSE(H155:AG155),1,false)))</f>
        <v/>
      </c>
    </row>
    <row r="156" hidden="1">
      <c r="F156" s="4">
        <v>24.0</v>
      </c>
      <c r="H156" t="str">
        <f t="shared" si="1"/>
        <v/>
      </c>
      <c r="I156" t="str">
        <f t="shared" si="2"/>
        <v/>
      </c>
      <c r="J156" t="str">
        <f t="shared" si="3"/>
        <v/>
      </c>
      <c r="K156" t="str">
        <f t="shared" si="4"/>
        <v/>
      </c>
      <c r="L156" t="str">
        <f t="shared" si="5"/>
        <v/>
      </c>
      <c r="M156" t="str">
        <f t="shared" si="6"/>
        <v/>
      </c>
      <c r="N156" t="str">
        <f t="shared" si="7"/>
        <v/>
      </c>
      <c r="O156" t="str">
        <f t="shared" si="8"/>
        <v/>
      </c>
      <c r="P156" t="str">
        <f t="shared" si="9"/>
        <v/>
      </c>
      <c r="Q156" t="str">
        <f t="shared" si="10"/>
        <v/>
      </c>
      <c r="R156" t="str">
        <f t="shared" si="11"/>
        <v/>
      </c>
      <c r="S156" t="str">
        <f t="shared" si="12"/>
        <v/>
      </c>
      <c r="T156" t="str">
        <f t="shared" si="13"/>
        <v/>
      </c>
      <c r="U156" t="str">
        <f t="shared" si="14"/>
        <v/>
      </c>
      <c r="V156" t="str">
        <f t="shared" si="15"/>
        <v/>
      </c>
      <c r="W156" t="str">
        <f t="shared" si="16"/>
        <v/>
      </c>
      <c r="X156" t="str">
        <f t="shared" si="17"/>
        <v/>
      </c>
      <c r="Y156" t="str">
        <f t="shared" si="18"/>
        <v/>
      </c>
      <c r="Z156" t="str">
        <f t="shared" si="19"/>
        <v/>
      </c>
      <c r="AA156" t="str">
        <f t="shared" si="20"/>
        <v/>
      </c>
      <c r="AB156" t="str">
        <f t="shared" si="21"/>
        <v/>
      </c>
      <c r="AC156" t="str">
        <f t="shared" si="22"/>
        <v/>
      </c>
      <c r="AD156" t="str">
        <f t="shared" si="23"/>
        <v/>
      </c>
      <c r="AE156" t="str">
        <f t="shared" si="24"/>
        <v/>
      </c>
      <c r="AF156" t="str">
        <f t="shared" si="25"/>
        <v/>
      </c>
      <c r="AG156" t="str">
        <f t="shared" si="26"/>
        <v/>
      </c>
      <c r="AH156" s="65" t="str">
        <f t="array" ref="AH156">if(sum(H156:AG156)=0,,sum(sort(TRANSPOSE(H156:AG156),1,false)))</f>
        <v/>
      </c>
    </row>
    <row r="157" hidden="1">
      <c r="F157" s="4">
        <v>25.0</v>
      </c>
      <c r="H157" t="str">
        <f t="shared" si="1"/>
        <v/>
      </c>
      <c r="I157" t="str">
        <f t="shared" si="2"/>
        <v/>
      </c>
      <c r="J157" t="str">
        <f t="shared" si="3"/>
        <v/>
      </c>
      <c r="K157" t="str">
        <f t="shared" si="4"/>
        <v/>
      </c>
      <c r="L157" t="str">
        <f t="shared" si="5"/>
        <v/>
      </c>
      <c r="M157" t="str">
        <f t="shared" si="6"/>
        <v/>
      </c>
      <c r="N157" t="str">
        <f t="shared" si="7"/>
        <v/>
      </c>
      <c r="O157" t="str">
        <f t="shared" si="8"/>
        <v/>
      </c>
      <c r="P157" t="str">
        <f t="shared" si="9"/>
        <v/>
      </c>
      <c r="Q157" t="str">
        <f t="shared" si="10"/>
        <v/>
      </c>
      <c r="R157" t="str">
        <f t="shared" si="11"/>
        <v/>
      </c>
      <c r="S157" t="str">
        <f t="shared" si="12"/>
        <v/>
      </c>
      <c r="T157" t="str">
        <f t="shared" si="13"/>
        <v/>
      </c>
      <c r="U157" t="str">
        <f t="shared" si="14"/>
        <v/>
      </c>
      <c r="V157" t="str">
        <f t="shared" si="15"/>
        <v/>
      </c>
      <c r="W157" t="str">
        <f t="shared" si="16"/>
        <v/>
      </c>
      <c r="X157" t="str">
        <f t="shared" si="17"/>
        <v/>
      </c>
      <c r="Y157" t="str">
        <f t="shared" si="18"/>
        <v/>
      </c>
      <c r="Z157" t="str">
        <f t="shared" si="19"/>
        <v/>
      </c>
      <c r="AA157" t="str">
        <f t="shared" si="20"/>
        <v/>
      </c>
      <c r="AB157" t="str">
        <f t="shared" si="21"/>
        <v/>
      </c>
      <c r="AC157" t="str">
        <f t="shared" si="22"/>
        <v/>
      </c>
      <c r="AD157" t="str">
        <f t="shared" si="23"/>
        <v/>
      </c>
      <c r="AE157" t="str">
        <f t="shared" si="24"/>
        <v/>
      </c>
      <c r="AF157" t="str">
        <f t="shared" si="25"/>
        <v/>
      </c>
      <c r="AG157" t="str">
        <f t="shared" si="26"/>
        <v/>
      </c>
      <c r="AH157" s="65" t="str">
        <f t="array" ref="AH157">if(sum(H157:AG157)=0,,sum(sort(TRANSPOSE(H157:AG157),1,false)))</f>
        <v/>
      </c>
    </row>
    <row r="158" hidden="1">
      <c r="F158" s="4">
        <v>26.0</v>
      </c>
      <c r="H158" t="str">
        <f t="shared" si="1"/>
        <v/>
      </c>
      <c r="I158" t="str">
        <f t="shared" si="2"/>
        <v/>
      </c>
      <c r="J158" t="str">
        <f t="shared" si="3"/>
        <v/>
      </c>
      <c r="K158" t="str">
        <f t="shared" si="4"/>
        <v/>
      </c>
      <c r="L158" t="str">
        <f t="shared" si="5"/>
        <v/>
      </c>
      <c r="M158" t="str">
        <f t="shared" si="6"/>
        <v/>
      </c>
      <c r="N158" t="str">
        <f t="shared" si="7"/>
        <v/>
      </c>
      <c r="O158" t="str">
        <f t="shared" si="8"/>
        <v/>
      </c>
      <c r="P158" t="str">
        <f t="shared" si="9"/>
        <v/>
      </c>
      <c r="Q158" t="str">
        <f t="shared" si="10"/>
        <v/>
      </c>
      <c r="R158" t="str">
        <f t="shared" si="11"/>
        <v/>
      </c>
      <c r="S158" t="str">
        <f t="shared" si="12"/>
        <v/>
      </c>
      <c r="T158" t="str">
        <f t="shared" si="13"/>
        <v/>
      </c>
      <c r="U158" t="str">
        <f t="shared" si="14"/>
        <v/>
      </c>
      <c r="V158" t="str">
        <f t="shared" si="15"/>
        <v/>
      </c>
      <c r="W158" t="str">
        <f t="shared" si="16"/>
        <v/>
      </c>
      <c r="X158" t="str">
        <f t="shared" si="17"/>
        <v/>
      </c>
      <c r="Y158" t="str">
        <f t="shared" si="18"/>
        <v/>
      </c>
      <c r="Z158" t="str">
        <f t="shared" si="19"/>
        <v/>
      </c>
      <c r="AA158" t="str">
        <f t="shared" si="20"/>
        <v/>
      </c>
      <c r="AB158" t="str">
        <f t="shared" si="21"/>
        <v/>
      </c>
      <c r="AC158" t="str">
        <f t="shared" si="22"/>
        <v/>
      </c>
      <c r="AD158" t="str">
        <f t="shared" si="23"/>
        <v/>
      </c>
      <c r="AE158" t="str">
        <f t="shared" si="24"/>
        <v/>
      </c>
      <c r="AF158" t="str">
        <f t="shared" si="25"/>
        <v/>
      </c>
      <c r="AG158" t="str">
        <f t="shared" si="26"/>
        <v/>
      </c>
      <c r="AH158" s="65" t="str">
        <f t="array" ref="AH158">if(sum(H158:AG158)=0,,sum(sort(TRANSPOSE(H158:AG158),1,false)))</f>
        <v/>
      </c>
    </row>
    <row r="159" hidden="1">
      <c r="F159" s="4">
        <v>27.0</v>
      </c>
      <c r="H159" t="str">
        <f t="shared" si="1"/>
        <v/>
      </c>
      <c r="I159" t="str">
        <f t="shared" si="2"/>
        <v/>
      </c>
      <c r="J159" t="str">
        <f t="shared" si="3"/>
        <v/>
      </c>
      <c r="K159" t="str">
        <f t="shared" si="4"/>
        <v/>
      </c>
      <c r="L159" t="str">
        <f t="shared" si="5"/>
        <v/>
      </c>
      <c r="M159" t="str">
        <f t="shared" si="6"/>
        <v/>
      </c>
      <c r="N159" t="str">
        <f t="shared" si="7"/>
        <v/>
      </c>
      <c r="O159" t="str">
        <f t="shared" si="8"/>
        <v/>
      </c>
      <c r="P159" t="str">
        <f t="shared" si="9"/>
        <v/>
      </c>
      <c r="Q159" t="str">
        <f t="shared" si="10"/>
        <v/>
      </c>
      <c r="R159" t="str">
        <f t="shared" si="11"/>
        <v/>
      </c>
      <c r="S159" t="str">
        <f t="shared" si="12"/>
        <v/>
      </c>
      <c r="T159" t="str">
        <f t="shared" si="13"/>
        <v/>
      </c>
      <c r="U159" t="str">
        <f t="shared" si="14"/>
        <v/>
      </c>
      <c r="V159" t="str">
        <f t="shared" si="15"/>
        <v/>
      </c>
      <c r="W159" t="str">
        <f t="shared" si="16"/>
        <v/>
      </c>
      <c r="X159" t="str">
        <f t="shared" si="17"/>
        <v/>
      </c>
      <c r="Y159" t="str">
        <f t="shared" si="18"/>
        <v/>
      </c>
      <c r="Z159" t="str">
        <f t="shared" si="19"/>
        <v/>
      </c>
      <c r="AA159" t="str">
        <f t="shared" si="20"/>
        <v/>
      </c>
      <c r="AB159" t="str">
        <f t="shared" si="21"/>
        <v/>
      </c>
      <c r="AC159" t="str">
        <f t="shared" si="22"/>
        <v/>
      </c>
      <c r="AD159" t="str">
        <f t="shared" si="23"/>
        <v/>
      </c>
      <c r="AE159" t="str">
        <f t="shared" si="24"/>
        <v/>
      </c>
      <c r="AF159" t="str">
        <f t="shared" si="25"/>
        <v/>
      </c>
      <c r="AG159" t="str">
        <f t="shared" si="26"/>
        <v/>
      </c>
      <c r="AH159" s="65" t="str">
        <f t="array" ref="AH159">if(sum(H159:AG159)=0,,sum(sort(TRANSPOSE(H159:AG159),1,false)))</f>
        <v/>
      </c>
    </row>
    <row r="160" hidden="1">
      <c r="F160" s="4">
        <v>28.0</v>
      </c>
      <c r="H160" t="str">
        <f t="shared" si="1"/>
        <v/>
      </c>
      <c r="I160" t="str">
        <f t="shared" si="2"/>
        <v/>
      </c>
      <c r="J160" t="str">
        <f t="shared" si="3"/>
        <v/>
      </c>
      <c r="K160" t="str">
        <f t="shared" si="4"/>
        <v/>
      </c>
      <c r="L160" t="str">
        <f t="shared" si="5"/>
        <v/>
      </c>
      <c r="M160" t="str">
        <f t="shared" si="6"/>
        <v/>
      </c>
      <c r="N160" t="str">
        <f t="shared" si="7"/>
        <v/>
      </c>
      <c r="O160" t="str">
        <f t="shared" si="8"/>
        <v/>
      </c>
      <c r="P160" t="str">
        <f t="shared" si="9"/>
        <v/>
      </c>
      <c r="Q160" t="str">
        <f t="shared" si="10"/>
        <v/>
      </c>
      <c r="R160" t="str">
        <f t="shared" si="11"/>
        <v/>
      </c>
      <c r="S160" t="str">
        <f t="shared" si="12"/>
        <v/>
      </c>
      <c r="T160" t="str">
        <f t="shared" si="13"/>
        <v/>
      </c>
      <c r="U160" t="str">
        <f t="shared" si="14"/>
        <v/>
      </c>
      <c r="V160" t="str">
        <f t="shared" si="15"/>
        <v/>
      </c>
      <c r="W160" t="str">
        <f t="shared" si="16"/>
        <v/>
      </c>
      <c r="X160" t="str">
        <f t="shared" si="17"/>
        <v/>
      </c>
      <c r="Y160" t="str">
        <f t="shared" si="18"/>
        <v/>
      </c>
      <c r="Z160" t="str">
        <f t="shared" si="19"/>
        <v/>
      </c>
      <c r="AA160" t="str">
        <f t="shared" si="20"/>
        <v/>
      </c>
      <c r="AB160" t="str">
        <f t="shared" si="21"/>
        <v/>
      </c>
      <c r="AC160" t="str">
        <f t="shared" si="22"/>
        <v/>
      </c>
      <c r="AD160" t="str">
        <f t="shared" si="23"/>
        <v/>
      </c>
      <c r="AE160" t="str">
        <f t="shared" si="24"/>
        <v/>
      </c>
      <c r="AF160" t="str">
        <f t="shared" si="25"/>
        <v/>
      </c>
      <c r="AG160" t="str">
        <f t="shared" si="26"/>
        <v/>
      </c>
      <c r="AH160" s="65" t="str">
        <f t="array" ref="AH160">if(sum(H160:AG160)=0,,sum(sort(TRANSPOSE(H160:AG160),1,false)))</f>
        <v/>
      </c>
    </row>
    <row r="161" hidden="1">
      <c r="F161" s="4">
        <v>29.0</v>
      </c>
      <c r="H161" t="str">
        <f t="shared" si="1"/>
        <v/>
      </c>
      <c r="I161" t="str">
        <f t="shared" si="2"/>
        <v/>
      </c>
      <c r="J161" t="str">
        <f t="shared" si="3"/>
        <v/>
      </c>
      <c r="K161" t="str">
        <f t="shared" si="4"/>
        <v/>
      </c>
      <c r="L161" t="str">
        <f t="shared" si="5"/>
        <v/>
      </c>
      <c r="M161" t="str">
        <f t="shared" si="6"/>
        <v/>
      </c>
      <c r="N161" t="str">
        <f t="shared" si="7"/>
        <v/>
      </c>
      <c r="O161" t="str">
        <f t="shared" si="8"/>
        <v/>
      </c>
      <c r="P161" t="str">
        <f t="shared" si="9"/>
        <v/>
      </c>
      <c r="Q161" t="str">
        <f t="shared" si="10"/>
        <v/>
      </c>
      <c r="R161" t="str">
        <f t="shared" si="11"/>
        <v/>
      </c>
      <c r="S161" t="str">
        <f t="shared" si="12"/>
        <v/>
      </c>
      <c r="T161" t="str">
        <f t="shared" si="13"/>
        <v/>
      </c>
      <c r="U161" t="str">
        <f t="shared" si="14"/>
        <v/>
      </c>
      <c r="V161" t="str">
        <f t="shared" si="15"/>
        <v/>
      </c>
      <c r="W161" t="str">
        <f t="shared" si="16"/>
        <v/>
      </c>
      <c r="X161" t="str">
        <f t="shared" si="17"/>
        <v/>
      </c>
      <c r="Y161" t="str">
        <f t="shared" si="18"/>
        <v/>
      </c>
      <c r="Z161" t="str">
        <f t="shared" si="19"/>
        <v/>
      </c>
      <c r="AA161" t="str">
        <f t="shared" si="20"/>
        <v/>
      </c>
      <c r="AB161" t="str">
        <f t="shared" si="21"/>
        <v/>
      </c>
      <c r="AC161" t="str">
        <f t="shared" si="22"/>
        <v/>
      </c>
      <c r="AD161" t="str">
        <f t="shared" si="23"/>
        <v/>
      </c>
      <c r="AE161" t="str">
        <f t="shared" si="24"/>
        <v/>
      </c>
      <c r="AF161" t="str">
        <f t="shared" si="25"/>
        <v/>
      </c>
      <c r="AG161" t="str">
        <f t="shared" si="26"/>
        <v/>
      </c>
      <c r="AH161" s="65" t="str">
        <f t="array" ref="AH161">if(sum(H161:AG161)=0,,sum(sort(TRANSPOSE(H161:AG161),1,false)))</f>
        <v/>
      </c>
    </row>
    <row r="162" hidden="1">
      <c r="F162" s="4">
        <v>30.0</v>
      </c>
      <c r="H162" t="str">
        <f t="shared" si="1"/>
        <v/>
      </c>
      <c r="I162" t="str">
        <f t="shared" si="2"/>
        <v/>
      </c>
      <c r="J162" t="str">
        <f t="shared" si="3"/>
        <v/>
      </c>
      <c r="K162" t="str">
        <f t="shared" si="4"/>
        <v/>
      </c>
      <c r="L162" t="str">
        <f t="shared" si="5"/>
        <v/>
      </c>
      <c r="M162" t="str">
        <f t="shared" si="6"/>
        <v/>
      </c>
      <c r="N162" t="str">
        <f t="shared" si="7"/>
        <v/>
      </c>
      <c r="O162" t="str">
        <f t="shared" si="8"/>
        <v/>
      </c>
      <c r="P162" t="str">
        <f t="shared" si="9"/>
        <v/>
      </c>
      <c r="Q162" t="str">
        <f t="shared" si="10"/>
        <v/>
      </c>
      <c r="R162" t="str">
        <f t="shared" si="11"/>
        <v/>
      </c>
      <c r="S162" t="str">
        <f t="shared" si="12"/>
        <v/>
      </c>
      <c r="T162" t="str">
        <f t="shared" si="13"/>
        <v/>
      </c>
      <c r="U162" t="str">
        <f t="shared" si="14"/>
        <v/>
      </c>
      <c r="V162" t="str">
        <f t="shared" si="15"/>
        <v/>
      </c>
      <c r="W162" t="str">
        <f t="shared" si="16"/>
        <v/>
      </c>
      <c r="X162" t="str">
        <f t="shared" si="17"/>
        <v/>
      </c>
      <c r="Y162" t="str">
        <f t="shared" si="18"/>
        <v/>
      </c>
      <c r="Z162" t="str">
        <f t="shared" si="19"/>
        <v/>
      </c>
      <c r="AA162" t="str">
        <f t="shared" si="20"/>
        <v/>
      </c>
      <c r="AB162" t="str">
        <f t="shared" si="21"/>
        <v/>
      </c>
      <c r="AC162" t="str">
        <f t="shared" si="22"/>
        <v/>
      </c>
      <c r="AD162" t="str">
        <f t="shared" si="23"/>
        <v/>
      </c>
      <c r="AE162" t="str">
        <f t="shared" si="24"/>
        <v/>
      </c>
      <c r="AF162" t="str">
        <f t="shared" si="25"/>
        <v/>
      </c>
      <c r="AG162" t="str">
        <f t="shared" si="26"/>
        <v/>
      </c>
      <c r="AH162" s="65" t="str">
        <f t="array" ref="AH162">if(sum(H162:AG162)=0,,sum(sort(TRANSPOSE(H162:AG162),1,false)))</f>
        <v/>
      </c>
    </row>
    <row r="163" hidden="1">
      <c r="F163" s="4">
        <v>31.0</v>
      </c>
      <c r="H163" t="str">
        <f t="shared" si="1"/>
        <v/>
      </c>
      <c r="I163" t="str">
        <f t="shared" si="2"/>
        <v/>
      </c>
      <c r="J163" t="str">
        <f t="shared" si="3"/>
        <v/>
      </c>
      <c r="K163" t="str">
        <f t="shared" si="4"/>
        <v/>
      </c>
      <c r="L163" t="str">
        <f t="shared" si="5"/>
        <v/>
      </c>
      <c r="M163" t="str">
        <f t="shared" si="6"/>
        <v/>
      </c>
      <c r="N163" t="str">
        <f t="shared" si="7"/>
        <v/>
      </c>
      <c r="O163" t="str">
        <f t="shared" si="8"/>
        <v/>
      </c>
      <c r="P163" t="str">
        <f t="shared" si="9"/>
        <v/>
      </c>
      <c r="Q163" t="str">
        <f t="shared" si="10"/>
        <v/>
      </c>
      <c r="R163" t="str">
        <f t="shared" si="11"/>
        <v/>
      </c>
      <c r="S163" t="str">
        <f t="shared" si="12"/>
        <v/>
      </c>
      <c r="T163" t="str">
        <f t="shared" si="13"/>
        <v/>
      </c>
      <c r="U163" t="str">
        <f t="shared" si="14"/>
        <v/>
      </c>
      <c r="V163" t="str">
        <f t="shared" si="15"/>
        <v/>
      </c>
      <c r="W163" t="str">
        <f t="shared" si="16"/>
        <v/>
      </c>
      <c r="X163" t="str">
        <f t="shared" si="17"/>
        <v/>
      </c>
      <c r="Y163" t="str">
        <f t="shared" si="18"/>
        <v/>
      </c>
      <c r="Z163" t="str">
        <f t="shared" si="19"/>
        <v/>
      </c>
      <c r="AA163" t="str">
        <f t="shared" si="20"/>
        <v/>
      </c>
      <c r="AB163" t="str">
        <f t="shared" si="21"/>
        <v/>
      </c>
      <c r="AC163" t="str">
        <f t="shared" si="22"/>
        <v/>
      </c>
      <c r="AD163" t="str">
        <f t="shared" si="23"/>
        <v/>
      </c>
      <c r="AE163" t="str">
        <f t="shared" si="24"/>
        <v/>
      </c>
      <c r="AF163" t="str">
        <f t="shared" si="25"/>
        <v/>
      </c>
      <c r="AG163" t="str">
        <f t="shared" si="26"/>
        <v/>
      </c>
      <c r="AH163" s="65" t="str">
        <f t="array" ref="AH163">if(sum(H163:AG163)=0,,sum(sort(TRANSPOSE(H163:AG163),1,false)))</f>
        <v/>
      </c>
    </row>
    <row r="164" hidden="1">
      <c r="F164" s="4">
        <v>32.0</v>
      </c>
      <c r="H164" t="str">
        <f t="shared" si="1"/>
        <v/>
      </c>
      <c r="I164" t="str">
        <f t="shared" si="2"/>
        <v/>
      </c>
      <c r="J164" t="str">
        <f t="shared" si="3"/>
        <v/>
      </c>
      <c r="K164" t="str">
        <f t="shared" si="4"/>
        <v/>
      </c>
      <c r="L164" t="str">
        <f t="shared" si="5"/>
        <v/>
      </c>
      <c r="M164" t="str">
        <f t="shared" si="6"/>
        <v/>
      </c>
      <c r="N164" t="str">
        <f t="shared" si="7"/>
        <v/>
      </c>
      <c r="O164" t="str">
        <f t="shared" si="8"/>
        <v/>
      </c>
      <c r="P164" t="str">
        <f t="shared" si="9"/>
        <v/>
      </c>
      <c r="Q164" t="str">
        <f t="shared" si="10"/>
        <v/>
      </c>
      <c r="R164" t="str">
        <f t="shared" si="11"/>
        <v/>
      </c>
      <c r="S164" t="str">
        <f t="shared" si="12"/>
        <v/>
      </c>
      <c r="T164" t="str">
        <f t="shared" si="13"/>
        <v/>
      </c>
      <c r="U164" t="str">
        <f t="shared" si="14"/>
        <v/>
      </c>
      <c r="V164" t="str">
        <f t="shared" si="15"/>
        <v/>
      </c>
      <c r="W164" t="str">
        <f t="shared" si="16"/>
        <v/>
      </c>
      <c r="X164" t="str">
        <f t="shared" si="17"/>
        <v/>
      </c>
      <c r="Y164" t="str">
        <f t="shared" si="18"/>
        <v/>
      </c>
      <c r="Z164" t="str">
        <f t="shared" si="19"/>
        <v/>
      </c>
      <c r="AA164" t="str">
        <f t="shared" si="20"/>
        <v/>
      </c>
      <c r="AB164" t="str">
        <f t="shared" si="21"/>
        <v/>
      </c>
      <c r="AC164" t="str">
        <f t="shared" si="22"/>
        <v/>
      </c>
      <c r="AD164" t="str">
        <f t="shared" si="23"/>
        <v/>
      </c>
      <c r="AE164" t="str">
        <f t="shared" si="24"/>
        <v/>
      </c>
      <c r="AF164" t="str">
        <f t="shared" si="25"/>
        <v/>
      </c>
      <c r="AG164" t="str">
        <f t="shared" si="26"/>
        <v/>
      </c>
      <c r="AH164" s="65" t="str">
        <f t="array" ref="AH164">if(sum(H164:AG164)=0,,sum(sort(TRANSPOSE(H164:AG164),1,false)))</f>
        <v/>
      </c>
    </row>
    <row r="165" hidden="1">
      <c r="F165" s="4">
        <v>33.0</v>
      </c>
      <c r="H165" t="str">
        <f t="shared" si="1"/>
        <v/>
      </c>
      <c r="I165" t="str">
        <f t="shared" si="2"/>
        <v/>
      </c>
      <c r="J165" t="str">
        <f t="shared" si="3"/>
        <v/>
      </c>
      <c r="K165" t="str">
        <f t="shared" si="4"/>
        <v/>
      </c>
      <c r="L165" t="str">
        <f t="shared" si="5"/>
        <v/>
      </c>
      <c r="M165" t="str">
        <f t="shared" si="6"/>
        <v/>
      </c>
      <c r="N165" t="str">
        <f t="shared" si="7"/>
        <v/>
      </c>
      <c r="O165" t="str">
        <f t="shared" si="8"/>
        <v/>
      </c>
      <c r="P165" t="str">
        <f t="shared" si="9"/>
        <v/>
      </c>
      <c r="Q165" t="str">
        <f t="shared" si="10"/>
        <v/>
      </c>
      <c r="R165" t="str">
        <f t="shared" si="11"/>
        <v/>
      </c>
      <c r="S165" t="str">
        <f t="shared" si="12"/>
        <v/>
      </c>
      <c r="T165" t="str">
        <f t="shared" si="13"/>
        <v/>
      </c>
      <c r="U165" t="str">
        <f t="shared" si="14"/>
        <v/>
      </c>
      <c r="V165" t="str">
        <f t="shared" si="15"/>
        <v/>
      </c>
      <c r="W165" t="str">
        <f t="shared" si="16"/>
        <v/>
      </c>
      <c r="X165" t="str">
        <f t="shared" si="17"/>
        <v/>
      </c>
      <c r="Y165" t="str">
        <f t="shared" si="18"/>
        <v/>
      </c>
      <c r="Z165" t="str">
        <f t="shared" si="19"/>
        <v/>
      </c>
      <c r="AA165" t="str">
        <f t="shared" si="20"/>
        <v/>
      </c>
      <c r="AB165" t="str">
        <f t="shared" si="21"/>
        <v/>
      </c>
      <c r="AC165" t="str">
        <f t="shared" si="22"/>
        <v/>
      </c>
      <c r="AD165" t="str">
        <f t="shared" si="23"/>
        <v/>
      </c>
      <c r="AE165" t="str">
        <f t="shared" si="24"/>
        <v/>
      </c>
      <c r="AF165" t="str">
        <f t="shared" si="25"/>
        <v/>
      </c>
      <c r="AG165" t="str">
        <f t="shared" si="26"/>
        <v/>
      </c>
      <c r="AH165" s="65" t="str">
        <f t="array" ref="AH165">if(sum(H165:AG165)=0,,sum(sort(TRANSPOSE(H165:AG165),1,false)))</f>
        <v/>
      </c>
    </row>
    <row r="166" hidden="1">
      <c r="F166" s="4">
        <v>34.0</v>
      </c>
      <c r="H166" t="str">
        <f t="shared" si="1"/>
        <v/>
      </c>
      <c r="I166" t="str">
        <f t="shared" si="2"/>
        <v/>
      </c>
      <c r="J166" t="str">
        <f t="shared" si="3"/>
        <v/>
      </c>
      <c r="K166" t="str">
        <f t="shared" si="4"/>
        <v/>
      </c>
      <c r="L166" t="str">
        <f t="shared" si="5"/>
        <v/>
      </c>
      <c r="M166" t="str">
        <f t="shared" si="6"/>
        <v/>
      </c>
      <c r="N166" t="str">
        <f t="shared" si="7"/>
        <v/>
      </c>
      <c r="O166" t="str">
        <f t="shared" si="8"/>
        <v/>
      </c>
      <c r="P166" t="str">
        <f t="shared" si="9"/>
        <v/>
      </c>
      <c r="Q166" t="str">
        <f t="shared" si="10"/>
        <v/>
      </c>
      <c r="R166" t="str">
        <f t="shared" si="11"/>
        <v/>
      </c>
      <c r="S166" t="str">
        <f t="shared" si="12"/>
        <v/>
      </c>
      <c r="T166" t="str">
        <f t="shared" si="13"/>
        <v/>
      </c>
      <c r="U166" t="str">
        <f t="shared" si="14"/>
        <v/>
      </c>
      <c r="V166" t="str">
        <f t="shared" si="15"/>
        <v/>
      </c>
      <c r="W166" t="str">
        <f t="shared" si="16"/>
        <v/>
      </c>
      <c r="X166" t="str">
        <f t="shared" si="17"/>
        <v/>
      </c>
      <c r="Y166" t="str">
        <f t="shared" si="18"/>
        <v/>
      </c>
      <c r="Z166" t="str">
        <f t="shared" si="19"/>
        <v/>
      </c>
      <c r="AA166" t="str">
        <f t="shared" si="20"/>
        <v/>
      </c>
      <c r="AB166" t="str">
        <f t="shared" si="21"/>
        <v/>
      </c>
      <c r="AC166" t="str">
        <f t="shared" si="22"/>
        <v/>
      </c>
      <c r="AD166" t="str">
        <f t="shared" si="23"/>
        <v/>
      </c>
      <c r="AE166" t="str">
        <f t="shared" si="24"/>
        <v/>
      </c>
      <c r="AF166" t="str">
        <f t="shared" si="25"/>
        <v/>
      </c>
      <c r="AG166" t="str">
        <f t="shared" si="26"/>
        <v/>
      </c>
      <c r="AH166" s="65" t="str">
        <f t="array" ref="AH166">if(sum(H166:AG166)=0,,sum(sort(TRANSPOSE(H166:AG166),1,false)))</f>
        <v/>
      </c>
    </row>
    <row r="167" hidden="1">
      <c r="F167" s="4">
        <v>35.0</v>
      </c>
      <c r="H167" t="str">
        <f t="shared" si="1"/>
        <v/>
      </c>
      <c r="I167" t="str">
        <f t="shared" si="2"/>
        <v/>
      </c>
      <c r="J167" t="str">
        <f t="shared" si="3"/>
        <v/>
      </c>
      <c r="K167" t="str">
        <f t="shared" si="4"/>
        <v/>
      </c>
      <c r="L167" t="str">
        <f t="shared" si="5"/>
        <v/>
      </c>
      <c r="M167" t="str">
        <f t="shared" si="6"/>
        <v/>
      </c>
      <c r="N167" t="str">
        <f t="shared" si="7"/>
        <v/>
      </c>
      <c r="O167" t="str">
        <f t="shared" si="8"/>
        <v/>
      </c>
      <c r="P167" t="str">
        <f t="shared" si="9"/>
        <v/>
      </c>
      <c r="Q167" t="str">
        <f t="shared" si="10"/>
        <v/>
      </c>
      <c r="R167" t="str">
        <f t="shared" si="11"/>
        <v/>
      </c>
      <c r="S167" t="str">
        <f t="shared" si="12"/>
        <v/>
      </c>
      <c r="T167" t="str">
        <f t="shared" si="13"/>
        <v/>
      </c>
      <c r="U167" t="str">
        <f t="shared" si="14"/>
        <v/>
      </c>
      <c r="V167" t="str">
        <f t="shared" si="15"/>
        <v/>
      </c>
      <c r="W167" t="str">
        <f t="shared" si="16"/>
        <v/>
      </c>
      <c r="X167" t="str">
        <f t="shared" si="17"/>
        <v/>
      </c>
      <c r="Y167" t="str">
        <f t="shared" si="18"/>
        <v/>
      </c>
      <c r="Z167" t="str">
        <f t="shared" si="19"/>
        <v/>
      </c>
      <c r="AA167" t="str">
        <f t="shared" si="20"/>
        <v/>
      </c>
      <c r="AB167" t="str">
        <f t="shared" si="21"/>
        <v/>
      </c>
      <c r="AC167" t="str">
        <f t="shared" si="22"/>
        <v/>
      </c>
      <c r="AD167" t="str">
        <f t="shared" si="23"/>
        <v/>
      </c>
      <c r="AE167" t="str">
        <f t="shared" si="24"/>
        <v/>
      </c>
      <c r="AF167" t="str">
        <f t="shared" si="25"/>
        <v/>
      </c>
      <c r="AG167" t="str">
        <f t="shared" si="26"/>
        <v/>
      </c>
      <c r="AH167" s="65" t="str">
        <f t="array" ref="AH167">if(sum(H167:AG167)=0,,sum(sort(TRANSPOSE(H167:AG167),1,false)))</f>
        <v/>
      </c>
    </row>
    <row r="168" hidden="1">
      <c r="F168" s="4">
        <v>36.0</v>
      </c>
      <c r="H168" t="str">
        <f t="shared" si="1"/>
        <v/>
      </c>
      <c r="I168" t="str">
        <f t="shared" si="2"/>
        <v/>
      </c>
      <c r="J168" t="str">
        <f t="shared" si="3"/>
        <v/>
      </c>
      <c r="K168" t="str">
        <f t="shared" si="4"/>
        <v/>
      </c>
      <c r="L168" t="str">
        <f t="shared" si="5"/>
        <v/>
      </c>
      <c r="M168" t="str">
        <f t="shared" si="6"/>
        <v/>
      </c>
      <c r="N168" t="str">
        <f t="shared" si="7"/>
        <v/>
      </c>
      <c r="O168" t="str">
        <f t="shared" si="8"/>
        <v/>
      </c>
      <c r="P168" t="str">
        <f t="shared" si="9"/>
        <v/>
      </c>
      <c r="Q168" t="str">
        <f t="shared" si="10"/>
        <v/>
      </c>
      <c r="R168" t="str">
        <f t="shared" si="11"/>
        <v/>
      </c>
      <c r="S168" t="str">
        <f t="shared" si="12"/>
        <v/>
      </c>
      <c r="T168" t="str">
        <f t="shared" si="13"/>
        <v/>
      </c>
      <c r="U168" t="str">
        <f t="shared" si="14"/>
        <v/>
      </c>
      <c r="V168" t="str">
        <f t="shared" si="15"/>
        <v/>
      </c>
      <c r="W168" t="str">
        <f t="shared" si="16"/>
        <v/>
      </c>
      <c r="X168" t="str">
        <f t="shared" si="17"/>
        <v/>
      </c>
      <c r="Y168" t="str">
        <f t="shared" si="18"/>
        <v/>
      </c>
      <c r="Z168" t="str">
        <f t="shared" si="19"/>
        <v/>
      </c>
      <c r="AA168" t="str">
        <f t="shared" si="20"/>
        <v/>
      </c>
      <c r="AB168" t="str">
        <f t="shared" si="21"/>
        <v/>
      </c>
      <c r="AC168" t="str">
        <f t="shared" si="22"/>
        <v/>
      </c>
      <c r="AD168" t="str">
        <f t="shared" si="23"/>
        <v/>
      </c>
      <c r="AE168" t="str">
        <f t="shared" si="24"/>
        <v/>
      </c>
      <c r="AF168" t="str">
        <f t="shared" si="25"/>
        <v/>
      </c>
      <c r="AG168" t="str">
        <f t="shared" si="26"/>
        <v/>
      </c>
      <c r="AH168" s="65" t="str">
        <f t="array" ref="AH168">if(sum(H168:AG168)=0,,sum(sort(TRANSPOSE(H168:AG168),1,false)))</f>
        <v/>
      </c>
    </row>
    <row r="169" hidden="1">
      <c r="F169" s="4">
        <v>37.0</v>
      </c>
      <c r="H169" t="str">
        <f t="shared" si="1"/>
        <v/>
      </c>
      <c r="I169" t="str">
        <f t="shared" si="2"/>
        <v/>
      </c>
      <c r="J169" t="str">
        <f t="shared" si="3"/>
        <v/>
      </c>
      <c r="K169" t="str">
        <f t="shared" si="4"/>
        <v/>
      </c>
      <c r="L169" t="str">
        <f t="shared" si="5"/>
        <v/>
      </c>
      <c r="M169" t="str">
        <f t="shared" si="6"/>
        <v/>
      </c>
      <c r="N169" t="str">
        <f t="shared" si="7"/>
        <v/>
      </c>
      <c r="O169" t="str">
        <f t="shared" si="8"/>
        <v/>
      </c>
      <c r="P169" t="str">
        <f t="shared" si="9"/>
        <v/>
      </c>
      <c r="Q169" t="str">
        <f t="shared" si="10"/>
        <v/>
      </c>
      <c r="R169" t="str">
        <f t="shared" si="11"/>
        <v/>
      </c>
      <c r="S169" t="str">
        <f t="shared" si="12"/>
        <v/>
      </c>
      <c r="T169" t="str">
        <f t="shared" si="13"/>
        <v/>
      </c>
      <c r="U169" t="str">
        <f t="shared" si="14"/>
        <v/>
      </c>
      <c r="V169" t="str">
        <f t="shared" si="15"/>
        <v/>
      </c>
      <c r="W169" t="str">
        <f t="shared" si="16"/>
        <v/>
      </c>
      <c r="X169" t="str">
        <f t="shared" si="17"/>
        <v/>
      </c>
      <c r="Y169" t="str">
        <f t="shared" si="18"/>
        <v/>
      </c>
      <c r="Z169" t="str">
        <f t="shared" si="19"/>
        <v/>
      </c>
      <c r="AA169" t="str">
        <f t="shared" si="20"/>
        <v/>
      </c>
      <c r="AB169" t="str">
        <f t="shared" si="21"/>
        <v/>
      </c>
      <c r="AC169" t="str">
        <f t="shared" si="22"/>
        <v/>
      </c>
      <c r="AD169" t="str">
        <f t="shared" si="23"/>
        <v/>
      </c>
      <c r="AE169" t="str">
        <f t="shared" si="24"/>
        <v/>
      </c>
      <c r="AF169" t="str">
        <f t="shared" si="25"/>
        <v/>
      </c>
      <c r="AG169" t="str">
        <f t="shared" si="26"/>
        <v/>
      </c>
      <c r="AH169" s="65" t="str">
        <f t="array" ref="AH169">if(sum(H169:AG169)=0,,sum(sort(TRANSPOSE(H169:AG169),1,false)))</f>
        <v/>
      </c>
    </row>
    <row r="170" hidden="1">
      <c r="F170" s="4">
        <v>38.0</v>
      </c>
      <c r="H170" t="str">
        <f t="shared" si="1"/>
        <v/>
      </c>
      <c r="I170" t="str">
        <f t="shared" si="2"/>
        <v/>
      </c>
      <c r="J170" t="str">
        <f t="shared" si="3"/>
        <v/>
      </c>
      <c r="K170" t="str">
        <f t="shared" si="4"/>
        <v/>
      </c>
      <c r="L170" t="str">
        <f t="shared" si="5"/>
        <v/>
      </c>
      <c r="M170" t="str">
        <f t="shared" si="6"/>
        <v/>
      </c>
      <c r="N170" t="str">
        <f t="shared" si="7"/>
        <v/>
      </c>
      <c r="O170" t="str">
        <f t="shared" si="8"/>
        <v/>
      </c>
      <c r="P170" t="str">
        <f t="shared" si="9"/>
        <v/>
      </c>
      <c r="Q170" t="str">
        <f t="shared" si="10"/>
        <v/>
      </c>
      <c r="R170" t="str">
        <f t="shared" si="11"/>
        <v/>
      </c>
      <c r="S170" t="str">
        <f t="shared" si="12"/>
        <v/>
      </c>
      <c r="T170" t="str">
        <f t="shared" si="13"/>
        <v/>
      </c>
      <c r="U170" t="str">
        <f t="shared" si="14"/>
        <v/>
      </c>
      <c r="V170" t="str">
        <f t="shared" si="15"/>
        <v/>
      </c>
      <c r="W170" t="str">
        <f t="shared" si="16"/>
        <v/>
      </c>
      <c r="X170" t="str">
        <f t="shared" si="17"/>
        <v/>
      </c>
      <c r="Y170" t="str">
        <f t="shared" si="18"/>
        <v/>
      </c>
      <c r="Z170" t="str">
        <f t="shared" si="19"/>
        <v/>
      </c>
      <c r="AA170" t="str">
        <f t="shared" si="20"/>
        <v/>
      </c>
      <c r="AB170" t="str">
        <f t="shared" si="21"/>
        <v/>
      </c>
      <c r="AC170" t="str">
        <f t="shared" si="22"/>
        <v/>
      </c>
      <c r="AD170" t="str">
        <f t="shared" si="23"/>
        <v/>
      </c>
      <c r="AE170" t="str">
        <f t="shared" si="24"/>
        <v/>
      </c>
      <c r="AF170" t="str">
        <f t="shared" si="25"/>
        <v/>
      </c>
      <c r="AG170" t="str">
        <f t="shared" si="26"/>
        <v/>
      </c>
      <c r="AH170" s="65" t="str">
        <f t="array" ref="AH170">if(sum(H170:AG170)=0,,sum(sort(TRANSPOSE(H170:AG170),1,false)))</f>
        <v/>
      </c>
    </row>
    <row r="171" hidden="1">
      <c r="F171" s="4">
        <v>39.0</v>
      </c>
      <c r="H171" t="str">
        <f t="shared" si="1"/>
        <v/>
      </c>
      <c r="I171" t="str">
        <f t="shared" si="2"/>
        <v/>
      </c>
      <c r="J171" t="str">
        <f t="shared" si="3"/>
        <v/>
      </c>
      <c r="K171" t="str">
        <f t="shared" si="4"/>
        <v/>
      </c>
      <c r="L171" t="str">
        <f t="shared" si="5"/>
        <v/>
      </c>
      <c r="M171" t="str">
        <f t="shared" si="6"/>
        <v/>
      </c>
      <c r="N171" t="str">
        <f t="shared" si="7"/>
        <v/>
      </c>
      <c r="O171" t="str">
        <f t="shared" si="8"/>
        <v/>
      </c>
      <c r="P171" t="str">
        <f t="shared" si="9"/>
        <v/>
      </c>
      <c r="Q171" t="str">
        <f t="shared" si="10"/>
        <v/>
      </c>
      <c r="R171" t="str">
        <f t="shared" si="11"/>
        <v/>
      </c>
      <c r="S171" t="str">
        <f t="shared" si="12"/>
        <v/>
      </c>
      <c r="T171" t="str">
        <f t="shared" si="13"/>
        <v/>
      </c>
      <c r="U171" t="str">
        <f t="shared" si="14"/>
        <v/>
      </c>
      <c r="V171" t="str">
        <f t="shared" si="15"/>
        <v/>
      </c>
      <c r="W171" t="str">
        <f t="shared" si="16"/>
        <v/>
      </c>
      <c r="X171" t="str">
        <f t="shared" si="17"/>
        <v/>
      </c>
      <c r="Y171" t="str">
        <f t="shared" si="18"/>
        <v/>
      </c>
      <c r="Z171" t="str">
        <f t="shared" si="19"/>
        <v/>
      </c>
      <c r="AA171" t="str">
        <f t="shared" si="20"/>
        <v/>
      </c>
      <c r="AB171" t="str">
        <f t="shared" si="21"/>
        <v/>
      </c>
      <c r="AC171" t="str">
        <f t="shared" si="22"/>
        <v/>
      </c>
      <c r="AD171" t="str">
        <f t="shared" si="23"/>
        <v/>
      </c>
      <c r="AE171" t="str">
        <f t="shared" si="24"/>
        <v/>
      </c>
      <c r="AF171" t="str">
        <f t="shared" si="25"/>
        <v/>
      </c>
      <c r="AG171" t="str">
        <f t="shared" si="26"/>
        <v/>
      </c>
      <c r="AH171" s="65" t="str">
        <f t="array" ref="AH171">if(sum(H171:AG171)=0,,sum(sort(TRANSPOSE(H171:AG171),1,false)))</f>
        <v/>
      </c>
    </row>
    <row r="172" hidden="1">
      <c r="F172" s="4">
        <v>40.0</v>
      </c>
      <c r="H172" t="str">
        <f t="shared" si="1"/>
        <v/>
      </c>
      <c r="I172" t="str">
        <f t="shared" si="2"/>
        <v/>
      </c>
      <c r="J172" t="str">
        <f t="shared" si="3"/>
        <v/>
      </c>
      <c r="K172" t="str">
        <f t="shared" si="4"/>
        <v/>
      </c>
      <c r="L172" t="str">
        <f t="shared" si="5"/>
        <v/>
      </c>
      <c r="M172" t="str">
        <f t="shared" si="6"/>
        <v/>
      </c>
      <c r="N172" t="str">
        <f t="shared" si="7"/>
        <v/>
      </c>
      <c r="O172" t="str">
        <f t="shared" si="8"/>
        <v/>
      </c>
      <c r="P172" t="str">
        <f t="shared" si="9"/>
        <v/>
      </c>
      <c r="Q172" t="str">
        <f t="shared" si="10"/>
        <v/>
      </c>
      <c r="R172" t="str">
        <f t="shared" si="11"/>
        <v/>
      </c>
      <c r="S172" t="str">
        <f t="shared" si="12"/>
        <v/>
      </c>
      <c r="T172" t="str">
        <f t="shared" si="13"/>
        <v/>
      </c>
      <c r="U172" t="str">
        <f t="shared" si="14"/>
        <v/>
      </c>
      <c r="V172" t="str">
        <f t="shared" si="15"/>
        <v/>
      </c>
      <c r="W172" t="str">
        <f t="shared" si="16"/>
        <v/>
      </c>
      <c r="X172" t="str">
        <f t="shared" si="17"/>
        <v/>
      </c>
      <c r="Y172" t="str">
        <f t="shared" si="18"/>
        <v/>
      </c>
      <c r="Z172" t="str">
        <f t="shared" si="19"/>
        <v/>
      </c>
      <c r="AA172" t="str">
        <f t="shared" si="20"/>
        <v/>
      </c>
      <c r="AB172" t="str">
        <f t="shared" si="21"/>
        <v/>
      </c>
      <c r="AC172" t="str">
        <f t="shared" si="22"/>
        <v/>
      </c>
      <c r="AD172" t="str">
        <f t="shared" si="23"/>
        <v/>
      </c>
      <c r="AE172" t="str">
        <f t="shared" si="24"/>
        <v/>
      </c>
      <c r="AF172" t="str">
        <f t="shared" si="25"/>
        <v/>
      </c>
      <c r="AG172" t="str">
        <f t="shared" si="26"/>
        <v/>
      </c>
      <c r="AH172" s="65" t="str">
        <f t="array" ref="AH172">if(sum(H172:AG172)=0,,sum(sort(TRANSPOSE(H172:AG172),1,false)))</f>
        <v/>
      </c>
    </row>
    <row r="173" hidden="1">
      <c r="F173" s="4">
        <v>41.0</v>
      </c>
      <c r="H173" t="str">
        <f t="shared" si="1"/>
        <v/>
      </c>
      <c r="I173" t="str">
        <f t="shared" si="2"/>
        <v/>
      </c>
      <c r="J173" t="str">
        <f t="shared" si="3"/>
        <v/>
      </c>
      <c r="K173" t="str">
        <f t="shared" si="4"/>
        <v/>
      </c>
      <c r="L173" t="str">
        <f t="shared" si="5"/>
        <v/>
      </c>
      <c r="M173" t="str">
        <f t="shared" si="6"/>
        <v/>
      </c>
      <c r="N173" t="str">
        <f t="shared" si="7"/>
        <v/>
      </c>
      <c r="O173" t="str">
        <f t="shared" si="8"/>
        <v/>
      </c>
      <c r="P173" t="str">
        <f t="shared" si="9"/>
        <v/>
      </c>
      <c r="Q173" t="str">
        <f t="shared" si="10"/>
        <v/>
      </c>
      <c r="R173" t="str">
        <f t="shared" si="11"/>
        <v/>
      </c>
      <c r="S173" t="str">
        <f t="shared" si="12"/>
        <v/>
      </c>
      <c r="T173" t="str">
        <f t="shared" si="13"/>
        <v/>
      </c>
      <c r="U173" t="str">
        <f t="shared" si="14"/>
        <v/>
      </c>
      <c r="V173" t="str">
        <f t="shared" si="15"/>
        <v/>
      </c>
      <c r="W173" t="str">
        <f t="shared" si="16"/>
        <v/>
      </c>
      <c r="X173" t="str">
        <f t="shared" si="17"/>
        <v/>
      </c>
      <c r="Y173" t="str">
        <f t="shared" si="18"/>
        <v/>
      </c>
      <c r="Z173" t="str">
        <f t="shared" si="19"/>
        <v/>
      </c>
      <c r="AA173" t="str">
        <f t="shared" si="20"/>
        <v/>
      </c>
      <c r="AB173" t="str">
        <f t="shared" si="21"/>
        <v/>
      </c>
      <c r="AC173" t="str">
        <f t="shared" si="22"/>
        <v/>
      </c>
      <c r="AD173" t="str">
        <f t="shared" si="23"/>
        <v/>
      </c>
      <c r="AE173" t="str">
        <f t="shared" si="24"/>
        <v/>
      </c>
      <c r="AF173" t="str">
        <f t="shared" si="25"/>
        <v/>
      </c>
      <c r="AG173" t="str">
        <f t="shared" si="26"/>
        <v/>
      </c>
      <c r="AH173" s="65" t="str">
        <f t="array" ref="AH173">if(sum(H173:AG173)=0,,sum(sort(TRANSPOSE(H173:AG173),1,false)))</f>
        <v/>
      </c>
    </row>
    <row r="174" hidden="1">
      <c r="F174" s="4">
        <v>42.0</v>
      </c>
      <c r="H174" t="str">
        <f t="shared" si="1"/>
        <v/>
      </c>
      <c r="I174" t="str">
        <f t="shared" si="2"/>
        <v/>
      </c>
      <c r="J174" t="str">
        <f t="shared" si="3"/>
        <v/>
      </c>
      <c r="K174" t="str">
        <f t="shared" si="4"/>
        <v/>
      </c>
      <c r="L174" t="str">
        <f t="shared" si="5"/>
        <v/>
      </c>
      <c r="M174" t="str">
        <f t="shared" si="6"/>
        <v/>
      </c>
      <c r="N174" t="str">
        <f t="shared" si="7"/>
        <v/>
      </c>
      <c r="O174" t="str">
        <f t="shared" si="8"/>
        <v/>
      </c>
      <c r="P174" t="str">
        <f t="shared" si="9"/>
        <v/>
      </c>
      <c r="Q174" t="str">
        <f t="shared" si="10"/>
        <v/>
      </c>
      <c r="R174" t="str">
        <f t="shared" si="11"/>
        <v/>
      </c>
      <c r="S174" t="str">
        <f t="shared" si="12"/>
        <v/>
      </c>
      <c r="T174" t="str">
        <f t="shared" si="13"/>
        <v/>
      </c>
      <c r="U174" t="str">
        <f t="shared" si="14"/>
        <v/>
      </c>
      <c r="V174" t="str">
        <f t="shared" si="15"/>
        <v/>
      </c>
      <c r="W174" t="str">
        <f t="shared" si="16"/>
        <v/>
      </c>
      <c r="X174" t="str">
        <f t="shared" si="17"/>
        <v/>
      </c>
      <c r="Y174" t="str">
        <f t="shared" si="18"/>
        <v/>
      </c>
      <c r="Z174" t="str">
        <f t="shared" si="19"/>
        <v/>
      </c>
      <c r="AA174" t="str">
        <f t="shared" si="20"/>
        <v/>
      </c>
      <c r="AB174" t="str">
        <f t="shared" si="21"/>
        <v/>
      </c>
      <c r="AC174" t="str">
        <f t="shared" si="22"/>
        <v/>
      </c>
      <c r="AD174" t="str">
        <f t="shared" si="23"/>
        <v/>
      </c>
      <c r="AE174" t="str">
        <f t="shared" si="24"/>
        <v/>
      </c>
      <c r="AF174" t="str">
        <f t="shared" si="25"/>
        <v/>
      </c>
      <c r="AG174" t="str">
        <f t="shared" si="26"/>
        <v/>
      </c>
      <c r="AH174" s="65" t="str">
        <f t="array" ref="AH174">if(sum(H174:AG174)=0,,sum(sort(TRANSPOSE(H174:AG174),1,false)))</f>
        <v/>
      </c>
    </row>
    <row r="175" hidden="1">
      <c r="F175" s="4">
        <v>43.0</v>
      </c>
      <c r="H175" t="str">
        <f t="shared" si="1"/>
        <v/>
      </c>
      <c r="I175" t="str">
        <f t="shared" si="2"/>
        <v/>
      </c>
      <c r="J175" t="str">
        <f t="shared" si="3"/>
        <v/>
      </c>
      <c r="K175" t="str">
        <f t="shared" si="4"/>
        <v/>
      </c>
      <c r="L175" t="str">
        <f t="shared" si="5"/>
        <v/>
      </c>
      <c r="M175" t="str">
        <f t="shared" si="6"/>
        <v/>
      </c>
      <c r="N175" t="str">
        <f t="shared" si="7"/>
        <v/>
      </c>
      <c r="O175" t="str">
        <f t="shared" si="8"/>
        <v/>
      </c>
      <c r="P175" t="str">
        <f t="shared" si="9"/>
        <v/>
      </c>
      <c r="Q175" t="str">
        <f t="shared" si="10"/>
        <v/>
      </c>
      <c r="R175" t="str">
        <f t="shared" si="11"/>
        <v/>
      </c>
      <c r="S175" t="str">
        <f t="shared" si="12"/>
        <v/>
      </c>
      <c r="T175" t="str">
        <f t="shared" si="13"/>
        <v/>
      </c>
      <c r="U175" t="str">
        <f t="shared" si="14"/>
        <v/>
      </c>
      <c r="V175" t="str">
        <f t="shared" si="15"/>
        <v/>
      </c>
      <c r="W175" t="str">
        <f t="shared" si="16"/>
        <v/>
      </c>
      <c r="X175" t="str">
        <f t="shared" si="17"/>
        <v/>
      </c>
      <c r="Y175" t="str">
        <f t="shared" si="18"/>
        <v/>
      </c>
      <c r="Z175" t="str">
        <f t="shared" si="19"/>
        <v/>
      </c>
      <c r="AA175" t="str">
        <f t="shared" si="20"/>
        <v/>
      </c>
      <c r="AB175" t="str">
        <f t="shared" si="21"/>
        <v/>
      </c>
      <c r="AC175" t="str">
        <f t="shared" si="22"/>
        <v/>
      </c>
      <c r="AD175" t="str">
        <f t="shared" si="23"/>
        <v/>
      </c>
      <c r="AE175" t="str">
        <f t="shared" si="24"/>
        <v/>
      </c>
      <c r="AF175" t="str">
        <f t="shared" si="25"/>
        <v/>
      </c>
      <c r="AG175" t="str">
        <f t="shared" si="26"/>
        <v/>
      </c>
      <c r="AH175" s="65" t="str">
        <f t="array" ref="AH175">if(sum(H175:AG175)=0,,sum(sort(TRANSPOSE(H175:AG175),1,false)))</f>
        <v/>
      </c>
    </row>
    <row r="176" hidden="1">
      <c r="F176" s="4">
        <v>44.0</v>
      </c>
      <c r="H176" t="str">
        <f t="shared" si="1"/>
        <v/>
      </c>
      <c r="I176" t="str">
        <f t="shared" si="2"/>
        <v/>
      </c>
      <c r="J176" t="str">
        <f t="shared" si="3"/>
        <v/>
      </c>
      <c r="K176" t="str">
        <f t="shared" si="4"/>
        <v/>
      </c>
      <c r="L176" t="str">
        <f t="shared" si="5"/>
        <v/>
      </c>
      <c r="M176" t="str">
        <f t="shared" si="6"/>
        <v/>
      </c>
      <c r="N176" t="str">
        <f t="shared" si="7"/>
        <v/>
      </c>
      <c r="O176" t="str">
        <f t="shared" si="8"/>
        <v/>
      </c>
      <c r="P176" t="str">
        <f t="shared" si="9"/>
        <v/>
      </c>
      <c r="Q176" t="str">
        <f t="shared" si="10"/>
        <v/>
      </c>
      <c r="R176" t="str">
        <f t="shared" si="11"/>
        <v/>
      </c>
      <c r="S176" t="str">
        <f t="shared" si="12"/>
        <v/>
      </c>
      <c r="T176" t="str">
        <f t="shared" si="13"/>
        <v/>
      </c>
      <c r="U176" t="str">
        <f t="shared" si="14"/>
        <v/>
      </c>
      <c r="V176" t="str">
        <f t="shared" si="15"/>
        <v/>
      </c>
      <c r="W176" t="str">
        <f t="shared" si="16"/>
        <v/>
      </c>
      <c r="X176" t="str">
        <f t="shared" si="17"/>
        <v/>
      </c>
      <c r="Y176" t="str">
        <f t="shared" si="18"/>
        <v/>
      </c>
      <c r="Z176" t="str">
        <f t="shared" si="19"/>
        <v/>
      </c>
      <c r="AA176" t="str">
        <f t="shared" si="20"/>
        <v/>
      </c>
      <c r="AB176" t="str">
        <f t="shared" si="21"/>
        <v/>
      </c>
      <c r="AC176" t="str">
        <f t="shared" si="22"/>
        <v/>
      </c>
      <c r="AD176" t="str">
        <f t="shared" si="23"/>
        <v/>
      </c>
      <c r="AE176" t="str">
        <f t="shared" si="24"/>
        <v/>
      </c>
      <c r="AF176" t="str">
        <f t="shared" si="25"/>
        <v/>
      </c>
      <c r="AG176" t="str">
        <f t="shared" si="26"/>
        <v/>
      </c>
      <c r="AH176" s="65" t="str">
        <f t="array" ref="AH176">if(sum(H176:AG176)=0,,sum(sort(TRANSPOSE(H176:AG176),1,false)))</f>
        <v/>
      </c>
    </row>
    <row r="177" hidden="1">
      <c r="F177" s="4">
        <v>45.0</v>
      </c>
      <c r="H177" t="str">
        <f t="shared" si="1"/>
        <v/>
      </c>
      <c r="I177" t="str">
        <f t="shared" si="2"/>
        <v/>
      </c>
      <c r="J177" t="str">
        <f t="shared" si="3"/>
        <v/>
      </c>
      <c r="K177" t="str">
        <f t="shared" si="4"/>
        <v/>
      </c>
      <c r="L177" t="str">
        <f t="shared" si="5"/>
        <v/>
      </c>
      <c r="M177" t="str">
        <f t="shared" si="6"/>
        <v/>
      </c>
      <c r="N177" t="str">
        <f t="shared" si="7"/>
        <v/>
      </c>
      <c r="O177" t="str">
        <f t="shared" si="8"/>
        <v/>
      </c>
      <c r="P177" t="str">
        <f t="shared" si="9"/>
        <v/>
      </c>
      <c r="Q177" t="str">
        <f t="shared" si="10"/>
        <v/>
      </c>
      <c r="R177" t="str">
        <f t="shared" si="11"/>
        <v/>
      </c>
      <c r="S177" t="str">
        <f t="shared" si="12"/>
        <v/>
      </c>
      <c r="T177" t="str">
        <f t="shared" si="13"/>
        <v/>
      </c>
      <c r="U177" t="str">
        <f t="shared" si="14"/>
        <v/>
      </c>
      <c r="V177" t="str">
        <f t="shared" si="15"/>
        <v/>
      </c>
      <c r="W177" t="str">
        <f t="shared" si="16"/>
        <v/>
      </c>
      <c r="X177" t="str">
        <f t="shared" si="17"/>
        <v/>
      </c>
      <c r="Y177" t="str">
        <f t="shared" si="18"/>
        <v/>
      </c>
      <c r="Z177" t="str">
        <f t="shared" si="19"/>
        <v/>
      </c>
      <c r="AA177" t="str">
        <f t="shared" si="20"/>
        <v/>
      </c>
      <c r="AB177" t="str">
        <f t="shared" si="21"/>
        <v/>
      </c>
      <c r="AC177" t="str">
        <f t="shared" si="22"/>
        <v/>
      </c>
      <c r="AD177" t="str">
        <f t="shared" si="23"/>
        <v/>
      </c>
      <c r="AE177" t="str">
        <f t="shared" si="24"/>
        <v/>
      </c>
      <c r="AF177" t="str">
        <f t="shared" si="25"/>
        <v/>
      </c>
      <c r="AG177" t="str">
        <f t="shared" si="26"/>
        <v/>
      </c>
      <c r="AH177" s="65" t="str">
        <f t="array" ref="AH177">if(sum(H177:AG177)=0,,sum(sort(TRANSPOSE(H177:AG177),1,false)))</f>
        <v/>
      </c>
    </row>
    <row r="178" hidden="1">
      <c r="F178" s="4">
        <v>46.0</v>
      </c>
      <c r="H178" t="str">
        <f t="shared" si="1"/>
        <v/>
      </c>
      <c r="I178" t="str">
        <f t="shared" si="2"/>
        <v/>
      </c>
      <c r="J178" t="str">
        <f t="shared" si="3"/>
        <v/>
      </c>
      <c r="K178" t="str">
        <f t="shared" si="4"/>
        <v/>
      </c>
      <c r="L178" t="str">
        <f t="shared" si="5"/>
        <v/>
      </c>
      <c r="M178" t="str">
        <f t="shared" si="6"/>
        <v/>
      </c>
      <c r="N178" t="str">
        <f t="shared" si="7"/>
        <v/>
      </c>
      <c r="O178" t="str">
        <f t="shared" si="8"/>
        <v/>
      </c>
      <c r="P178" t="str">
        <f t="shared" si="9"/>
        <v/>
      </c>
      <c r="Q178" t="str">
        <f t="shared" si="10"/>
        <v/>
      </c>
      <c r="R178" t="str">
        <f t="shared" si="11"/>
        <v/>
      </c>
      <c r="S178" t="str">
        <f t="shared" si="12"/>
        <v/>
      </c>
      <c r="T178" t="str">
        <f t="shared" si="13"/>
        <v/>
      </c>
      <c r="U178" t="str">
        <f t="shared" si="14"/>
        <v/>
      </c>
      <c r="V178" t="str">
        <f t="shared" si="15"/>
        <v/>
      </c>
      <c r="W178" t="str">
        <f t="shared" si="16"/>
        <v/>
      </c>
      <c r="X178" t="str">
        <f t="shared" si="17"/>
        <v/>
      </c>
      <c r="Y178" t="str">
        <f t="shared" si="18"/>
        <v/>
      </c>
      <c r="Z178" t="str">
        <f t="shared" si="19"/>
        <v/>
      </c>
      <c r="AA178" t="str">
        <f t="shared" si="20"/>
        <v/>
      </c>
      <c r="AB178" t="str">
        <f t="shared" si="21"/>
        <v/>
      </c>
      <c r="AC178" t="str">
        <f t="shared" si="22"/>
        <v/>
      </c>
      <c r="AD178" t="str">
        <f t="shared" si="23"/>
        <v/>
      </c>
      <c r="AE178" t="str">
        <f t="shared" si="24"/>
        <v/>
      </c>
      <c r="AF178" t="str">
        <f t="shared" si="25"/>
        <v/>
      </c>
      <c r="AG178" t="str">
        <f t="shared" si="26"/>
        <v/>
      </c>
      <c r="AH178" s="65" t="str">
        <f t="array" ref="AH178">if(sum(H178:AG178)=0,,sum(sort(TRANSPOSE(H178:AG178),1,false)))</f>
        <v/>
      </c>
    </row>
    <row r="179" hidden="1">
      <c r="F179" s="4">
        <v>47.0</v>
      </c>
      <c r="H179" t="str">
        <f t="shared" si="1"/>
        <v/>
      </c>
      <c r="I179" t="str">
        <f t="shared" si="2"/>
        <v/>
      </c>
      <c r="J179" t="str">
        <f t="shared" si="3"/>
        <v/>
      </c>
      <c r="K179" t="str">
        <f t="shared" si="4"/>
        <v/>
      </c>
      <c r="L179" t="str">
        <f t="shared" si="5"/>
        <v/>
      </c>
      <c r="M179" t="str">
        <f t="shared" si="6"/>
        <v/>
      </c>
      <c r="N179" t="str">
        <f t="shared" si="7"/>
        <v/>
      </c>
      <c r="O179" t="str">
        <f t="shared" si="8"/>
        <v/>
      </c>
      <c r="P179" t="str">
        <f t="shared" si="9"/>
        <v/>
      </c>
      <c r="Q179" t="str">
        <f t="shared" si="10"/>
        <v/>
      </c>
      <c r="R179" t="str">
        <f t="shared" si="11"/>
        <v/>
      </c>
      <c r="S179" t="str">
        <f t="shared" si="12"/>
        <v/>
      </c>
      <c r="T179" t="str">
        <f t="shared" si="13"/>
        <v/>
      </c>
      <c r="U179" t="str">
        <f t="shared" si="14"/>
        <v/>
      </c>
      <c r="V179" t="str">
        <f t="shared" si="15"/>
        <v/>
      </c>
      <c r="W179" t="str">
        <f t="shared" si="16"/>
        <v/>
      </c>
      <c r="X179" t="str">
        <f t="shared" si="17"/>
        <v/>
      </c>
      <c r="Y179" t="str">
        <f t="shared" si="18"/>
        <v/>
      </c>
      <c r="Z179" t="str">
        <f t="shared" si="19"/>
        <v/>
      </c>
      <c r="AA179" t="str">
        <f t="shared" si="20"/>
        <v/>
      </c>
      <c r="AB179" t="str">
        <f t="shared" si="21"/>
        <v/>
      </c>
      <c r="AC179" t="str">
        <f t="shared" si="22"/>
        <v/>
      </c>
      <c r="AD179" t="str">
        <f t="shared" si="23"/>
        <v/>
      </c>
      <c r="AE179" t="str">
        <f t="shared" si="24"/>
        <v/>
      </c>
      <c r="AF179" t="str">
        <f t="shared" si="25"/>
        <v/>
      </c>
      <c r="AG179" t="str">
        <f t="shared" si="26"/>
        <v/>
      </c>
      <c r="AH179" s="65" t="str">
        <f t="array" ref="AH179">if(sum(H179:AG179)=0,,sum(sort(TRANSPOSE(H179:AG179),1,false)))</f>
        <v/>
      </c>
    </row>
    <row r="180" hidden="1">
      <c r="F180" s="4">
        <v>48.0</v>
      </c>
      <c r="H180" t="str">
        <f t="shared" si="1"/>
        <v/>
      </c>
      <c r="I180" t="str">
        <f t="shared" si="2"/>
        <v/>
      </c>
      <c r="J180" t="str">
        <f t="shared" si="3"/>
        <v/>
      </c>
      <c r="K180" t="str">
        <f t="shared" si="4"/>
        <v/>
      </c>
      <c r="L180" t="str">
        <f t="shared" si="5"/>
        <v/>
      </c>
      <c r="M180" t="str">
        <f t="shared" si="6"/>
        <v/>
      </c>
      <c r="N180" t="str">
        <f t="shared" si="7"/>
        <v/>
      </c>
      <c r="O180" t="str">
        <f t="shared" si="8"/>
        <v/>
      </c>
      <c r="P180" t="str">
        <f t="shared" si="9"/>
        <v/>
      </c>
      <c r="Q180" t="str">
        <f t="shared" si="10"/>
        <v/>
      </c>
      <c r="R180" t="str">
        <f t="shared" si="11"/>
        <v/>
      </c>
      <c r="S180" t="str">
        <f t="shared" si="12"/>
        <v/>
      </c>
      <c r="T180" t="str">
        <f t="shared" si="13"/>
        <v/>
      </c>
      <c r="U180" t="str">
        <f t="shared" si="14"/>
        <v/>
      </c>
      <c r="V180" t="str">
        <f t="shared" si="15"/>
        <v/>
      </c>
      <c r="W180" t="str">
        <f t="shared" si="16"/>
        <v/>
      </c>
      <c r="X180" t="str">
        <f t="shared" si="17"/>
        <v/>
      </c>
      <c r="Y180" t="str">
        <f t="shared" si="18"/>
        <v/>
      </c>
      <c r="Z180" t="str">
        <f t="shared" si="19"/>
        <v/>
      </c>
      <c r="AA180" t="str">
        <f t="shared" si="20"/>
        <v/>
      </c>
      <c r="AB180" t="str">
        <f t="shared" si="21"/>
        <v/>
      </c>
      <c r="AC180" t="str">
        <f t="shared" si="22"/>
        <v/>
      </c>
      <c r="AD180" t="str">
        <f t="shared" si="23"/>
        <v/>
      </c>
      <c r="AE180" t="str">
        <f t="shared" si="24"/>
        <v/>
      </c>
      <c r="AF180" t="str">
        <f t="shared" si="25"/>
        <v/>
      </c>
      <c r="AG180" t="str">
        <f t="shared" si="26"/>
        <v/>
      </c>
      <c r="AH180" s="65" t="str">
        <f t="array" ref="AH180">if(sum(H180:AG180)=0,,sum(sort(TRANSPOSE(H180:AG180),1,false)))</f>
        <v/>
      </c>
    </row>
    <row r="181" hidden="1">
      <c r="F181" s="4">
        <v>49.0</v>
      </c>
      <c r="H181" t="str">
        <f t="shared" si="1"/>
        <v/>
      </c>
      <c r="I181" t="str">
        <f t="shared" si="2"/>
        <v/>
      </c>
      <c r="J181" t="str">
        <f t="shared" si="3"/>
        <v/>
      </c>
      <c r="K181" t="str">
        <f t="shared" si="4"/>
        <v/>
      </c>
      <c r="L181" t="str">
        <f t="shared" si="5"/>
        <v/>
      </c>
      <c r="M181" t="str">
        <f t="shared" si="6"/>
        <v/>
      </c>
      <c r="N181" t="str">
        <f t="shared" si="7"/>
        <v/>
      </c>
      <c r="O181" t="str">
        <f t="shared" si="8"/>
        <v/>
      </c>
      <c r="P181" t="str">
        <f t="shared" si="9"/>
        <v/>
      </c>
      <c r="Q181" t="str">
        <f t="shared" si="10"/>
        <v/>
      </c>
      <c r="R181" t="str">
        <f t="shared" si="11"/>
        <v/>
      </c>
      <c r="S181" t="str">
        <f t="shared" si="12"/>
        <v/>
      </c>
      <c r="T181" t="str">
        <f t="shared" si="13"/>
        <v/>
      </c>
      <c r="U181" t="str">
        <f t="shared" si="14"/>
        <v/>
      </c>
      <c r="V181" t="str">
        <f t="shared" si="15"/>
        <v/>
      </c>
      <c r="W181" t="str">
        <f t="shared" si="16"/>
        <v/>
      </c>
      <c r="X181" t="str">
        <f t="shared" si="17"/>
        <v/>
      </c>
      <c r="Y181" t="str">
        <f t="shared" si="18"/>
        <v/>
      </c>
      <c r="Z181" t="str">
        <f t="shared" si="19"/>
        <v/>
      </c>
      <c r="AA181" t="str">
        <f t="shared" si="20"/>
        <v/>
      </c>
      <c r="AB181" t="str">
        <f t="shared" si="21"/>
        <v/>
      </c>
      <c r="AC181" t="str">
        <f t="shared" si="22"/>
        <v/>
      </c>
      <c r="AD181" t="str">
        <f t="shared" si="23"/>
        <v/>
      </c>
      <c r="AE181" t="str">
        <f t="shared" si="24"/>
        <v/>
      </c>
      <c r="AF181" t="str">
        <f t="shared" si="25"/>
        <v/>
      </c>
      <c r="AG181" t="str">
        <f t="shared" si="26"/>
        <v/>
      </c>
      <c r="AH181" s="65" t="str">
        <f t="array" ref="AH181">if(sum(H181:AG181)=0,,sum(sort(TRANSPOSE(H181:AG181),1,false)))</f>
        <v/>
      </c>
    </row>
    <row r="182" hidden="1">
      <c r="F182" s="4">
        <v>50.0</v>
      </c>
      <c r="H182" t="str">
        <f t="shared" si="1"/>
        <v/>
      </c>
      <c r="I182" t="str">
        <f t="shared" si="2"/>
        <v/>
      </c>
      <c r="J182" t="str">
        <f t="shared" si="3"/>
        <v/>
      </c>
      <c r="K182" t="str">
        <f t="shared" si="4"/>
        <v/>
      </c>
      <c r="L182" t="str">
        <f t="shared" si="5"/>
        <v/>
      </c>
      <c r="M182" t="str">
        <f t="shared" si="6"/>
        <v/>
      </c>
      <c r="N182" t="str">
        <f t="shared" si="7"/>
        <v/>
      </c>
      <c r="O182" t="str">
        <f t="shared" si="8"/>
        <v/>
      </c>
      <c r="P182" t="str">
        <f t="shared" si="9"/>
        <v/>
      </c>
      <c r="Q182" t="str">
        <f t="shared" si="10"/>
        <v/>
      </c>
      <c r="R182" t="str">
        <f t="shared" si="11"/>
        <v/>
      </c>
      <c r="S182" t="str">
        <f t="shared" si="12"/>
        <v/>
      </c>
      <c r="T182" t="str">
        <f t="shared" si="13"/>
        <v/>
      </c>
      <c r="U182" t="str">
        <f t="shared" si="14"/>
        <v/>
      </c>
      <c r="V182" t="str">
        <f t="shared" si="15"/>
        <v/>
      </c>
      <c r="W182" t="str">
        <f t="shared" si="16"/>
        <v/>
      </c>
      <c r="X182" t="str">
        <f t="shared" si="17"/>
        <v/>
      </c>
      <c r="Y182" t="str">
        <f t="shared" si="18"/>
        <v/>
      </c>
      <c r="Z182" t="str">
        <f t="shared" si="19"/>
        <v/>
      </c>
      <c r="AA182" t="str">
        <f t="shared" si="20"/>
        <v/>
      </c>
      <c r="AB182" t="str">
        <f t="shared" si="21"/>
        <v/>
      </c>
      <c r="AC182" t="str">
        <f t="shared" si="22"/>
        <v/>
      </c>
      <c r="AD182" t="str">
        <f t="shared" si="23"/>
        <v/>
      </c>
      <c r="AE182" t="str">
        <f t="shared" si="24"/>
        <v/>
      </c>
      <c r="AF182" t="str">
        <f t="shared" si="25"/>
        <v/>
      </c>
      <c r="AG182" t="str">
        <f t="shared" si="26"/>
        <v/>
      </c>
      <c r="AH182" s="65" t="str">
        <f t="array" ref="AH182">if(sum(H182:AG182)=0,,sum(sort(TRANSPOSE(H182:AG182),1,false)))</f>
        <v/>
      </c>
    </row>
    <row r="183" hidden="1">
      <c r="F183" s="4">
        <v>51.0</v>
      </c>
      <c r="H183" t="str">
        <f t="shared" si="1"/>
        <v/>
      </c>
      <c r="I183" t="str">
        <f t="shared" si="2"/>
        <v/>
      </c>
      <c r="J183" t="str">
        <f t="shared" si="3"/>
        <v/>
      </c>
      <c r="K183" t="str">
        <f t="shared" si="4"/>
        <v/>
      </c>
      <c r="L183" t="str">
        <f t="shared" si="5"/>
        <v/>
      </c>
      <c r="M183" t="str">
        <f t="shared" si="6"/>
        <v/>
      </c>
      <c r="N183" t="str">
        <f t="shared" si="7"/>
        <v/>
      </c>
      <c r="O183" t="str">
        <f t="shared" si="8"/>
        <v/>
      </c>
      <c r="P183" t="str">
        <f t="shared" si="9"/>
        <v/>
      </c>
      <c r="Q183" t="str">
        <f t="shared" si="10"/>
        <v/>
      </c>
      <c r="R183" t="str">
        <f t="shared" si="11"/>
        <v/>
      </c>
      <c r="S183" t="str">
        <f t="shared" si="12"/>
        <v/>
      </c>
      <c r="T183" t="str">
        <f t="shared" si="13"/>
        <v/>
      </c>
      <c r="U183" t="str">
        <f t="shared" si="14"/>
        <v/>
      </c>
      <c r="V183" t="str">
        <f t="shared" si="15"/>
        <v/>
      </c>
      <c r="W183" t="str">
        <f t="shared" si="16"/>
        <v/>
      </c>
      <c r="X183" t="str">
        <f t="shared" si="17"/>
        <v/>
      </c>
      <c r="Y183" t="str">
        <f t="shared" si="18"/>
        <v/>
      </c>
      <c r="Z183" t="str">
        <f t="shared" si="19"/>
        <v/>
      </c>
      <c r="AA183" t="str">
        <f t="shared" si="20"/>
        <v/>
      </c>
      <c r="AB183" t="str">
        <f t="shared" si="21"/>
        <v/>
      </c>
      <c r="AC183" t="str">
        <f t="shared" si="22"/>
        <v/>
      </c>
      <c r="AD183" t="str">
        <f t="shared" si="23"/>
        <v/>
      </c>
      <c r="AE183" t="str">
        <f t="shared" si="24"/>
        <v/>
      </c>
      <c r="AF183" t="str">
        <f t="shared" si="25"/>
        <v/>
      </c>
      <c r="AG183" t="str">
        <f t="shared" si="26"/>
        <v/>
      </c>
      <c r="AH183" s="65" t="str">
        <f t="array" ref="AH183">if(sum(H183:AG183)=0,,sum(sort(TRANSPOSE(H183:AG183),1,false)))</f>
        <v/>
      </c>
    </row>
    <row r="184" hidden="1">
      <c r="F184" s="4">
        <v>52.0</v>
      </c>
      <c r="H184" t="str">
        <f t="shared" si="1"/>
        <v/>
      </c>
      <c r="I184" t="str">
        <f t="shared" si="2"/>
        <v/>
      </c>
      <c r="J184" t="str">
        <f t="shared" si="3"/>
        <v/>
      </c>
      <c r="K184" t="str">
        <f t="shared" si="4"/>
        <v/>
      </c>
      <c r="L184" t="str">
        <f t="shared" si="5"/>
        <v/>
      </c>
      <c r="M184" t="str">
        <f t="shared" si="6"/>
        <v/>
      </c>
      <c r="N184" t="str">
        <f t="shared" si="7"/>
        <v/>
      </c>
      <c r="O184" t="str">
        <f t="shared" si="8"/>
        <v/>
      </c>
      <c r="P184" t="str">
        <f t="shared" si="9"/>
        <v/>
      </c>
      <c r="Q184" t="str">
        <f t="shared" si="10"/>
        <v/>
      </c>
      <c r="R184" t="str">
        <f t="shared" si="11"/>
        <v/>
      </c>
      <c r="S184" t="str">
        <f t="shared" si="12"/>
        <v/>
      </c>
      <c r="T184" t="str">
        <f t="shared" si="13"/>
        <v/>
      </c>
      <c r="U184" t="str">
        <f t="shared" si="14"/>
        <v/>
      </c>
      <c r="V184" t="str">
        <f t="shared" si="15"/>
        <v/>
      </c>
      <c r="W184" t="str">
        <f t="shared" si="16"/>
        <v/>
      </c>
      <c r="X184" t="str">
        <f t="shared" si="17"/>
        <v/>
      </c>
      <c r="Y184" t="str">
        <f t="shared" si="18"/>
        <v/>
      </c>
      <c r="Z184" t="str">
        <f t="shared" si="19"/>
        <v/>
      </c>
      <c r="AA184" t="str">
        <f t="shared" si="20"/>
        <v/>
      </c>
      <c r="AB184" t="str">
        <f t="shared" si="21"/>
        <v/>
      </c>
      <c r="AC184" t="str">
        <f t="shared" si="22"/>
        <v/>
      </c>
      <c r="AD184" t="str">
        <f t="shared" si="23"/>
        <v/>
      </c>
      <c r="AE184" t="str">
        <f t="shared" si="24"/>
        <v/>
      </c>
      <c r="AF184" t="str">
        <f t="shared" si="25"/>
        <v/>
      </c>
      <c r="AG184" t="str">
        <f t="shared" si="26"/>
        <v/>
      </c>
      <c r="AH184" s="65" t="str">
        <f t="array" ref="AH184">if(sum(H184:AG184)=0,,sum(sort(TRANSPOSE(H184:AG184),1,false)))</f>
        <v/>
      </c>
    </row>
    <row r="185" hidden="1">
      <c r="F185" s="4">
        <v>53.0</v>
      </c>
      <c r="H185" t="str">
        <f t="shared" si="1"/>
        <v/>
      </c>
      <c r="I185" t="str">
        <f t="shared" si="2"/>
        <v/>
      </c>
      <c r="J185" t="str">
        <f t="shared" si="3"/>
        <v/>
      </c>
      <c r="K185" t="str">
        <f t="shared" si="4"/>
        <v/>
      </c>
      <c r="L185" t="str">
        <f t="shared" si="5"/>
        <v/>
      </c>
      <c r="M185" t="str">
        <f t="shared" si="6"/>
        <v/>
      </c>
      <c r="N185" t="str">
        <f t="shared" si="7"/>
        <v/>
      </c>
      <c r="O185" t="str">
        <f t="shared" si="8"/>
        <v/>
      </c>
      <c r="P185" t="str">
        <f t="shared" si="9"/>
        <v/>
      </c>
      <c r="Q185" t="str">
        <f t="shared" si="10"/>
        <v/>
      </c>
      <c r="R185" t="str">
        <f t="shared" si="11"/>
        <v/>
      </c>
      <c r="S185" t="str">
        <f t="shared" si="12"/>
        <v/>
      </c>
      <c r="T185" t="str">
        <f t="shared" si="13"/>
        <v/>
      </c>
      <c r="U185" t="str">
        <f t="shared" si="14"/>
        <v/>
      </c>
      <c r="V185" t="str">
        <f t="shared" si="15"/>
        <v/>
      </c>
      <c r="W185" t="str">
        <f t="shared" si="16"/>
        <v/>
      </c>
      <c r="X185" t="str">
        <f t="shared" si="17"/>
        <v/>
      </c>
      <c r="Y185" t="str">
        <f t="shared" si="18"/>
        <v/>
      </c>
      <c r="Z185" t="str">
        <f t="shared" si="19"/>
        <v/>
      </c>
      <c r="AA185" t="str">
        <f t="shared" si="20"/>
        <v/>
      </c>
      <c r="AB185" t="str">
        <f t="shared" si="21"/>
        <v/>
      </c>
      <c r="AC185" t="str">
        <f t="shared" si="22"/>
        <v/>
      </c>
      <c r="AD185" t="str">
        <f t="shared" si="23"/>
        <v/>
      </c>
      <c r="AE185" t="str">
        <f t="shared" si="24"/>
        <v/>
      </c>
      <c r="AF185" t="str">
        <f t="shared" si="25"/>
        <v/>
      </c>
      <c r="AG185" t="str">
        <f t="shared" si="26"/>
        <v/>
      </c>
      <c r="AH185" s="65" t="str">
        <f t="array" ref="AH185">if(sum(H185:AG185)=0,,sum(sort(TRANSPOSE(H185:AG185),1,false)))</f>
        <v/>
      </c>
    </row>
    <row r="186" hidden="1">
      <c r="F186" s="4">
        <v>54.0</v>
      </c>
      <c r="H186" t="str">
        <f t="shared" si="1"/>
        <v/>
      </c>
      <c r="I186" t="str">
        <f t="shared" si="2"/>
        <v/>
      </c>
      <c r="J186" t="str">
        <f t="shared" si="3"/>
        <v/>
      </c>
      <c r="K186" t="str">
        <f t="shared" si="4"/>
        <v/>
      </c>
      <c r="L186" t="str">
        <f t="shared" si="5"/>
        <v/>
      </c>
      <c r="M186" t="str">
        <f t="shared" si="6"/>
        <v/>
      </c>
      <c r="N186" t="str">
        <f t="shared" si="7"/>
        <v/>
      </c>
      <c r="O186" t="str">
        <f t="shared" si="8"/>
        <v/>
      </c>
      <c r="P186" t="str">
        <f t="shared" si="9"/>
        <v/>
      </c>
      <c r="Q186" t="str">
        <f t="shared" si="10"/>
        <v/>
      </c>
      <c r="R186" t="str">
        <f t="shared" si="11"/>
        <v/>
      </c>
      <c r="S186" t="str">
        <f t="shared" si="12"/>
        <v/>
      </c>
      <c r="T186" t="str">
        <f t="shared" si="13"/>
        <v/>
      </c>
      <c r="U186" t="str">
        <f t="shared" si="14"/>
        <v/>
      </c>
      <c r="V186" t="str">
        <f t="shared" si="15"/>
        <v/>
      </c>
      <c r="W186" t="str">
        <f t="shared" si="16"/>
        <v/>
      </c>
      <c r="X186" t="str">
        <f t="shared" si="17"/>
        <v/>
      </c>
      <c r="Y186" t="str">
        <f t="shared" si="18"/>
        <v/>
      </c>
      <c r="Z186" t="str">
        <f t="shared" si="19"/>
        <v/>
      </c>
      <c r="AA186" t="str">
        <f t="shared" si="20"/>
        <v/>
      </c>
      <c r="AB186" t="str">
        <f t="shared" si="21"/>
        <v/>
      </c>
      <c r="AC186" t="str">
        <f t="shared" si="22"/>
        <v/>
      </c>
      <c r="AD186" t="str">
        <f t="shared" si="23"/>
        <v/>
      </c>
      <c r="AE186" t="str">
        <f t="shared" si="24"/>
        <v/>
      </c>
      <c r="AF186" t="str">
        <f t="shared" si="25"/>
        <v/>
      </c>
      <c r="AG186" t="str">
        <f t="shared" si="26"/>
        <v/>
      </c>
      <c r="AH186" s="65" t="str">
        <f t="array" ref="AH186">if(sum(H186:AG186)=0,,sum(sort(TRANSPOSE(H186:AG186),1,false)))</f>
        <v/>
      </c>
    </row>
    <row r="187" hidden="1">
      <c r="F187" s="4">
        <v>55.0</v>
      </c>
      <c r="H187" t="str">
        <f t="shared" si="1"/>
        <v/>
      </c>
      <c r="I187" t="str">
        <f t="shared" si="2"/>
        <v/>
      </c>
      <c r="J187" t="str">
        <f t="shared" si="3"/>
        <v/>
      </c>
      <c r="K187" t="str">
        <f t="shared" si="4"/>
        <v/>
      </c>
      <c r="L187" t="str">
        <f t="shared" si="5"/>
        <v/>
      </c>
      <c r="M187" t="str">
        <f t="shared" si="6"/>
        <v/>
      </c>
      <c r="N187" t="str">
        <f t="shared" si="7"/>
        <v/>
      </c>
      <c r="O187" t="str">
        <f t="shared" si="8"/>
        <v/>
      </c>
      <c r="P187" t="str">
        <f t="shared" si="9"/>
        <v/>
      </c>
      <c r="Q187" t="str">
        <f t="shared" si="10"/>
        <v/>
      </c>
      <c r="R187" t="str">
        <f t="shared" si="11"/>
        <v/>
      </c>
      <c r="S187" t="str">
        <f t="shared" si="12"/>
        <v/>
      </c>
      <c r="T187" t="str">
        <f t="shared" si="13"/>
        <v/>
      </c>
      <c r="U187" t="str">
        <f t="shared" si="14"/>
        <v/>
      </c>
      <c r="V187" t="str">
        <f t="shared" si="15"/>
        <v/>
      </c>
      <c r="W187" t="str">
        <f t="shared" si="16"/>
        <v/>
      </c>
      <c r="X187" t="str">
        <f t="shared" si="17"/>
        <v/>
      </c>
      <c r="Y187" t="str">
        <f t="shared" si="18"/>
        <v/>
      </c>
      <c r="Z187" t="str">
        <f t="shared" si="19"/>
        <v/>
      </c>
      <c r="AA187" t="str">
        <f t="shared" si="20"/>
        <v/>
      </c>
      <c r="AB187" t="str">
        <f t="shared" si="21"/>
        <v/>
      </c>
      <c r="AC187" t="str">
        <f t="shared" si="22"/>
        <v/>
      </c>
      <c r="AD187" t="str">
        <f t="shared" si="23"/>
        <v/>
      </c>
      <c r="AE187" t="str">
        <f t="shared" si="24"/>
        <v/>
      </c>
      <c r="AF187" t="str">
        <f t="shared" si="25"/>
        <v/>
      </c>
      <c r="AG187" t="str">
        <f t="shared" si="26"/>
        <v/>
      </c>
      <c r="AH187" s="65" t="str">
        <f t="array" ref="AH187">if(sum(H187:AG187)=0,,sum(sort(TRANSPOSE(H187:AG187),1,false)))</f>
        <v/>
      </c>
    </row>
    <row r="188" hidden="1">
      <c r="F188" s="4">
        <v>56.0</v>
      </c>
      <c r="H188" t="str">
        <f t="shared" si="1"/>
        <v/>
      </c>
      <c r="I188" t="str">
        <f t="shared" si="2"/>
        <v/>
      </c>
      <c r="J188" t="str">
        <f t="shared" si="3"/>
        <v/>
      </c>
      <c r="K188" t="str">
        <f t="shared" si="4"/>
        <v/>
      </c>
      <c r="L188" t="str">
        <f t="shared" si="5"/>
        <v/>
      </c>
      <c r="M188" t="str">
        <f t="shared" si="6"/>
        <v/>
      </c>
      <c r="N188" t="str">
        <f t="shared" si="7"/>
        <v/>
      </c>
      <c r="O188" t="str">
        <f t="shared" si="8"/>
        <v/>
      </c>
      <c r="P188" t="str">
        <f t="shared" si="9"/>
        <v/>
      </c>
      <c r="Q188" t="str">
        <f t="shared" si="10"/>
        <v/>
      </c>
      <c r="R188" t="str">
        <f t="shared" si="11"/>
        <v/>
      </c>
      <c r="S188" t="str">
        <f t="shared" si="12"/>
        <v/>
      </c>
      <c r="T188" t="str">
        <f t="shared" si="13"/>
        <v/>
      </c>
      <c r="U188" t="str">
        <f t="shared" si="14"/>
        <v/>
      </c>
      <c r="V188" t="str">
        <f t="shared" si="15"/>
        <v/>
      </c>
      <c r="W188" t="str">
        <f t="shared" si="16"/>
        <v/>
      </c>
      <c r="X188" t="str">
        <f t="shared" si="17"/>
        <v/>
      </c>
      <c r="Y188" t="str">
        <f t="shared" si="18"/>
        <v/>
      </c>
      <c r="Z188" t="str">
        <f t="shared" si="19"/>
        <v/>
      </c>
      <c r="AA188" t="str">
        <f t="shared" si="20"/>
        <v/>
      </c>
      <c r="AB188" t="str">
        <f t="shared" si="21"/>
        <v/>
      </c>
      <c r="AC188" t="str">
        <f t="shared" si="22"/>
        <v/>
      </c>
      <c r="AD188" t="str">
        <f t="shared" si="23"/>
        <v/>
      </c>
      <c r="AE188" t="str">
        <f t="shared" si="24"/>
        <v/>
      </c>
      <c r="AF188" t="str">
        <f t="shared" si="25"/>
        <v/>
      </c>
      <c r="AG188" t="str">
        <f t="shared" si="26"/>
        <v/>
      </c>
      <c r="AH188" s="65" t="str">
        <f t="array" ref="AH188">if(sum(H188:AG188)=0,,sum(sort(TRANSPOSE(H188:AG188),1,false)))</f>
        <v/>
      </c>
    </row>
    <row r="189" hidden="1">
      <c r="F189" s="4">
        <v>57.0</v>
      </c>
      <c r="H189" t="str">
        <f t="shared" si="1"/>
        <v/>
      </c>
      <c r="I189" t="str">
        <f t="shared" si="2"/>
        <v/>
      </c>
      <c r="J189" t="str">
        <f t="shared" si="3"/>
        <v/>
      </c>
      <c r="K189" t="str">
        <f t="shared" si="4"/>
        <v/>
      </c>
      <c r="L189" t="str">
        <f t="shared" si="5"/>
        <v/>
      </c>
      <c r="M189" t="str">
        <f t="shared" si="6"/>
        <v/>
      </c>
      <c r="N189" t="str">
        <f t="shared" si="7"/>
        <v/>
      </c>
      <c r="O189" t="str">
        <f t="shared" si="8"/>
        <v/>
      </c>
      <c r="P189" t="str">
        <f t="shared" si="9"/>
        <v/>
      </c>
      <c r="Q189" t="str">
        <f t="shared" si="10"/>
        <v/>
      </c>
      <c r="R189" t="str">
        <f t="shared" si="11"/>
        <v/>
      </c>
      <c r="S189" t="str">
        <f t="shared" si="12"/>
        <v/>
      </c>
      <c r="T189" t="str">
        <f t="shared" si="13"/>
        <v/>
      </c>
      <c r="U189" t="str">
        <f t="shared" si="14"/>
        <v/>
      </c>
      <c r="V189" t="str">
        <f t="shared" si="15"/>
        <v/>
      </c>
      <c r="W189" t="str">
        <f t="shared" si="16"/>
        <v/>
      </c>
      <c r="X189" t="str">
        <f t="shared" si="17"/>
        <v/>
      </c>
      <c r="Y189" t="str">
        <f t="shared" si="18"/>
        <v/>
      </c>
      <c r="Z189" t="str">
        <f t="shared" si="19"/>
        <v/>
      </c>
      <c r="AA189" t="str">
        <f t="shared" si="20"/>
        <v/>
      </c>
      <c r="AB189" t="str">
        <f t="shared" si="21"/>
        <v/>
      </c>
      <c r="AC189" t="str">
        <f t="shared" si="22"/>
        <v/>
      </c>
      <c r="AD189" t="str">
        <f t="shared" si="23"/>
        <v/>
      </c>
      <c r="AE189" t="str">
        <f t="shared" si="24"/>
        <v/>
      </c>
      <c r="AF189" t="str">
        <f t="shared" si="25"/>
        <v/>
      </c>
      <c r="AG189" t="str">
        <f t="shared" si="26"/>
        <v/>
      </c>
      <c r="AH189" s="65" t="str">
        <f t="array" ref="AH189">if(sum(H189:AG189)=0,,sum(sort(TRANSPOSE(H189:AG189),1,false)))</f>
        <v/>
      </c>
    </row>
    <row r="190" hidden="1">
      <c r="F190" s="4">
        <v>58.0</v>
      </c>
      <c r="H190" t="str">
        <f t="shared" si="1"/>
        <v/>
      </c>
      <c r="I190" t="str">
        <f t="shared" si="2"/>
        <v/>
      </c>
      <c r="J190" t="str">
        <f t="shared" si="3"/>
        <v/>
      </c>
      <c r="K190" t="str">
        <f t="shared" si="4"/>
        <v/>
      </c>
      <c r="L190" t="str">
        <f t="shared" si="5"/>
        <v/>
      </c>
      <c r="M190" t="str">
        <f t="shared" si="6"/>
        <v/>
      </c>
      <c r="N190" t="str">
        <f t="shared" si="7"/>
        <v/>
      </c>
      <c r="O190" t="str">
        <f t="shared" si="8"/>
        <v/>
      </c>
      <c r="P190" t="str">
        <f t="shared" si="9"/>
        <v/>
      </c>
      <c r="Q190" t="str">
        <f t="shared" si="10"/>
        <v/>
      </c>
      <c r="R190" t="str">
        <f t="shared" si="11"/>
        <v/>
      </c>
      <c r="S190" t="str">
        <f t="shared" si="12"/>
        <v/>
      </c>
      <c r="T190" t="str">
        <f t="shared" si="13"/>
        <v/>
      </c>
      <c r="U190" t="str">
        <f t="shared" si="14"/>
        <v/>
      </c>
      <c r="V190" t="str">
        <f t="shared" si="15"/>
        <v/>
      </c>
      <c r="W190" t="str">
        <f t="shared" si="16"/>
        <v/>
      </c>
      <c r="X190" t="str">
        <f t="shared" si="17"/>
        <v/>
      </c>
      <c r="Y190" t="str">
        <f t="shared" si="18"/>
        <v/>
      </c>
      <c r="Z190" t="str">
        <f t="shared" si="19"/>
        <v/>
      </c>
      <c r="AA190" t="str">
        <f t="shared" si="20"/>
        <v/>
      </c>
      <c r="AB190" t="str">
        <f t="shared" si="21"/>
        <v/>
      </c>
      <c r="AC190" t="str">
        <f t="shared" si="22"/>
        <v/>
      </c>
      <c r="AD190" t="str">
        <f t="shared" si="23"/>
        <v/>
      </c>
      <c r="AE190" t="str">
        <f t="shared" si="24"/>
        <v/>
      </c>
      <c r="AF190" t="str">
        <f t="shared" si="25"/>
        <v/>
      </c>
      <c r="AG190" t="str">
        <f t="shared" si="26"/>
        <v/>
      </c>
      <c r="AH190" s="65" t="str">
        <f t="array" ref="AH190">if(sum(H190:AG190)=0,,sum(sort(TRANSPOSE(H190:AG190),1,false)))</f>
        <v/>
      </c>
    </row>
    <row r="191" hidden="1">
      <c r="F191" s="4">
        <v>59.0</v>
      </c>
      <c r="H191" t="str">
        <f t="shared" si="1"/>
        <v/>
      </c>
      <c r="I191" t="str">
        <f t="shared" si="2"/>
        <v/>
      </c>
      <c r="J191" t="str">
        <f t="shared" si="3"/>
        <v/>
      </c>
      <c r="K191" t="str">
        <f t="shared" si="4"/>
        <v/>
      </c>
      <c r="L191" t="str">
        <f t="shared" si="5"/>
        <v/>
      </c>
      <c r="M191" t="str">
        <f t="shared" si="6"/>
        <v/>
      </c>
      <c r="N191" t="str">
        <f t="shared" si="7"/>
        <v/>
      </c>
      <c r="O191" t="str">
        <f t="shared" si="8"/>
        <v/>
      </c>
      <c r="P191" t="str">
        <f t="shared" si="9"/>
        <v/>
      </c>
      <c r="Q191" t="str">
        <f t="shared" si="10"/>
        <v/>
      </c>
      <c r="R191" t="str">
        <f t="shared" si="11"/>
        <v/>
      </c>
      <c r="S191" t="str">
        <f t="shared" si="12"/>
        <v/>
      </c>
      <c r="T191" t="str">
        <f t="shared" si="13"/>
        <v/>
      </c>
      <c r="U191" t="str">
        <f t="shared" si="14"/>
        <v/>
      </c>
      <c r="V191" t="str">
        <f t="shared" si="15"/>
        <v/>
      </c>
      <c r="W191" t="str">
        <f t="shared" si="16"/>
        <v/>
      </c>
      <c r="X191" t="str">
        <f t="shared" si="17"/>
        <v/>
      </c>
      <c r="Y191" t="str">
        <f t="shared" si="18"/>
        <v/>
      </c>
      <c r="Z191" t="str">
        <f t="shared" si="19"/>
        <v/>
      </c>
      <c r="AA191" t="str">
        <f t="shared" si="20"/>
        <v/>
      </c>
      <c r="AB191" t="str">
        <f t="shared" si="21"/>
        <v/>
      </c>
      <c r="AC191" t="str">
        <f t="shared" si="22"/>
        <v/>
      </c>
      <c r="AD191" t="str">
        <f t="shared" si="23"/>
        <v/>
      </c>
      <c r="AE191" t="str">
        <f t="shared" si="24"/>
        <v/>
      </c>
      <c r="AF191" t="str">
        <f t="shared" si="25"/>
        <v/>
      </c>
      <c r="AG191" t="str">
        <f t="shared" si="26"/>
        <v/>
      </c>
      <c r="AH191" s="65" t="str">
        <f t="array" ref="AH191">if(sum(H191:AG191)=0,,sum(sort(TRANSPOSE(H191:AG191),1,false)))</f>
        <v/>
      </c>
    </row>
    <row r="192" hidden="1">
      <c r="F192" s="4">
        <v>60.0</v>
      </c>
      <c r="H192" t="str">
        <f t="shared" si="1"/>
        <v/>
      </c>
      <c r="I192" t="str">
        <f t="shared" si="2"/>
        <v/>
      </c>
      <c r="J192" t="str">
        <f t="shared" si="3"/>
        <v/>
      </c>
      <c r="K192" t="str">
        <f t="shared" si="4"/>
        <v/>
      </c>
      <c r="L192" t="str">
        <f t="shared" si="5"/>
        <v/>
      </c>
      <c r="M192" t="str">
        <f t="shared" si="6"/>
        <v/>
      </c>
      <c r="N192" t="str">
        <f t="shared" si="7"/>
        <v/>
      </c>
      <c r="O192" t="str">
        <f t="shared" si="8"/>
        <v/>
      </c>
      <c r="P192" t="str">
        <f t="shared" si="9"/>
        <v/>
      </c>
      <c r="Q192" t="str">
        <f t="shared" si="10"/>
        <v/>
      </c>
      <c r="R192" t="str">
        <f t="shared" si="11"/>
        <v/>
      </c>
      <c r="S192" t="str">
        <f t="shared" si="12"/>
        <v/>
      </c>
      <c r="T192" t="str">
        <f t="shared" si="13"/>
        <v/>
      </c>
      <c r="U192" t="str">
        <f t="shared" si="14"/>
        <v/>
      </c>
      <c r="V192" t="str">
        <f t="shared" si="15"/>
        <v/>
      </c>
      <c r="W192" t="str">
        <f t="shared" si="16"/>
        <v/>
      </c>
      <c r="X192" t="str">
        <f t="shared" si="17"/>
        <v/>
      </c>
      <c r="Y192" t="str">
        <f t="shared" si="18"/>
        <v/>
      </c>
      <c r="Z192" t="str">
        <f t="shared" si="19"/>
        <v/>
      </c>
      <c r="AA192" t="str">
        <f t="shared" si="20"/>
        <v/>
      </c>
      <c r="AB192" t="str">
        <f t="shared" si="21"/>
        <v/>
      </c>
      <c r="AC192" t="str">
        <f t="shared" si="22"/>
        <v/>
      </c>
      <c r="AD192" t="str">
        <f t="shared" si="23"/>
        <v/>
      </c>
      <c r="AE192" t="str">
        <f t="shared" si="24"/>
        <v/>
      </c>
      <c r="AF192" t="str">
        <f t="shared" si="25"/>
        <v/>
      </c>
      <c r="AG192" t="str">
        <f t="shared" si="26"/>
        <v/>
      </c>
      <c r="AH192" s="65" t="str">
        <f t="array" ref="AH192">if(sum(H192:AG192)=0,,sum(sort(TRANSPOSE(H192:AG192),1,false)))</f>
        <v/>
      </c>
    </row>
    <row r="193" hidden="1">
      <c r="F193" s="4">
        <v>61.0</v>
      </c>
      <c r="H193" t="str">
        <f t="shared" si="1"/>
        <v/>
      </c>
      <c r="I193" t="str">
        <f t="shared" si="2"/>
        <v/>
      </c>
      <c r="J193" t="str">
        <f t="shared" si="3"/>
        <v/>
      </c>
      <c r="K193" t="str">
        <f t="shared" si="4"/>
        <v/>
      </c>
      <c r="L193" t="str">
        <f t="shared" si="5"/>
        <v/>
      </c>
      <c r="M193" t="str">
        <f t="shared" si="6"/>
        <v/>
      </c>
      <c r="N193" t="str">
        <f t="shared" si="7"/>
        <v/>
      </c>
      <c r="O193" t="str">
        <f t="shared" si="8"/>
        <v/>
      </c>
      <c r="P193" t="str">
        <f t="shared" si="9"/>
        <v/>
      </c>
      <c r="Q193" t="str">
        <f t="shared" si="10"/>
        <v/>
      </c>
      <c r="R193" t="str">
        <f t="shared" si="11"/>
        <v/>
      </c>
      <c r="S193" t="str">
        <f t="shared" si="12"/>
        <v/>
      </c>
      <c r="T193" t="str">
        <f t="shared" si="13"/>
        <v/>
      </c>
      <c r="U193" t="str">
        <f t="shared" si="14"/>
        <v/>
      </c>
      <c r="V193" t="str">
        <f t="shared" si="15"/>
        <v/>
      </c>
      <c r="W193" t="str">
        <f t="shared" si="16"/>
        <v/>
      </c>
      <c r="X193" t="str">
        <f t="shared" si="17"/>
        <v/>
      </c>
      <c r="Y193" t="str">
        <f t="shared" si="18"/>
        <v/>
      </c>
      <c r="Z193" t="str">
        <f t="shared" si="19"/>
        <v/>
      </c>
      <c r="AA193" t="str">
        <f t="shared" si="20"/>
        <v/>
      </c>
      <c r="AB193" t="str">
        <f t="shared" si="21"/>
        <v/>
      </c>
      <c r="AC193" t="str">
        <f t="shared" si="22"/>
        <v/>
      </c>
      <c r="AD193" t="str">
        <f t="shared" si="23"/>
        <v/>
      </c>
      <c r="AE193" t="str">
        <f t="shared" si="24"/>
        <v/>
      </c>
      <c r="AF193" t="str">
        <f t="shared" si="25"/>
        <v/>
      </c>
      <c r="AG193" t="str">
        <f t="shared" si="26"/>
        <v/>
      </c>
      <c r="AH193" s="65" t="str">
        <f t="array" ref="AH193">if(sum(H193:AG193)=0,,sum(sort(TRANSPOSE(H193:AG193),1,false)))</f>
        <v/>
      </c>
    </row>
    <row r="194" hidden="1">
      <c r="F194" s="4">
        <v>62.0</v>
      </c>
      <c r="H194" t="str">
        <f t="shared" si="1"/>
        <v/>
      </c>
      <c r="I194" t="str">
        <f t="shared" si="2"/>
        <v/>
      </c>
      <c r="J194" t="str">
        <f t="shared" si="3"/>
        <v/>
      </c>
      <c r="K194" t="str">
        <f t="shared" si="4"/>
        <v/>
      </c>
      <c r="L194" t="str">
        <f t="shared" si="5"/>
        <v/>
      </c>
      <c r="M194" t="str">
        <f t="shared" si="6"/>
        <v/>
      </c>
      <c r="N194" t="str">
        <f t="shared" si="7"/>
        <v/>
      </c>
      <c r="O194" t="str">
        <f t="shared" si="8"/>
        <v/>
      </c>
      <c r="P194" t="str">
        <f t="shared" si="9"/>
        <v/>
      </c>
      <c r="Q194" t="str">
        <f t="shared" si="10"/>
        <v/>
      </c>
      <c r="R194" t="str">
        <f t="shared" si="11"/>
        <v/>
      </c>
      <c r="S194" t="str">
        <f t="shared" si="12"/>
        <v/>
      </c>
      <c r="T194" t="str">
        <f t="shared" si="13"/>
        <v/>
      </c>
      <c r="U194" t="str">
        <f t="shared" si="14"/>
        <v/>
      </c>
      <c r="V194" t="str">
        <f t="shared" si="15"/>
        <v/>
      </c>
      <c r="W194" t="str">
        <f t="shared" si="16"/>
        <v/>
      </c>
      <c r="X194" t="str">
        <f t="shared" si="17"/>
        <v/>
      </c>
      <c r="Y194" t="str">
        <f t="shared" si="18"/>
        <v/>
      </c>
      <c r="Z194" t="str">
        <f t="shared" si="19"/>
        <v/>
      </c>
      <c r="AA194" t="str">
        <f t="shared" si="20"/>
        <v/>
      </c>
      <c r="AB194" t="str">
        <f t="shared" si="21"/>
        <v/>
      </c>
      <c r="AC194" t="str">
        <f t="shared" si="22"/>
        <v/>
      </c>
      <c r="AD194" t="str">
        <f t="shared" si="23"/>
        <v/>
      </c>
      <c r="AE194" t="str">
        <f t="shared" si="24"/>
        <v/>
      </c>
      <c r="AF194" t="str">
        <f t="shared" si="25"/>
        <v/>
      </c>
      <c r="AG194" t="str">
        <f t="shared" si="26"/>
        <v/>
      </c>
      <c r="AH194" s="65" t="str">
        <f t="array" ref="AH194">if(sum(H194:AG194)=0,,sum(sort(TRANSPOSE(H194:AG194),1,false)))</f>
        <v/>
      </c>
    </row>
    <row r="195" hidden="1">
      <c r="F195" s="4">
        <v>63.0</v>
      </c>
      <c r="H195" t="str">
        <f t="shared" si="1"/>
        <v/>
      </c>
      <c r="I195" t="str">
        <f t="shared" si="2"/>
        <v/>
      </c>
      <c r="J195" t="str">
        <f t="shared" si="3"/>
        <v/>
      </c>
      <c r="K195" t="str">
        <f t="shared" si="4"/>
        <v/>
      </c>
      <c r="L195" t="str">
        <f t="shared" si="5"/>
        <v/>
      </c>
      <c r="M195" t="str">
        <f t="shared" si="6"/>
        <v/>
      </c>
      <c r="N195" t="str">
        <f t="shared" si="7"/>
        <v/>
      </c>
      <c r="O195" t="str">
        <f t="shared" si="8"/>
        <v/>
      </c>
      <c r="P195" t="str">
        <f t="shared" si="9"/>
        <v/>
      </c>
      <c r="Q195" t="str">
        <f t="shared" si="10"/>
        <v/>
      </c>
      <c r="R195" t="str">
        <f t="shared" si="11"/>
        <v/>
      </c>
      <c r="S195" t="str">
        <f t="shared" si="12"/>
        <v/>
      </c>
      <c r="T195" t="str">
        <f t="shared" si="13"/>
        <v/>
      </c>
      <c r="U195" t="str">
        <f t="shared" si="14"/>
        <v/>
      </c>
      <c r="V195" t="str">
        <f t="shared" si="15"/>
        <v/>
      </c>
      <c r="W195" t="str">
        <f t="shared" si="16"/>
        <v/>
      </c>
      <c r="X195" t="str">
        <f t="shared" si="17"/>
        <v/>
      </c>
      <c r="Y195" t="str">
        <f t="shared" si="18"/>
        <v/>
      </c>
      <c r="Z195" t="str">
        <f t="shared" si="19"/>
        <v/>
      </c>
      <c r="AA195" t="str">
        <f t="shared" si="20"/>
        <v/>
      </c>
      <c r="AB195" t="str">
        <f t="shared" si="21"/>
        <v/>
      </c>
      <c r="AC195" t="str">
        <f t="shared" si="22"/>
        <v/>
      </c>
      <c r="AD195" t="str">
        <f t="shared" si="23"/>
        <v/>
      </c>
      <c r="AE195" t="str">
        <f t="shared" si="24"/>
        <v/>
      </c>
      <c r="AF195" t="str">
        <f t="shared" si="25"/>
        <v/>
      </c>
      <c r="AG195" t="str">
        <f t="shared" si="26"/>
        <v/>
      </c>
      <c r="AH195" s="65" t="str">
        <f t="array" ref="AH195">if(sum(H195:AG195)=0,,sum(sort(TRANSPOSE(H195:AG195),1,false)))</f>
        <v/>
      </c>
    </row>
    <row r="196" hidden="1">
      <c r="F196" s="4">
        <v>64.0</v>
      </c>
      <c r="H196" t="str">
        <f t="shared" si="1"/>
        <v/>
      </c>
      <c r="I196" t="str">
        <f t="shared" si="2"/>
        <v/>
      </c>
      <c r="J196" t="str">
        <f t="shared" si="3"/>
        <v/>
      </c>
      <c r="K196" t="str">
        <f t="shared" si="4"/>
        <v/>
      </c>
      <c r="L196" t="str">
        <f t="shared" si="5"/>
        <v/>
      </c>
      <c r="M196" t="str">
        <f t="shared" si="6"/>
        <v/>
      </c>
      <c r="N196" t="str">
        <f t="shared" si="7"/>
        <v/>
      </c>
      <c r="O196" t="str">
        <f t="shared" si="8"/>
        <v/>
      </c>
      <c r="P196" t="str">
        <f t="shared" si="9"/>
        <v/>
      </c>
      <c r="Q196" t="str">
        <f t="shared" si="10"/>
        <v/>
      </c>
      <c r="R196" t="str">
        <f t="shared" si="11"/>
        <v/>
      </c>
      <c r="S196" t="str">
        <f t="shared" si="12"/>
        <v/>
      </c>
      <c r="T196" t="str">
        <f t="shared" si="13"/>
        <v/>
      </c>
      <c r="U196" t="str">
        <f t="shared" si="14"/>
        <v/>
      </c>
      <c r="V196" t="str">
        <f t="shared" si="15"/>
        <v/>
      </c>
      <c r="W196" t="str">
        <f t="shared" si="16"/>
        <v/>
      </c>
      <c r="X196" t="str">
        <f t="shared" si="17"/>
        <v/>
      </c>
      <c r="Y196" t="str">
        <f t="shared" si="18"/>
        <v/>
      </c>
      <c r="Z196" t="str">
        <f t="shared" si="19"/>
        <v/>
      </c>
      <c r="AA196" t="str">
        <f t="shared" si="20"/>
        <v/>
      </c>
      <c r="AB196" t="str">
        <f t="shared" si="21"/>
        <v/>
      </c>
      <c r="AC196" t="str">
        <f t="shared" si="22"/>
        <v/>
      </c>
      <c r="AD196" t="str">
        <f t="shared" si="23"/>
        <v/>
      </c>
      <c r="AE196" t="str">
        <f t="shared" si="24"/>
        <v/>
      </c>
      <c r="AF196" t="str">
        <f t="shared" si="25"/>
        <v/>
      </c>
      <c r="AG196" t="str">
        <f t="shared" si="26"/>
        <v/>
      </c>
      <c r="AH196" s="65" t="str">
        <f t="array" ref="AH196">if(sum(H196:AG196)=0,,sum(sort(TRANSPOSE(H196:AG196),1,false)))</f>
        <v/>
      </c>
    </row>
    <row r="197" hidden="1">
      <c r="F197" s="4">
        <v>65.0</v>
      </c>
      <c r="H197" t="str">
        <f t="shared" si="1"/>
        <v/>
      </c>
      <c r="I197" t="str">
        <f t="shared" si="2"/>
        <v/>
      </c>
      <c r="J197" t="str">
        <f t="shared" si="3"/>
        <v/>
      </c>
      <c r="K197" t="str">
        <f t="shared" si="4"/>
        <v/>
      </c>
      <c r="L197" t="str">
        <f t="shared" si="5"/>
        <v/>
      </c>
      <c r="M197" t="str">
        <f t="shared" si="6"/>
        <v/>
      </c>
      <c r="N197" t="str">
        <f t="shared" si="7"/>
        <v/>
      </c>
      <c r="O197" t="str">
        <f t="shared" si="8"/>
        <v/>
      </c>
      <c r="P197" t="str">
        <f t="shared" si="9"/>
        <v/>
      </c>
      <c r="Q197" t="str">
        <f t="shared" si="10"/>
        <v/>
      </c>
      <c r="R197" t="str">
        <f t="shared" si="11"/>
        <v/>
      </c>
      <c r="S197" t="str">
        <f t="shared" si="12"/>
        <v/>
      </c>
      <c r="T197" t="str">
        <f t="shared" si="13"/>
        <v/>
      </c>
      <c r="U197" t="str">
        <f t="shared" si="14"/>
        <v/>
      </c>
      <c r="V197" t="str">
        <f t="shared" si="15"/>
        <v/>
      </c>
      <c r="W197" t="str">
        <f t="shared" si="16"/>
        <v/>
      </c>
      <c r="X197" t="str">
        <f t="shared" si="17"/>
        <v/>
      </c>
      <c r="Y197" t="str">
        <f t="shared" si="18"/>
        <v/>
      </c>
      <c r="Z197" t="str">
        <f t="shared" si="19"/>
        <v/>
      </c>
      <c r="AA197" t="str">
        <f t="shared" si="20"/>
        <v/>
      </c>
      <c r="AB197" t="str">
        <f t="shared" si="21"/>
        <v/>
      </c>
      <c r="AC197" t="str">
        <f t="shared" si="22"/>
        <v/>
      </c>
      <c r="AD197" t="str">
        <f t="shared" si="23"/>
        <v/>
      </c>
      <c r="AE197" t="str">
        <f t="shared" si="24"/>
        <v/>
      </c>
      <c r="AF197" t="str">
        <f t="shared" si="25"/>
        <v/>
      </c>
      <c r="AG197" t="str">
        <f t="shared" si="26"/>
        <v/>
      </c>
      <c r="AH197" s="65" t="str">
        <f t="array" ref="AH197">if(sum(H197:AG197)=0,,sum(sort(TRANSPOSE(H197:AG197),1,false)))</f>
        <v/>
      </c>
    </row>
    <row r="198" hidden="1">
      <c r="F198" s="4">
        <v>66.0</v>
      </c>
      <c r="H198" t="str">
        <f t="shared" si="1"/>
        <v/>
      </c>
      <c r="I198" t="str">
        <f t="shared" si="2"/>
        <v/>
      </c>
      <c r="J198" t="str">
        <f t="shared" si="3"/>
        <v/>
      </c>
      <c r="K198" t="str">
        <f t="shared" si="4"/>
        <v/>
      </c>
      <c r="L198" t="str">
        <f t="shared" si="5"/>
        <v/>
      </c>
      <c r="M198" t="str">
        <f t="shared" si="6"/>
        <v/>
      </c>
      <c r="N198" t="str">
        <f t="shared" si="7"/>
        <v/>
      </c>
      <c r="O198" t="str">
        <f t="shared" si="8"/>
        <v/>
      </c>
      <c r="P198" t="str">
        <f t="shared" si="9"/>
        <v/>
      </c>
      <c r="Q198" t="str">
        <f t="shared" si="10"/>
        <v/>
      </c>
      <c r="R198" t="str">
        <f t="shared" si="11"/>
        <v/>
      </c>
      <c r="S198" t="str">
        <f t="shared" si="12"/>
        <v/>
      </c>
      <c r="T198" t="str">
        <f t="shared" si="13"/>
        <v/>
      </c>
      <c r="U198" t="str">
        <f t="shared" si="14"/>
        <v/>
      </c>
      <c r="V198" t="str">
        <f t="shared" si="15"/>
        <v/>
      </c>
      <c r="W198" t="str">
        <f t="shared" si="16"/>
        <v/>
      </c>
      <c r="X198" t="str">
        <f t="shared" si="17"/>
        <v/>
      </c>
      <c r="Y198" t="str">
        <f t="shared" si="18"/>
        <v/>
      </c>
      <c r="Z198" t="str">
        <f t="shared" si="19"/>
        <v/>
      </c>
      <c r="AA198" t="str">
        <f t="shared" si="20"/>
        <v/>
      </c>
      <c r="AB198" t="str">
        <f t="shared" si="21"/>
        <v/>
      </c>
      <c r="AC198" t="str">
        <f t="shared" si="22"/>
        <v/>
      </c>
      <c r="AD198" t="str">
        <f t="shared" si="23"/>
        <v/>
      </c>
      <c r="AE198" t="str">
        <f t="shared" si="24"/>
        <v/>
      </c>
      <c r="AF198" t="str">
        <f t="shared" si="25"/>
        <v/>
      </c>
      <c r="AG198" t="str">
        <f t="shared" si="26"/>
        <v/>
      </c>
      <c r="AH198" s="65" t="str">
        <f t="array" ref="AH198">if(sum(H198:AG198)=0,,sum(sort(TRANSPOSE(H198:AG198),1,false)))</f>
        <v/>
      </c>
    </row>
    <row r="199" hidden="1">
      <c r="F199" s="4">
        <v>67.0</v>
      </c>
      <c r="H199" t="str">
        <f t="shared" si="1"/>
        <v/>
      </c>
      <c r="I199" t="str">
        <f t="shared" si="2"/>
        <v/>
      </c>
      <c r="J199" t="str">
        <f t="shared" si="3"/>
        <v/>
      </c>
      <c r="K199" t="str">
        <f t="shared" si="4"/>
        <v/>
      </c>
      <c r="L199" t="str">
        <f t="shared" si="5"/>
        <v/>
      </c>
      <c r="M199" t="str">
        <f t="shared" si="6"/>
        <v/>
      </c>
      <c r="N199" t="str">
        <f t="shared" si="7"/>
        <v/>
      </c>
      <c r="O199" t="str">
        <f t="shared" si="8"/>
        <v/>
      </c>
      <c r="P199" t="str">
        <f t="shared" si="9"/>
        <v/>
      </c>
      <c r="Q199" t="str">
        <f t="shared" si="10"/>
        <v/>
      </c>
      <c r="R199" t="str">
        <f t="shared" si="11"/>
        <v/>
      </c>
      <c r="S199" t="str">
        <f t="shared" si="12"/>
        <v/>
      </c>
      <c r="T199" t="str">
        <f t="shared" si="13"/>
        <v/>
      </c>
      <c r="U199" t="str">
        <f t="shared" si="14"/>
        <v/>
      </c>
      <c r="V199" t="str">
        <f t="shared" si="15"/>
        <v/>
      </c>
      <c r="W199" t="str">
        <f t="shared" si="16"/>
        <v/>
      </c>
      <c r="X199" t="str">
        <f t="shared" si="17"/>
        <v/>
      </c>
      <c r="Y199" t="str">
        <f t="shared" si="18"/>
        <v/>
      </c>
      <c r="Z199" t="str">
        <f t="shared" si="19"/>
        <v/>
      </c>
      <c r="AA199" t="str">
        <f t="shared" si="20"/>
        <v/>
      </c>
      <c r="AB199" t="str">
        <f t="shared" si="21"/>
        <v/>
      </c>
      <c r="AC199" t="str">
        <f t="shared" si="22"/>
        <v/>
      </c>
      <c r="AD199" t="str">
        <f t="shared" si="23"/>
        <v/>
      </c>
      <c r="AE199" t="str">
        <f t="shared" si="24"/>
        <v/>
      </c>
      <c r="AF199" t="str">
        <f t="shared" si="25"/>
        <v/>
      </c>
      <c r="AG199" t="str">
        <f t="shared" si="26"/>
        <v/>
      </c>
      <c r="AH199" s="65" t="str">
        <f t="array" ref="AH199">if(sum(H199:AG199)=0,,sum(sort(TRANSPOSE(H199:AG199),1,false)))</f>
        <v/>
      </c>
    </row>
    <row r="200" hidden="1">
      <c r="F200" s="4">
        <v>68.0</v>
      </c>
      <c r="H200" t="str">
        <f t="shared" si="1"/>
        <v/>
      </c>
      <c r="I200" t="str">
        <f t="shared" si="2"/>
        <v/>
      </c>
      <c r="J200" t="str">
        <f t="shared" si="3"/>
        <v/>
      </c>
      <c r="K200" t="str">
        <f t="shared" si="4"/>
        <v/>
      </c>
      <c r="L200" t="str">
        <f t="shared" si="5"/>
        <v/>
      </c>
      <c r="M200" t="str">
        <f t="shared" si="6"/>
        <v/>
      </c>
      <c r="N200" t="str">
        <f t="shared" si="7"/>
        <v/>
      </c>
      <c r="O200" t="str">
        <f t="shared" si="8"/>
        <v/>
      </c>
      <c r="P200" t="str">
        <f t="shared" si="9"/>
        <v/>
      </c>
      <c r="Q200" t="str">
        <f t="shared" si="10"/>
        <v/>
      </c>
      <c r="R200" t="str">
        <f t="shared" si="11"/>
        <v/>
      </c>
      <c r="S200" t="str">
        <f t="shared" si="12"/>
        <v/>
      </c>
      <c r="T200" t="str">
        <f t="shared" si="13"/>
        <v/>
      </c>
      <c r="U200" t="str">
        <f t="shared" si="14"/>
        <v/>
      </c>
      <c r="V200" t="str">
        <f t="shared" si="15"/>
        <v/>
      </c>
      <c r="W200" t="str">
        <f t="shared" si="16"/>
        <v/>
      </c>
      <c r="X200" t="str">
        <f t="shared" si="17"/>
        <v/>
      </c>
      <c r="Y200" t="str">
        <f t="shared" si="18"/>
        <v/>
      </c>
      <c r="Z200" t="str">
        <f t="shared" si="19"/>
        <v/>
      </c>
      <c r="AA200" t="str">
        <f t="shared" si="20"/>
        <v/>
      </c>
      <c r="AB200" t="str">
        <f t="shared" si="21"/>
        <v/>
      </c>
      <c r="AC200" t="str">
        <f t="shared" si="22"/>
        <v/>
      </c>
      <c r="AD200" t="str">
        <f t="shared" si="23"/>
        <v/>
      </c>
      <c r="AE200" t="str">
        <f t="shared" si="24"/>
        <v/>
      </c>
      <c r="AF200" t="str">
        <f t="shared" si="25"/>
        <v/>
      </c>
      <c r="AG200" t="str">
        <f t="shared" si="26"/>
        <v/>
      </c>
      <c r="AH200" s="65" t="str">
        <f t="array" ref="AH200">if(sum(H200:AG200)=0,,sum(sort(TRANSPOSE(H200:AG200),1,false)))</f>
        <v/>
      </c>
    </row>
    <row r="201" hidden="1">
      <c r="F201" s="4">
        <v>69.0</v>
      </c>
      <c r="H201" t="str">
        <f t="shared" si="1"/>
        <v/>
      </c>
      <c r="I201" t="str">
        <f t="shared" si="2"/>
        <v/>
      </c>
      <c r="J201" t="str">
        <f t="shared" si="3"/>
        <v/>
      </c>
      <c r="K201" t="str">
        <f t="shared" si="4"/>
        <v/>
      </c>
      <c r="L201" t="str">
        <f t="shared" si="5"/>
        <v/>
      </c>
      <c r="M201" t="str">
        <f t="shared" si="6"/>
        <v/>
      </c>
      <c r="N201" t="str">
        <f t="shared" si="7"/>
        <v/>
      </c>
      <c r="O201" t="str">
        <f t="shared" si="8"/>
        <v/>
      </c>
      <c r="P201" t="str">
        <f t="shared" si="9"/>
        <v/>
      </c>
      <c r="Q201" t="str">
        <f t="shared" si="10"/>
        <v/>
      </c>
      <c r="R201" t="str">
        <f t="shared" si="11"/>
        <v/>
      </c>
      <c r="S201" t="str">
        <f t="shared" si="12"/>
        <v/>
      </c>
      <c r="T201" t="str">
        <f t="shared" si="13"/>
        <v/>
      </c>
      <c r="U201" t="str">
        <f t="shared" si="14"/>
        <v/>
      </c>
      <c r="V201" t="str">
        <f t="shared" si="15"/>
        <v/>
      </c>
      <c r="W201" t="str">
        <f t="shared" si="16"/>
        <v/>
      </c>
      <c r="X201" t="str">
        <f t="shared" si="17"/>
        <v/>
      </c>
      <c r="Y201" t="str">
        <f t="shared" si="18"/>
        <v/>
      </c>
      <c r="Z201" t="str">
        <f t="shared" si="19"/>
        <v/>
      </c>
      <c r="AA201" t="str">
        <f t="shared" si="20"/>
        <v/>
      </c>
      <c r="AB201" t="str">
        <f t="shared" si="21"/>
        <v/>
      </c>
      <c r="AC201" t="str">
        <f t="shared" si="22"/>
        <v/>
      </c>
      <c r="AD201" t="str">
        <f t="shared" si="23"/>
        <v/>
      </c>
      <c r="AE201" t="str">
        <f t="shared" si="24"/>
        <v/>
      </c>
      <c r="AF201" t="str">
        <f t="shared" si="25"/>
        <v/>
      </c>
      <c r="AG201" t="str">
        <f t="shared" si="26"/>
        <v/>
      </c>
      <c r="AH201" s="65" t="str">
        <f t="array" ref="AH201">if(sum(H201:AG201)=0,,sum(sort(TRANSPOSE(H201:AG201),1,false)))</f>
        <v/>
      </c>
    </row>
    <row r="202" hidden="1">
      <c r="F202" s="4">
        <v>70.0</v>
      </c>
      <c r="H202" t="str">
        <f t="shared" si="1"/>
        <v/>
      </c>
      <c r="I202" t="str">
        <f t="shared" si="2"/>
        <v/>
      </c>
      <c r="J202" t="str">
        <f t="shared" si="3"/>
        <v/>
      </c>
      <c r="K202" t="str">
        <f t="shared" si="4"/>
        <v/>
      </c>
      <c r="L202" t="str">
        <f t="shared" si="5"/>
        <v/>
      </c>
      <c r="M202" t="str">
        <f t="shared" si="6"/>
        <v/>
      </c>
      <c r="N202" t="str">
        <f t="shared" si="7"/>
        <v/>
      </c>
      <c r="O202" t="str">
        <f t="shared" si="8"/>
        <v/>
      </c>
      <c r="P202" t="str">
        <f t="shared" si="9"/>
        <v/>
      </c>
      <c r="Q202" t="str">
        <f t="shared" si="10"/>
        <v/>
      </c>
      <c r="R202" t="str">
        <f t="shared" si="11"/>
        <v/>
      </c>
      <c r="S202" t="str">
        <f t="shared" si="12"/>
        <v/>
      </c>
      <c r="T202" t="str">
        <f t="shared" si="13"/>
        <v/>
      </c>
      <c r="U202" t="str">
        <f t="shared" si="14"/>
        <v/>
      </c>
      <c r="V202" t="str">
        <f t="shared" si="15"/>
        <v/>
      </c>
      <c r="W202" t="str">
        <f t="shared" si="16"/>
        <v/>
      </c>
      <c r="X202" t="str">
        <f t="shared" si="17"/>
        <v/>
      </c>
      <c r="Y202" t="str">
        <f t="shared" si="18"/>
        <v/>
      </c>
      <c r="Z202" t="str">
        <f t="shared" si="19"/>
        <v/>
      </c>
      <c r="AA202" t="str">
        <f t="shared" si="20"/>
        <v/>
      </c>
      <c r="AB202" t="str">
        <f t="shared" si="21"/>
        <v/>
      </c>
      <c r="AC202" t="str">
        <f t="shared" si="22"/>
        <v/>
      </c>
      <c r="AD202" t="str">
        <f t="shared" si="23"/>
        <v/>
      </c>
      <c r="AE202" t="str">
        <f t="shared" si="24"/>
        <v/>
      </c>
      <c r="AF202" t="str">
        <f t="shared" si="25"/>
        <v/>
      </c>
      <c r="AG202" t="str">
        <f t="shared" si="26"/>
        <v/>
      </c>
      <c r="AH202" s="65" t="str">
        <f t="array" ref="AH202">if(sum(H202:AG202)=0,,sum(sort(TRANSPOSE(H202:AG202),1,false)))</f>
        <v/>
      </c>
    </row>
    <row r="203" hidden="1">
      <c r="F203" s="4">
        <v>71.0</v>
      </c>
      <c r="H203" t="str">
        <f t="shared" si="1"/>
        <v/>
      </c>
      <c r="I203" t="str">
        <f t="shared" si="2"/>
        <v/>
      </c>
      <c r="J203" t="str">
        <f t="shared" si="3"/>
        <v/>
      </c>
      <c r="K203" t="str">
        <f t="shared" si="4"/>
        <v/>
      </c>
      <c r="L203" t="str">
        <f t="shared" si="5"/>
        <v/>
      </c>
      <c r="M203" t="str">
        <f t="shared" si="6"/>
        <v/>
      </c>
      <c r="N203" t="str">
        <f t="shared" si="7"/>
        <v/>
      </c>
      <c r="O203" t="str">
        <f t="shared" si="8"/>
        <v/>
      </c>
      <c r="P203" t="str">
        <f t="shared" si="9"/>
        <v/>
      </c>
      <c r="Q203" t="str">
        <f t="shared" si="10"/>
        <v/>
      </c>
      <c r="R203" t="str">
        <f t="shared" si="11"/>
        <v/>
      </c>
      <c r="S203" t="str">
        <f t="shared" si="12"/>
        <v/>
      </c>
      <c r="T203" t="str">
        <f t="shared" si="13"/>
        <v/>
      </c>
      <c r="U203" t="str">
        <f t="shared" si="14"/>
        <v/>
      </c>
      <c r="V203" t="str">
        <f t="shared" si="15"/>
        <v/>
      </c>
      <c r="W203" t="str">
        <f t="shared" si="16"/>
        <v/>
      </c>
      <c r="X203" t="str">
        <f t="shared" si="17"/>
        <v/>
      </c>
      <c r="Y203" t="str">
        <f t="shared" si="18"/>
        <v/>
      </c>
      <c r="Z203" t="str">
        <f t="shared" si="19"/>
        <v/>
      </c>
      <c r="AA203" t="str">
        <f t="shared" si="20"/>
        <v/>
      </c>
      <c r="AB203" t="str">
        <f t="shared" si="21"/>
        <v/>
      </c>
      <c r="AC203" t="str">
        <f t="shared" si="22"/>
        <v/>
      </c>
      <c r="AD203" t="str">
        <f t="shared" si="23"/>
        <v/>
      </c>
      <c r="AE203" t="str">
        <f t="shared" si="24"/>
        <v/>
      </c>
      <c r="AF203" t="str">
        <f t="shared" si="25"/>
        <v/>
      </c>
      <c r="AG203" t="str">
        <f t="shared" si="26"/>
        <v/>
      </c>
      <c r="AH203" s="65" t="str">
        <f t="array" ref="AH203">if(sum(H203:AG203)=0,,sum(sort(TRANSPOSE(H203:AG203),1,false)))</f>
        <v/>
      </c>
    </row>
    <row r="204" hidden="1">
      <c r="F204" s="4">
        <v>72.0</v>
      </c>
      <c r="H204" t="str">
        <f t="shared" si="1"/>
        <v/>
      </c>
      <c r="I204" t="str">
        <f t="shared" si="2"/>
        <v/>
      </c>
      <c r="J204" t="str">
        <f t="shared" si="3"/>
        <v/>
      </c>
      <c r="K204" t="str">
        <f t="shared" si="4"/>
        <v/>
      </c>
      <c r="L204" t="str">
        <f t="shared" si="5"/>
        <v/>
      </c>
      <c r="M204" t="str">
        <f t="shared" si="6"/>
        <v/>
      </c>
      <c r="N204" t="str">
        <f t="shared" si="7"/>
        <v/>
      </c>
      <c r="O204" t="str">
        <f t="shared" si="8"/>
        <v/>
      </c>
      <c r="P204" t="str">
        <f t="shared" si="9"/>
        <v/>
      </c>
      <c r="Q204" t="str">
        <f t="shared" si="10"/>
        <v/>
      </c>
      <c r="R204" t="str">
        <f t="shared" si="11"/>
        <v/>
      </c>
      <c r="S204" t="str">
        <f t="shared" si="12"/>
        <v/>
      </c>
      <c r="T204" t="str">
        <f t="shared" si="13"/>
        <v/>
      </c>
      <c r="U204" t="str">
        <f t="shared" si="14"/>
        <v/>
      </c>
      <c r="V204" t="str">
        <f t="shared" si="15"/>
        <v/>
      </c>
      <c r="W204" t="str">
        <f t="shared" si="16"/>
        <v/>
      </c>
      <c r="X204" t="str">
        <f t="shared" si="17"/>
        <v/>
      </c>
      <c r="Y204" t="str">
        <f t="shared" si="18"/>
        <v/>
      </c>
      <c r="Z204" t="str">
        <f t="shared" si="19"/>
        <v/>
      </c>
      <c r="AA204" t="str">
        <f t="shared" si="20"/>
        <v/>
      </c>
      <c r="AB204" t="str">
        <f t="shared" si="21"/>
        <v/>
      </c>
      <c r="AC204" t="str">
        <f t="shared" si="22"/>
        <v/>
      </c>
      <c r="AD204" t="str">
        <f t="shared" si="23"/>
        <v/>
      </c>
      <c r="AE204" t="str">
        <f t="shared" si="24"/>
        <v/>
      </c>
      <c r="AF204" t="str">
        <f t="shared" si="25"/>
        <v/>
      </c>
      <c r="AG204" t="str">
        <f t="shared" si="26"/>
        <v/>
      </c>
      <c r="AH204" s="65" t="str">
        <f t="array" ref="AH204">if(sum(H204:AG204)=0,,sum(sort(TRANSPOSE(H204:AG204),1,false)))</f>
        <v/>
      </c>
    </row>
    <row r="205" hidden="1">
      <c r="F205" s="4">
        <v>73.0</v>
      </c>
      <c r="H205" t="str">
        <f t="shared" si="1"/>
        <v/>
      </c>
      <c r="I205" t="str">
        <f t="shared" si="2"/>
        <v/>
      </c>
      <c r="J205" t="str">
        <f t="shared" si="3"/>
        <v/>
      </c>
      <c r="K205" t="str">
        <f t="shared" si="4"/>
        <v/>
      </c>
      <c r="L205" t="str">
        <f t="shared" si="5"/>
        <v/>
      </c>
      <c r="M205" t="str">
        <f t="shared" si="6"/>
        <v/>
      </c>
      <c r="N205" t="str">
        <f t="shared" si="7"/>
        <v/>
      </c>
      <c r="O205" t="str">
        <f t="shared" si="8"/>
        <v/>
      </c>
      <c r="P205" t="str">
        <f t="shared" si="9"/>
        <v/>
      </c>
      <c r="Q205" t="str">
        <f t="shared" si="10"/>
        <v/>
      </c>
      <c r="R205" t="str">
        <f t="shared" si="11"/>
        <v/>
      </c>
      <c r="S205" t="str">
        <f t="shared" si="12"/>
        <v/>
      </c>
      <c r="T205" t="str">
        <f t="shared" si="13"/>
        <v/>
      </c>
      <c r="U205" t="str">
        <f t="shared" si="14"/>
        <v/>
      </c>
      <c r="V205" t="str">
        <f t="shared" si="15"/>
        <v/>
      </c>
      <c r="W205" t="str">
        <f t="shared" si="16"/>
        <v/>
      </c>
      <c r="X205" t="str">
        <f t="shared" si="17"/>
        <v/>
      </c>
      <c r="Y205" t="str">
        <f t="shared" si="18"/>
        <v/>
      </c>
      <c r="Z205" t="str">
        <f t="shared" si="19"/>
        <v/>
      </c>
      <c r="AA205" t="str">
        <f t="shared" si="20"/>
        <v/>
      </c>
      <c r="AB205" t="str">
        <f t="shared" si="21"/>
        <v/>
      </c>
      <c r="AC205" t="str">
        <f t="shared" si="22"/>
        <v/>
      </c>
      <c r="AD205" t="str">
        <f t="shared" si="23"/>
        <v/>
      </c>
      <c r="AE205" t="str">
        <f t="shared" si="24"/>
        <v/>
      </c>
      <c r="AF205" t="str">
        <f t="shared" si="25"/>
        <v/>
      </c>
      <c r="AG205" t="str">
        <f t="shared" si="26"/>
        <v/>
      </c>
      <c r="AH205" s="65" t="str">
        <f t="array" ref="AH205">if(sum(H205:AG205)=0,,sum(sort(TRANSPOSE(H205:AG205),1,false)))</f>
        <v/>
      </c>
    </row>
    <row r="206" hidden="1">
      <c r="F206" s="4">
        <v>74.0</v>
      </c>
      <c r="H206" t="str">
        <f t="shared" si="1"/>
        <v/>
      </c>
      <c r="I206" t="str">
        <f t="shared" si="2"/>
        <v/>
      </c>
      <c r="J206" t="str">
        <f t="shared" si="3"/>
        <v/>
      </c>
      <c r="K206" t="str">
        <f t="shared" si="4"/>
        <v/>
      </c>
      <c r="L206" t="str">
        <f t="shared" si="5"/>
        <v/>
      </c>
      <c r="M206" t="str">
        <f t="shared" si="6"/>
        <v/>
      </c>
      <c r="N206" t="str">
        <f t="shared" si="7"/>
        <v/>
      </c>
      <c r="O206" t="str">
        <f t="shared" si="8"/>
        <v/>
      </c>
      <c r="P206" t="str">
        <f t="shared" si="9"/>
        <v/>
      </c>
      <c r="Q206" t="str">
        <f t="shared" si="10"/>
        <v/>
      </c>
      <c r="R206" t="str">
        <f t="shared" si="11"/>
        <v/>
      </c>
      <c r="S206" t="str">
        <f t="shared" si="12"/>
        <v/>
      </c>
      <c r="T206" t="str">
        <f t="shared" si="13"/>
        <v/>
      </c>
      <c r="U206" t="str">
        <f t="shared" si="14"/>
        <v/>
      </c>
      <c r="V206" t="str">
        <f t="shared" si="15"/>
        <v/>
      </c>
      <c r="W206" t="str">
        <f t="shared" si="16"/>
        <v/>
      </c>
      <c r="X206" t="str">
        <f t="shared" si="17"/>
        <v/>
      </c>
      <c r="Y206" t="str">
        <f t="shared" si="18"/>
        <v/>
      </c>
      <c r="Z206" t="str">
        <f t="shared" si="19"/>
        <v/>
      </c>
      <c r="AA206" t="str">
        <f t="shared" si="20"/>
        <v/>
      </c>
      <c r="AB206" t="str">
        <f t="shared" si="21"/>
        <v/>
      </c>
      <c r="AC206" t="str">
        <f t="shared" si="22"/>
        <v/>
      </c>
      <c r="AD206" t="str">
        <f t="shared" si="23"/>
        <v/>
      </c>
      <c r="AE206" t="str">
        <f t="shared" si="24"/>
        <v/>
      </c>
      <c r="AF206" t="str">
        <f t="shared" si="25"/>
        <v/>
      </c>
      <c r="AG206" t="str">
        <f t="shared" si="26"/>
        <v/>
      </c>
      <c r="AH206" s="65" t="str">
        <f t="array" ref="AH206">if(sum(H206:AG206)=0,,sum(sort(TRANSPOSE(H206:AG206),1,false)))</f>
        <v/>
      </c>
    </row>
    <row r="207" hidden="1">
      <c r="F207" s="4">
        <v>75.0</v>
      </c>
      <c r="H207" t="str">
        <f t="shared" si="1"/>
        <v/>
      </c>
      <c r="I207" t="str">
        <f t="shared" si="2"/>
        <v/>
      </c>
      <c r="J207" t="str">
        <f t="shared" si="3"/>
        <v/>
      </c>
      <c r="K207" t="str">
        <f t="shared" si="4"/>
        <v/>
      </c>
      <c r="L207" t="str">
        <f t="shared" si="5"/>
        <v/>
      </c>
      <c r="M207" t="str">
        <f t="shared" si="6"/>
        <v/>
      </c>
      <c r="N207" t="str">
        <f t="shared" si="7"/>
        <v/>
      </c>
      <c r="O207" t="str">
        <f t="shared" si="8"/>
        <v/>
      </c>
      <c r="P207" t="str">
        <f t="shared" si="9"/>
        <v/>
      </c>
      <c r="Q207" t="str">
        <f t="shared" si="10"/>
        <v/>
      </c>
      <c r="R207" t="str">
        <f t="shared" si="11"/>
        <v/>
      </c>
      <c r="S207" t="str">
        <f t="shared" si="12"/>
        <v/>
      </c>
      <c r="T207" t="str">
        <f t="shared" si="13"/>
        <v/>
      </c>
      <c r="U207" t="str">
        <f t="shared" si="14"/>
        <v/>
      </c>
      <c r="V207" t="str">
        <f t="shared" si="15"/>
        <v/>
      </c>
      <c r="W207" t="str">
        <f t="shared" si="16"/>
        <v/>
      </c>
      <c r="X207" t="str">
        <f t="shared" si="17"/>
        <v/>
      </c>
      <c r="Y207" t="str">
        <f t="shared" si="18"/>
        <v/>
      </c>
      <c r="Z207" t="str">
        <f t="shared" si="19"/>
        <v/>
      </c>
      <c r="AA207" t="str">
        <f t="shared" si="20"/>
        <v/>
      </c>
      <c r="AB207" t="str">
        <f t="shared" si="21"/>
        <v/>
      </c>
      <c r="AC207" t="str">
        <f t="shared" si="22"/>
        <v/>
      </c>
      <c r="AD207" t="str">
        <f t="shared" si="23"/>
        <v/>
      </c>
      <c r="AE207" t="str">
        <f t="shared" si="24"/>
        <v/>
      </c>
      <c r="AF207" t="str">
        <f t="shared" si="25"/>
        <v/>
      </c>
      <c r="AG207" t="str">
        <f t="shared" si="26"/>
        <v/>
      </c>
      <c r="AH207" s="65" t="str">
        <f t="array" ref="AH207">if(sum(H207:AG207)=0,,sum(sort(TRANSPOSE(H207:AG207),1,false)))</f>
        <v/>
      </c>
    </row>
    <row r="208" hidden="1">
      <c r="F208" s="4">
        <v>76.0</v>
      </c>
      <c r="H208" t="str">
        <f t="shared" si="1"/>
        <v/>
      </c>
      <c r="I208" t="str">
        <f t="shared" si="2"/>
        <v/>
      </c>
      <c r="J208" t="str">
        <f t="shared" si="3"/>
        <v/>
      </c>
      <c r="K208" t="str">
        <f t="shared" si="4"/>
        <v/>
      </c>
      <c r="L208" t="str">
        <f t="shared" si="5"/>
        <v/>
      </c>
      <c r="M208" t="str">
        <f t="shared" si="6"/>
        <v/>
      </c>
      <c r="N208" t="str">
        <f t="shared" si="7"/>
        <v/>
      </c>
      <c r="O208" t="str">
        <f t="shared" si="8"/>
        <v/>
      </c>
      <c r="P208" t="str">
        <f t="shared" si="9"/>
        <v/>
      </c>
      <c r="Q208" t="str">
        <f t="shared" si="10"/>
        <v/>
      </c>
      <c r="R208" t="str">
        <f t="shared" si="11"/>
        <v/>
      </c>
      <c r="S208" t="str">
        <f t="shared" si="12"/>
        <v/>
      </c>
      <c r="T208" t="str">
        <f t="shared" si="13"/>
        <v/>
      </c>
      <c r="U208" t="str">
        <f t="shared" si="14"/>
        <v/>
      </c>
      <c r="V208" t="str">
        <f t="shared" si="15"/>
        <v/>
      </c>
      <c r="W208" t="str">
        <f t="shared" si="16"/>
        <v/>
      </c>
      <c r="X208" t="str">
        <f t="shared" si="17"/>
        <v/>
      </c>
      <c r="Y208" t="str">
        <f t="shared" si="18"/>
        <v/>
      </c>
      <c r="Z208" t="str">
        <f t="shared" si="19"/>
        <v/>
      </c>
      <c r="AA208" t="str">
        <f t="shared" si="20"/>
        <v/>
      </c>
      <c r="AB208" t="str">
        <f t="shared" si="21"/>
        <v/>
      </c>
      <c r="AC208" t="str">
        <f t="shared" si="22"/>
        <v/>
      </c>
      <c r="AD208" t="str">
        <f t="shared" si="23"/>
        <v/>
      </c>
      <c r="AE208" t="str">
        <f t="shared" si="24"/>
        <v/>
      </c>
      <c r="AF208" t="str">
        <f t="shared" si="25"/>
        <v/>
      </c>
      <c r="AG208" t="str">
        <f t="shared" si="26"/>
        <v/>
      </c>
      <c r="AH208" s="65" t="str">
        <f t="array" ref="AH208">if(sum(H208:AG208)=0,,sum(sort(TRANSPOSE(H208:AG208),1,false)))</f>
        <v/>
      </c>
    </row>
    <row r="209" hidden="1">
      <c r="F209" s="4">
        <v>77.0</v>
      </c>
      <c r="H209" t="str">
        <f t="shared" si="1"/>
        <v/>
      </c>
      <c r="I209" t="str">
        <f t="shared" si="2"/>
        <v/>
      </c>
      <c r="J209" t="str">
        <f t="shared" si="3"/>
        <v/>
      </c>
      <c r="K209" t="str">
        <f t="shared" si="4"/>
        <v/>
      </c>
      <c r="L209" t="str">
        <f t="shared" si="5"/>
        <v/>
      </c>
      <c r="M209" t="str">
        <f t="shared" si="6"/>
        <v/>
      </c>
      <c r="N209" t="str">
        <f t="shared" si="7"/>
        <v/>
      </c>
      <c r="O209" t="str">
        <f t="shared" si="8"/>
        <v/>
      </c>
      <c r="P209" t="str">
        <f t="shared" si="9"/>
        <v/>
      </c>
      <c r="Q209" t="str">
        <f t="shared" si="10"/>
        <v/>
      </c>
      <c r="R209" t="str">
        <f t="shared" si="11"/>
        <v/>
      </c>
      <c r="S209" t="str">
        <f t="shared" si="12"/>
        <v/>
      </c>
      <c r="T209" t="str">
        <f t="shared" si="13"/>
        <v/>
      </c>
      <c r="U209" t="str">
        <f t="shared" si="14"/>
        <v/>
      </c>
      <c r="V209" t="str">
        <f t="shared" si="15"/>
        <v/>
      </c>
      <c r="W209" t="str">
        <f t="shared" si="16"/>
        <v/>
      </c>
      <c r="X209" t="str">
        <f t="shared" si="17"/>
        <v/>
      </c>
      <c r="Y209" t="str">
        <f t="shared" si="18"/>
        <v/>
      </c>
      <c r="Z209" t="str">
        <f t="shared" si="19"/>
        <v/>
      </c>
      <c r="AA209" t="str">
        <f t="shared" si="20"/>
        <v/>
      </c>
      <c r="AB209" t="str">
        <f t="shared" si="21"/>
        <v/>
      </c>
      <c r="AC209" t="str">
        <f t="shared" si="22"/>
        <v/>
      </c>
      <c r="AD209" t="str">
        <f t="shared" si="23"/>
        <v/>
      </c>
      <c r="AE209" t="str">
        <f t="shared" si="24"/>
        <v/>
      </c>
      <c r="AF209" t="str">
        <f t="shared" si="25"/>
        <v/>
      </c>
      <c r="AG209" t="str">
        <f t="shared" si="26"/>
        <v/>
      </c>
      <c r="AH209" s="65" t="str">
        <f t="array" ref="AH209">if(sum(H209:AG209)=0,,sum(sort(TRANSPOSE(H209:AG209),1,false)))</f>
        <v/>
      </c>
    </row>
    <row r="210" hidden="1">
      <c r="F210" s="4">
        <v>78.0</v>
      </c>
      <c r="H210" t="str">
        <f t="shared" si="1"/>
        <v/>
      </c>
      <c r="I210" t="str">
        <f t="shared" si="2"/>
        <v/>
      </c>
      <c r="J210" t="str">
        <f t="shared" si="3"/>
        <v/>
      </c>
      <c r="K210" t="str">
        <f t="shared" si="4"/>
        <v/>
      </c>
      <c r="L210" t="str">
        <f t="shared" si="5"/>
        <v/>
      </c>
      <c r="M210" t="str">
        <f t="shared" si="6"/>
        <v/>
      </c>
      <c r="N210" t="str">
        <f t="shared" si="7"/>
        <v/>
      </c>
      <c r="O210" t="str">
        <f t="shared" si="8"/>
        <v/>
      </c>
      <c r="P210" t="str">
        <f t="shared" si="9"/>
        <v/>
      </c>
      <c r="Q210" t="str">
        <f t="shared" si="10"/>
        <v/>
      </c>
      <c r="R210" t="str">
        <f t="shared" si="11"/>
        <v/>
      </c>
      <c r="S210" t="str">
        <f t="shared" si="12"/>
        <v/>
      </c>
      <c r="T210" t="str">
        <f t="shared" si="13"/>
        <v/>
      </c>
      <c r="U210" t="str">
        <f t="shared" si="14"/>
        <v/>
      </c>
      <c r="V210" t="str">
        <f t="shared" si="15"/>
        <v/>
      </c>
      <c r="W210" t="str">
        <f t="shared" si="16"/>
        <v/>
      </c>
      <c r="X210" t="str">
        <f t="shared" si="17"/>
        <v/>
      </c>
      <c r="Y210" t="str">
        <f t="shared" si="18"/>
        <v/>
      </c>
      <c r="Z210" t="str">
        <f t="shared" si="19"/>
        <v/>
      </c>
      <c r="AA210" t="str">
        <f t="shared" si="20"/>
        <v/>
      </c>
      <c r="AB210" t="str">
        <f t="shared" si="21"/>
        <v/>
      </c>
      <c r="AC210" t="str">
        <f t="shared" si="22"/>
        <v/>
      </c>
      <c r="AD210" t="str">
        <f t="shared" si="23"/>
        <v/>
      </c>
      <c r="AE210" t="str">
        <f t="shared" si="24"/>
        <v/>
      </c>
      <c r="AF210" t="str">
        <f t="shared" si="25"/>
        <v/>
      </c>
      <c r="AG210" t="str">
        <f t="shared" si="26"/>
        <v/>
      </c>
      <c r="AH210" s="65" t="str">
        <f t="array" ref="AH210">if(sum(H210:AG210)=0,,sum(sort(TRANSPOSE(H210:AG210),1,false)))</f>
        <v/>
      </c>
    </row>
    <row r="211" hidden="1">
      <c r="F211" s="4">
        <v>79.0</v>
      </c>
      <c r="H211" t="str">
        <f t="shared" si="1"/>
        <v/>
      </c>
      <c r="I211" t="str">
        <f t="shared" si="2"/>
        <v/>
      </c>
      <c r="J211" t="str">
        <f t="shared" si="3"/>
        <v/>
      </c>
      <c r="K211" t="str">
        <f t="shared" si="4"/>
        <v/>
      </c>
      <c r="L211" t="str">
        <f t="shared" si="5"/>
        <v/>
      </c>
      <c r="M211" t="str">
        <f t="shared" si="6"/>
        <v/>
      </c>
      <c r="N211" t="str">
        <f t="shared" si="7"/>
        <v/>
      </c>
      <c r="O211" t="str">
        <f t="shared" si="8"/>
        <v/>
      </c>
      <c r="P211" t="str">
        <f t="shared" si="9"/>
        <v/>
      </c>
      <c r="Q211" t="str">
        <f t="shared" si="10"/>
        <v/>
      </c>
      <c r="R211" t="str">
        <f t="shared" si="11"/>
        <v/>
      </c>
      <c r="S211" t="str">
        <f t="shared" si="12"/>
        <v/>
      </c>
      <c r="T211" t="str">
        <f t="shared" si="13"/>
        <v/>
      </c>
      <c r="U211" t="str">
        <f t="shared" si="14"/>
        <v/>
      </c>
      <c r="V211" t="str">
        <f t="shared" si="15"/>
        <v/>
      </c>
      <c r="W211" t="str">
        <f t="shared" si="16"/>
        <v/>
      </c>
      <c r="X211" t="str">
        <f t="shared" si="17"/>
        <v/>
      </c>
      <c r="Y211" t="str">
        <f t="shared" si="18"/>
        <v/>
      </c>
      <c r="Z211" t="str">
        <f t="shared" si="19"/>
        <v/>
      </c>
      <c r="AA211" t="str">
        <f t="shared" si="20"/>
        <v/>
      </c>
      <c r="AB211" t="str">
        <f t="shared" si="21"/>
        <v/>
      </c>
      <c r="AC211" t="str">
        <f t="shared" si="22"/>
        <v/>
      </c>
      <c r="AD211" t="str">
        <f t="shared" si="23"/>
        <v/>
      </c>
      <c r="AE211" t="str">
        <f t="shared" si="24"/>
        <v/>
      </c>
      <c r="AF211" t="str">
        <f t="shared" si="25"/>
        <v/>
      </c>
      <c r="AG211" t="str">
        <f t="shared" si="26"/>
        <v/>
      </c>
      <c r="AH211" s="65" t="str">
        <f t="array" ref="AH211">if(sum(H211:AG211)=0,,sum(sort(TRANSPOSE(H211:AG211),1,false)))</f>
        <v/>
      </c>
    </row>
    <row r="212" hidden="1">
      <c r="F212" s="4">
        <v>80.0</v>
      </c>
      <c r="H212" t="str">
        <f t="shared" si="1"/>
        <v/>
      </c>
      <c r="I212" t="str">
        <f t="shared" si="2"/>
        <v/>
      </c>
      <c r="J212" t="str">
        <f t="shared" si="3"/>
        <v/>
      </c>
      <c r="K212" t="str">
        <f t="shared" si="4"/>
        <v/>
      </c>
      <c r="L212" t="str">
        <f t="shared" si="5"/>
        <v/>
      </c>
      <c r="M212" t="str">
        <f t="shared" si="6"/>
        <v/>
      </c>
      <c r="N212" t="str">
        <f t="shared" si="7"/>
        <v/>
      </c>
      <c r="O212" t="str">
        <f t="shared" si="8"/>
        <v/>
      </c>
      <c r="P212" t="str">
        <f t="shared" si="9"/>
        <v/>
      </c>
      <c r="Q212" t="str">
        <f t="shared" si="10"/>
        <v/>
      </c>
      <c r="R212" t="str">
        <f t="shared" si="11"/>
        <v/>
      </c>
      <c r="S212" t="str">
        <f t="shared" si="12"/>
        <v/>
      </c>
      <c r="T212" t="str">
        <f t="shared" si="13"/>
        <v/>
      </c>
      <c r="U212" t="str">
        <f t="shared" si="14"/>
        <v/>
      </c>
      <c r="V212" t="str">
        <f t="shared" si="15"/>
        <v/>
      </c>
      <c r="W212" t="str">
        <f t="shared" si="16"/>
        <v/>
      </c>
      <c r="X212" t="str">
        <f t="shared" si="17"/>
        <v/>
      </c>
      <c r="Y212" t="str">
        <f t="shared" si="18"/>
        <v/>
      </c>
      <c r="Z212" t="str">
        <f t="shared" si="19"/>
        <v/>
      </c>
      <c r="AA212" t="str">
        <f t="shared" si="20"/>
        <v/>
      </c>
      <c r="AB212" t="str">
        <f t="shared" si="21"/>
        <v/>
      </c>
      <c r="AC212" t="str">
        <f t="shared" si="22"/>
        <v/>
      </c>
      <c r="AD212" t="str">
        <f t="shared" si="23"/>
        <v/>
      </c>
      <c r="AE212" t="str">
        <f t="shared" si="24"/>
        <v/>
      </c>
      <c r="AF212" t="str">
        <f t="shared" si="25"/>
        <v/>
      </c>
      <c r="AG212" t="str">
        <f t="shared" si="26"/>
        <v/>
      </c>
      <c r="AH212" s="65" t="str">
        <f t="array" ref="AH212">if(sum(H212:AG212)=0,,sum(sort(TRANSPOSE(H212:AG212),1,false)))</f>
        <v/>
      </c>
    </row>
    <row r="213" hidden="1">
      <c r="F213" s="4">
        <v>81.0</v>
      </c>
      <c r="H213" t="str">
        <f t="shared" si="1"/>
        <v/>
      </c>
      <c r="I213" t="str">
        <f t="shared" si="2"/>
        <v/>
      </c>
      <c r="J213" t="str">
        <f t="shared" si="3"/>
        <v/>
      </c>
      <c r="K213" t="str">
        <f t="shared" si="4"/>
        <v/>
      </c>
      <c r="L213" t="str">
        <f t="shared" si="5"/>
        <v/>
      </c>
      <c r="M213" t="str">
        <f t="shared" si="6"/>
        <v/>
      </c>
      <c r="N213" t="str">
        <f t="shared" si="7"/>
        <v/>
      </c>
      <c r="O213" t="str">
        <f t="shared" si="8"/>
        <v/>
      </c>
      <c r="P213" t="str">
        <f t="shared" si="9"/>
        <v/>
      </c>
      <c r="Q213" t="str">
        <f t="shared" si="10"/>
        <v/>
      </c>
      <c r="R213" t="str">
        <f t="shared" si="11"/>
        <v/>
      </c>
      <c r="S213" t="str">
        <f t="shared" si="12"/>
        <v/>
      </c>
      <c r="T213" t="str">
        <f t="shared" si="13"/>
        <v/>
      </c>
      <c r="U213" t="str">
        <f t="shared" si="14"/>
        <v/>
      </c>
      <c r="V213" t="str">
        <f t="shared" si="15"/>
        <v/>
      </c>
      <c r="W213" t="str">
        <f t="shared" si="16"/>
        <v/>
      </c>
      <c r="X213" t="str">
        <f t="shared" si="17"/>
        <v/>
      </c>
      <c r="Y213" t="str">
        <f t="shared" si="18"/>
        <v/>
      </c>
      <c r="Z213" t="str">
        <f t="shared" si="19"/>
        <v/>
      </c>
      <c r="AA213" t="str">
        <f t="shared" si="20"/>
        <v/>
      </c>
      <c r="AB213" t="str">
        <f t="shared" si="21"/>
        <v/>
      </c>
      <c r="AC213" t="str">
        <f t="shared" si="22"/>
        <v/>
      </c>
      <c r="AD213" t="str">
        <f t="shared" si="23"/>
        <v/>
      </c>
      <c r="AE213" t="str">
        <f t="shared" si="24"/>
        <v/>
      </c>
      <c r="AF213" t="str">
        <f t="shared" si="25"/>
        <v/>
      </c>
      <c r="AG213" t="str">
        <f t="shared" si="26"/>
        <v/>
      </c>
      <c r="AH213" s="65" t="str">
        <f t="array" ref="AH213">if(sum(H213:AG213)=0,,sum(sort(TRANSPOSE(H213:AG213),1,false)))</f>
        <v/>
      </c>
    </row>
    <row r="214" hidden="1">
      <c r="F214" s="4">
        <v>82.0</v>
      </c>
      <c r="H214" t="str">
        <f t="shared" si="1"/>
        <v/>
      </c>
      <c r="I214" t="str">
        <f t="shared" si="2"/>
        <v/>
      </c>
      <c r="J214" t="str">
        <f t="shared" si="3"/>
        <v/>
      </c>
      <c r="K214" t="str">
        <f t="shared" si="4"/>
        <v/>
      </c>
      <c r="L214" t="str">
        <f t="shared" si="5"/>
        <v/>
      </c>
      <c r="M214" t="str">
        <f t="shared" si="6"/>
        <v/>
      </c>
      <c r="N214" t="str">
        <f t="shared" si="7"/>
        <v/>
      </c>
      <c r="O214" t="str">
        <f t="shared" si="8"/>
        <v/>
      </c>
      <c r="P214" t="str">
        <f t="shared" si="9"/>
        <v/>
      </c>
      <c r="Q214" t="str">
        <f t="shared" si="10"/>
        <v/>
      </c>
      <c r="R214" t="str">
        <f t="shared" si="11"/>
        <v/>
      </c>
      <c r="S214" t="str">
        <f t="shared" si="12"/>
        <v/>
      </c>
      <c r="T214" t="str">
        <f t="shared" si="13"/>
        <v/>
      </c>
      <c r="U214" t="str">
        <f t="shared" si="14"/>
        <v/>
      </c>
      <c r="V214" t="str">
        <f t="shared" si="15"/>
        <v/>
      </c>
      <c r="W214" t="str">
        <f t="shared" si="16"/>
        <v/>
      </c>
      <c r="X214" t="str">
        <f t="shared" si="17"/>
        <v/>
      </c>
      <c r="Y214" t="str">
        <f t="shared" si="18"/>
        <v/>
      </c>
      <c r="Z214" t="str">
        <f t="shared" si="19"/>
        <v/>
      </c>
      <c r="AA214" t="str">
        <f t="shared" si="20"/>
        <v/>
      </c>
      <c r="AB214" t="str">
        <f t="shared" si="21"/>
        <v/>
      </c>
      <c r="AC214" t="str">
        <f t="shared" si="22"/>
        <v/>
      </c>
      <c r="AD214" t="str">
        <f t="shared" si="23"/>
        <v/>
      </c>
      <c r="AE214" t="str">
        <f t="shared" si="24"/>
        <v/>
      </c>
      <c r="AF214" t="str">
        <f t="shared" si="25"/>
        <v/>
      </c>
      <c r="AG214" t="str">
        <f t="shared" si="26"/>
        <v/>
      </c>
      <c r="AH214" s="65" t="str">
        <f t="array" ref="AH214">if(sum(H214:AG214)=0,,sum(sort(TRANSPOSE(H214:AG214),1,false)))</f>
        <v/>
      </c>
    </row>
    <row r="215" hidden="1">
      <c r="F215" s="4">
        <v>83.0</v>
      </c>
      <c r="H215" t="str">
        <f t="shared" si="1"/>
        <v/>
      </c>
      <c r="I215" t="str">
        <f t="shared" si="2"/>
        <v/>
      </c>
      <c r="J215" t="str">
        <f t="shared" si="3"/>
        <v/>
      </c>
      <c r="K215" t="str">
        <f t="shared" si="4"/>
        <v/>
      </c>
      <c r="L215" t="str">
        <f t="shared" si="5"/>
        <v/>
      </c>
      <c r="M215" t="str">
        <f t="shared" si="6"/>
        <v/>
      </c>
      <c r="N215" t="str">
        <f t="shared" si="7"/>
        <v/>
      </c>
      <c r="O215" t="str">
        <f t="shared" si="8"/>
        <v/>
      </c>
      <c r="P215" t="str">
        <f t="shared" si="9"/>
        <v/>
      </c>
      <c r="Q215" t="str">
        <f t="shared" si="10"/>
        <v/>
      </c>
      <c r="R215" t="str">
        <f t="shared" si="11"/>
        <v/>
      </c>
      <c r="S215" t="str">
        <f t="shared" si="12"/>
        <v/>
      </c>
      <c r="T215" t="str">
        <f t="shared" si="13"/>
        <v/>
      </c>
      <c r="U215" t="str">
        <f t="shared" si="14"/>
        <v/>
      </c>
      <c r="V215" t="str">
        <f t="shared" si="15"/>
        <v/>
      </c>
      <c r="W215" t="str">
        <f t="shared" si="16"/>
        <v/>
      </c>
      <c r="X215" t="str">
        <f t="shared" si="17"/>
        <v/>
      </c>
      <c r="Y215" t="str">
        <f t="shared" si="18"/>
        <v/>
      </c>
      <c r="Z215" t="str">
        <f t="shared" si="19"/>
        <v/>
      </c>
      <c r="AA215" t="str">
        <f t="shared" si="20"/>
        <v/>
      </c>
      <c r="AB215" t="str">
        <f t="shared" si="21"/>
        <v/>
      </c>
      <c r="AC215" t="str">
        <f t="shared" si="22"/>
        <v/>
      </c>
      <c r="AD215" t="str">
        <f t="shared" si="23"/>
        <v/>
      </c>
      <c r="AE215" t="str">
        <f t="shared" si="24"/>
        <v/>
      </c>
      <c r="AF215" t="str">
        <f t="shared" si="25"/>
        <v/>
      </c>
      <c r="AG215" t="str">
        <f t="shared" si="26"/>
        <v/>
      </c>
      <c r="AH215" s="65" t="str">
        <f t="array" ref="AH215">if(sum(H215:AG215)=0,,sum(sort(TRANSPOSE(H215:AG215),1,false)))</f>
        <v/>
      </c>
    </row>
    <row r="216" hidden="1">
      <c r="F216" s="4">
        <v>84.0</v>
      </c>
      <c r="H216" t="str">
        <f t="shared" si="1"/>
        <v/>
      </c>
      <c r="I216" t="str">
        <f t="shared" si="2"/>
        <v/>
      </c>
      <c r="J216" t="str">
        <f t="shared" si="3"/>
        <v/>
      </c>
      <c r="K216" t="str">
        <f t="shared" si="4"/>
        <v/>
      </c>
      <c r="L216" t="str">
        <f t="shared" si="5"/>
        <v/>
      </c>
      <c r="M216" t="str">
        <f t="shared" si="6"/>
        <v/>
      </c>
      <c r="N216" t="str">
        <f t="shared" si="7"/>
        <v/>
      </c>
      <c r="O216" t="str">
        <f t="shared" si="8"/>
        <v/>
      </c>
      <c r="P216" t="str">
        <f t="shared" si="9"/>
        <v/>
      </c>
      <c r="Q216" t="str">
        <f t="shared" si="10"/>
        <v/>
      </c>
      <c r="R216" t="str">
        <f t="shared" si="11"/>
        <v/>
      </c>
      <c r="S216" t="str">
        <f t="shared" si="12"/>
        <v/>
      </c>
      <c r="T216" t="str">
        <f t="shared" si="13"/>
        <v/>
      </c>
      <c r="U216" t="str">
        <f t="shared" si="14"/>
        <v/>
      </c>
      <c r="V216" t="str">
        <f t="shared" si="15"/>
        <v/>
      </c>
      <c r="W216" t="str">
        <f t="shared" si="16"/>
        <v/>
      </c>
      <c r="X216" t="str">
        <f t="shared" si="17"/>
        <v/>
      </c>
      <c r="Y216" t="str">
        <f t="shared" si="18"/>
        <v/>
      </c>
      <c r="Z216" t="str">
        <f t="shared" si="19"/>
        <v/>
      </c>
      <c r="AA216" t="str">
        <f t="shared" si="20"/>
        <v/>
      </c>
      <c r="AB216" t="str">
        <f t="shared" si="21"/>
        <v/>
      </c>
      <c r="AC216" t="str">
        <f t="shared" si="22"/>
        <v/>
      </c>
      <c r="AD216" t="str">
        <f t="shared" si="23"/>
        <v/>
      </c>
      <c r="AE216" t="str">
        <f t="shared" si="24"/>
        <v/>
      </c>
      <c r="AF216" t="str">
        <f t="shared" si="25"/>
        <v/>
      </c>
      <c r="AG216" t="str">
        <f t="shared" si="26"/>
        <v/>
      </c>
      <c r="AH216" s="65" t="str">
        <f t="array" ref="AH216">if(sum(H216:AG216)=0,,sum(sort(TRANSPOSE(H216:AG216),1,false)))</f>
        <v/>
      </c>
    </row>
    <row r="217" hidden="1">
      <c r="F217" s="4">
        <v>85.0</v>
      </c>
      <c r="H217" t="str">
        <f t="shared" si="1"/>
        <v/>
      </c>
      <c r="I217" t="str">
        <f t="shared" si="2"/>
        <v/>
      </c>
      <c r="J217" t="str">
        <f t="shared" si="3"/>
        <v/>
      </c>
      <c r="K217" t="str">
        <f t="shared" si="4"/>
        <v/>
      </c>
      <c r="L217" t="str">
        <f t="shared" si="5"/>
        <v/>
      </c>
      <c r="M217" t="str">
        <f t="shared" si="6"/>
        <v/>
      </c>
      <c r="N217" t="str">
        <f t="shared" si="7"/>
        <v/>
      </c>
      <c r="O217" t="str">
        <f t="shared" si="8"/>
        <v/>
      </c>
      <c r="P217" t="str">
        <f t="shared" si="9"/>
        <v/>
      </c>
      <c r="Q217" t="str">
        <f t="shared" si="10"/>
        <v/>
      </c>
      <c r="R217" t="str">
        <f t="shared" si="11"/>
        <v/>
      </c>
      <c r="S217" t="str">
        <f t="shared" si="12"/>
        <v/>
      </c>
      <c r="T217" t="str">
        <f t="shared" si="13"/>
        <v/>
      </c>
      <c r="U217" t="str">
        <f t="shared" si="14"/>
        <v/>
      </c>
      <c r="V217" t="str">
        <f t="shared" si="15"/>
        <v/>
      </c>
      <c r="W217" t="str">
        <f t="shared" si="16"/>
        <v/>
      </c>
      <c r="X217" t="str">
        <f t="shared" si="17"/>
        <v/>
      </c>
      <c r="Y217" t="str">
        <f t="shared" si="18"/>
        <v/>
      </c>
      <c r="Z217" t="str">
        <f t="shared" si="19"/>
        <v/>
      </c>
      <c r="AA217" t="str">
        <f t="shared" si="20"/>
        <v/>
      </c>
      <c r="AB217" t="str">
        <f t="shared" si="21"/>
        <v/>
      </c>
      <c r="AC217" t="str">
        <f t="shared" si="22"/>
        <v/>
      </c>
      <c r="AD217" t="str">
        <f t="shared" si="23"/>
        <v/>
      </c>
      <c r="AE217" t="str">
        <f t="shared" si="24"/>
        <v/>
      </c>
      <c r="AF217" t="str">
        <f t="shared" si="25"/>
        <v/>
      </c>
      <c r="AG217" t="str">
        <f t="shared" si="26"/>
        <v/>
      </c>
      <c r="AH217" s="65" t="str">
        <f t="array" ref="AH217">if(sum(H217:AG217)=0,,sum(sort(TRANSPOSE(H217:AG217),1,false)))</f>
        <v/>
      </c>
    </row>
    <row r="218" hidden="1">
      <c r="F218" s="4">
        <v>86.0</v>
      </c>
      <c r="H218" t="str">
        <f t="shared" si="1"/>
        <v/>
      </c>
      <c r="I218" t="str">
        <f t="shared" si="2"/>
        <v/>
      </c>
      <c r="J218" t="str">
        <f t="shared" si="3"/>
        <v/>
      </c>
      <c r="K218" t="str">
        <f t="shared" si="4"/>
        <v/>
      </c>
      <c r="L218" t="str">
        <f t="shared" si="5"/>
        <v/>
      </c>
      <c r="M218" t="str">
        <f t="shared" si="6"/>
        <v/>
      </c>
      <c r="N218" t="str">
        <f t="shared" si="7"/>
        <v/>
      </c>
      <c r="O218" t="str">
        <f t="shared" si="8"/>
        <v/>
      </c>
      <c r="P218" t="str">
        <f t="shared" si="9"/>
        <v/>
      </c>
      <c r="Q218" t="str">
        <f t="shared" si="10"/>
        <v/>
      </c>
      <c r="R218" t="str">
        <f t="shared" si="11"/>
        <v/>
      </c>
      <c r="S218" t="str">
        <f t="shared" si="12"/>
        <v/>
      </c>
      <c r="T218" t="str">
        <f t="shared" si="13"/>
        <v/>
      </c>
      <c r="U218" t="str">
        <f t="shared" si="14"/>
        <v/>
      </c>
      <c r="V218" t="str">
        <f t="shared" si="15"/>
        <v/>
      </c>
      <c r="W218" t="str">
        <f t="shared" si="16"/>
        <v/>
      </c>
      <c r="X218" t="str">
        <f t="shared" si="17"/>
        <v/>
      </c>
      <c r="Y218" t="str">
        <f t="shared" si="18"/>
        <v/>
      </c>
      <c r="Z218" t="str">
        <f t="shared" si="19"/>
        <v/>
      </c>
      <c r="AA218" t="str">
        <f t="shared" si="20"/>
        <v/>
      </c>
      <c r="AB218" t="str">
        <f t="shared" si="21"/>
        <v/>
      </c>
      <c r="AC218" t="str">
        <f t="shared" si="22"/>
        <v/>
      </c>
      <c r="AD218" t="str">
        <f t="shared" si="23"/>
        <v/>
      </c>
      <c r="AE218" t="str">
        <f t="shared" si="24"/>
        <v/>
      </c>
      <c r="AF218" t="str">
        <f t="shared" si="25"/>
        <v/>
      </c>
      <c r="AG218" t="str">
        <f t="shared" si="26"/>
        <v/>
      </c>
      <c r="AH218" s="65" t="str">
        <f t="array" ref="AH218">if(sum(H218:AG218)=0,,sum(sort(TRANSPOSE(H218:AG218),1,false)))</f>
        <v/>
      </c>
    </row>
    <row r="219" hidden="1">
      <c r="F219" s="4">
        <v>87.0</v>
      </c>
      <c r="H219" t="str">
        <f t="shared" si="1"/>
        <v/>
      </c>
      <c r="I219" t="str">
        <f t="shared" si="2"/>
        <v/>
      </c>
      <c r="J219" t="str">
        <f t="shared" si="3"/>
        <v/>
      </c>
      <c r="K219" t="str">
        <f t="shared" si="4"/>
        <v/>
      </c>
      <c r="L219" t="str">
        <f t="shared" si="5"/>
        <v/>
      </c>
      <c r="M219" t="str">
        <f t="shared" si="6"/>
        <v/>
      </c>
      <c r="N219" t="str">
        <f t="shared" si="7"/>
        <v/>
      </c>
      <c r="O219" t="str">
        <f t="shared" si="8"/>
        <v/>
      </c>
      <c r="P219" t="str">
        <f t="shared" si="9"/>
        <v/>
      </c>
      <c r="Q219" t="str">
        <f t="shared" si="10"/>
        <v/>
      </c>
      <c r="R219" t="str">
        <f t="shared" si="11"/>
        <v/>
      </c>
      <c r="S219" t="str">
        <f t="shared" si="12"/>
        <v/>
      </c>
      <c r="T219" t="str">
        <f t="shared" si="13"/>
        <v/>
      </c>
      <c r="U219" t="str">
        <f t="shared" si="14"/>
        <v/>
      </c>
      <c r="V219" t="str">
        <f t="shared" si="15"/>
        <v/>
      </c>
      <c r="W219" t="str">
        <f t="shared" si="16"/>
        <v/>
      </c>
      <c r="X219" t="str">
        <f t="shared" si="17"/>
        <v/>
      </c>
      <c r="Y219" t="str">
        <f t="shared" si="18"/>
        <v/>
      </c>
      <c r="Z219" t="str">
        <f t="shared" si="19"/>
        <v/>
      </c>
      <c r="AA219" t="str">
        <f t="shared" si="20"/>
        <v/>
      </c>
      <c r="AB219" t="str">
        <f t="shared" si="21"/>
        <v/>
      </c>
      <c r="AC219" t="str">
        <f t="shared" si="22"/>
        <v/>
      </c>
      <c r="AD219" t="str">
        <f t="shared" si="23"/>
        <v/>
      </c>
      <c r="AE219" t="str">
        <f t="shared" si="24"/>
        <v/>
      </c>
      <c r="AF219" t="str">
        <f t="shared" si="25"/>
        <v/>
      </c>
      <c r="AG219" t="str">
        <f t="shared" si="26"/>
        <v/>
      </c>
      <c r="AH219" s="65" t="str">
        <f t="array" ref="AH219">if(sum(H219:AG219)=0,,sum(sort(TRANSPOSE(H219:AG219),1,false)))</f>
        <v/>
      </c>
    </row>
    <row r="220" hidden="1">
      <c r="F220" s="4">
        <v>88.0</v>
      </c>
      <c r="H220" t="str">
        <f t="shared" si="1"/>
        <v/>
      </c>
      <c r="I220" t="str">
        <f t="shared" si="2"/>
        <v/>
      </c>
      <c r="J220" t="str">
        <f t="shared" si="3"/>
        <v/>
      </c>
      <c r="K220" t="str">
        <f t="shared" si="4"/>
        <v/>
      </c>
      <c r="L220" t="str">
        <f t="shared" si="5"/>
        <v/>
      </c>
      <c r="M220" t="str">
        <f t="shared" si="6"/>
        <v/>
      </c>
      <c r="N220" t="str">
        <f t="shared" si="7"/>
        <v/>
      </c>
      <c r="O220" t="str">
        <f t="shared" si="8"/>
        <v/>
      </c>
      <c r="P220" t="str">
        <f t="shared" si="9"/>
        <v/>
      </c>
      <c r="Q220" t="str">
        <f t="shared" si="10"/>
        <v/>
      </c>
      <c r="R220" t="str">
        <f t="shared" si="11"/>
        <v/>
      </c>
      <c r="S220" t="str">
        <f t="shared" si="12"/>
        <v/>
      </c>
      <c r="T220" t="str">
        <f t="shared" si="13"/>
        <v/>
      </c>
      <c r="U220" t="str">
        <f t="shared" si="14"/>
        <v/>
      </c>
      <c r="V220" t="str">
        <f t="shared" si="15"/>
        <v/>
      </c>
      <c r="W220" t="str">
        <f t="shared" si="16"/>
        <v/>
      </c>
      <c r="X220" t="str">
        <f t="shared" si="17"/>
        <v/>
      </c>
      <c r="Y220" t="str">
        <f t="shared" si="18"/>
        <v/>
      </c>
      <c r="Z220" t="str">
        <f t="shared" si="19"/>
        <v/>
      </c>
      <c r="AA220" t="str">
        <f t="shared" si="20"/>
        <v/>
      </c>
      <c r="AB220" t="str">
        <f t="shared" si="21"/>
        <v/>
      </c>
      <c r="AC220" t="str">
        <f t="shared" si="22"/>
        <v/>
      </c>
      <c r="AD220" t="str">
        <f t="shared" si="23"/>
        <v/>
      </c>
      <c r="AE220" t="str">
        <f t="shared" si="24"/>
        <v/>
      </c>
      <c r="AF220" t="str">
        <f t="shared" si="25"/>
        <v/>
      </c>
      <c r="AG220" t="str">
        <f t="shared" si="26"/>
        <v/>
      </c>
      <c r="AH220" s="65" t="str">
        <f t="array" ref="AH220">if(sum(H220:AG220)=0,,sum(sort(TRANSPOSE(H220:AG220),1,false)))</f>
        <v/>
      </c>
    </row>
    <row r="221" hidden="1">
      <c r="F221" s="4">
        <v>89.0</v>
      </c>
      <c r="H221" t="str">
        <f t="shared" si="1"/>
        <v/>
      </c>
      <c r="I221" t="str">
        <f t="shared" si="2"/>
        <v/>
      </c>
      <c r="J221" t="str">
        <f t="shared" si="3"/>
        <v/>
      </c>
      <c r="K221" t="str">
        <f t="shared" si="4"/>
        <v/>
      </c>
      <c r="L221" t="str">
        <f t="shared" si="5"/>
        <v/>
      </c>
      <c r="M221" t="str">
        <f t="shared" si="6"/>
        <v/>
      </c>
      <c r="N221" t="str">
        <f t="shared" si="7"/>
        <v/>
      </c>
      <c r="O221" t="str">
        <f t="shared" si="8"/>
        <v/>
      </c>
      <c r="P221" t="str">
        <f t="shared" si="9"/>
        <v/>
      </c>
      <c r="Q221" t="str">
        <f t="shared" si="10"/>
        <v/>
      </c>
      <c r="R221" t="str">
        <f t="shared" si="11"/>
        <v/>
      </c>
      <c r="S221" t="str">
        <f t="shared" si="12"/>
        <v/>
      </c>
      <c r="T221" t="str">
        <f t="shared" si="13"/>
        <v/>
      </c>
      <c r="U221" t="str">
        <f t="shared" si="14"/>
        <v/>
      </c>
      <c r="V221" t="str">
        <f t="shared" si="15"/>
        <v/>
      </c>
      <c r="W221" t="str">
        <f t="shared" si="16"/>
        <v/>
      </c>
      <c r="X221" t="str">
        <f t="shared" si="17"/>
        <v/>
      </c>
      <c r="Y221" t="str">
        <f t="shared" si="18"/>
        <v/>
      </c>
      <c r="Z221" t="str">
        <f t="shared" si="19"/>
        <v/>
      </c>
      <c r="AA221" t="str">
        <f t="shared" si="20"/>
        <v/>
      </c>
      <c r="AB221" t="str">
        <f t="shared" si="21"/>
        <v/>
      </c>
      <c r="AC221" t="str">
        <f t="shared" si="22"/>
        <v/>
      </c>
      <c r="AD221" t="str">
        <f t="shared" si="23"/>
        <v/>
      </c>
      <c r="AE221" t="str">
        <f t="shared" si="24"/>
        <v/>
      </c>
      <c r="AF221" t="str">
        <f t="shared" si="25"/>
        <v/>
      </c>
      <c r="AG221" t="str">
        <f t="shared" si="26"/>
        <v/>
      </c>
      <c r="AH221" s="65" t="str">
        <f t="array" ref="AH221">if(sum(H221:AG221)=0,,sum(sort(TRANSPOSE(H221:AG221),1,false)))</f>
        <v/>
      </c>
    </row>
    <row r="222" hidden="1">
      <c r="F222" s="4">
        <v>90.0</v>
      </c>
      <c r="H222" t="str">
        <f t="shared" si="1"/>
        <v/>
      </c>
      <c r="I222" t="str">
        <f t="shared" si="2"/>
        <v/>
      </c>
      <c r="J222" t="str">
        <f t="shared" si="3"/>
        <v/>
      </c>
      <c r="K222" t="str">
        <f t="shared" si="4"/>
        <v/>
      </c>
      <c r="L222" t="str">
        <f t="shared" si="5"/>
        <v/>
      </c>
      <c r="M222" t="str">
        <f t="shared" si="6"/>
        <v/>
      </c>
      <c r="N222" t="str">
        <f t="shared" si="7"/>
        <v/>
      </c>
      <c r="O222" t="str">
        <f t="shared" si="8"/>
        <v/>
      </c>
      <c r="P222" t="str">
        <f t="shared" si="9"/>
        <v/>
      </c>
      <c r="Q222" t="str">
        <f t="shared" si="10"/>
        <v/>
      </c>
      <c r="R222" t="str">
        <f t="shared" si="11"/>
        <v/>
      </c>
      <c r="S222" t="str">
        <f t="shared" si="12"/>
        <v/>
      </c>
      <c r="T222" t="str">
        <f t="shared" si="13"/>
        <v/>
      </c>
      <c r="U222" t="str">
        <f t="shared" si="14"/>
        <v/>
      </c>
      <c r="V222" t="str">
        <f t="shared" si="15"/>
        <v/>
      </c>
      <c r="W222" t="str">
        <f t="shared" si="16"/>
        <v/>
      </c>
      <c r="X222" t="str">
        <f t="shared" si="17"/>
        <v/>
      </c>
      <c r="Y222" t="str">
        <f t="shared" si="18"/>
        <v/>
      </c>
      <c r="Z222" t="str">
        <f t="shared" si="19"/>
        <v/>
      </c>
      <c r="AA222" t="str">
        <f t="shared" si="20"/>
        <v/>
      </c>
      <c r="AB222" t="str">
        <f t="shared" si="21"/>
        <v/>
      </c>
      <c r="AC222" t="str">
        <f t="shared" si="22"/>
        <v/>
      </c>
      <c r="AD222" t="str">
        <f t="shared" si="23"/>
        <v/>
      </c>
      <c r="AE222" t="str">
        <f t="shared" si="24"/>
        <v/>
      </c>
      <c r="AF222" t="str">
        <f t="shared" si="25"/>
        <v/>
      </c>
      <c r="AG222" t="str">
        <f t="shared" si="26"/>
        <v/>
      </c>
      <c r="AH222" s="65" t="str">
        <f t="array" ref="AH222">if(sum(H222:AG222)=0,,sum(sort(TRANSPOSE(H222:AG222),1,false)))</f>
        <v/>
      </c>
    </row>
    <row r="223" hidden="1">
      <c r="F223" s="4">
        <v>91.0</v>
      </c>
      <c r="H223" t="str">
        <f t="shared" si="1"/>
        <v/>
      </c>
      <c r="I223" t="str">
        <f t="shared" si="2"/>
        <v/>
      </c>
      <c r="J223" t="str">
        <f t="shared" si="3"/>
        <v/>
      </c>
      <c r="K223" t="str">
        <f t="shared" si="4"/>
        <v/>
      </c>
      <c r="L223" t="str">
        <f t="shared" si="5"/>
        <v/>
      </c>
      <c r="M223" t="str">
        <f t="shared" si="6"/>
        <v/>
      </c>
      <c r="N223" t="str">
        <f t="shared" si="7"/>
        <v/>
      </c>
      <c r="O223" t="str">
        <f t="shared" si="8"/>
        <v/>
      </c>
      <c r="P223" t="str">
        <f t="shared" si="9"/>
        <v/>
      </c>
      <c r="Q223" t="str">
        <f t="shared" si="10"/>
        <v/>
      </c>
      <c r="R223" t="str">
        <f t="shared" si="11"/>
        <v/>
      </c>
      <c r="S223" t="str">
        <f t="shared" si="12"/>
        <v/>
      </c>
      <c r="T223" t="str">
        <f t="shared" si="13"/>
        <v/>
      </c>
      <c r="U223" t="str">
        <f t="shared" si="14"/>
        <v/>
      </c>
      <c r="V223" t="str">
        <f t="shared" si="15"/>
        <v/>
      </c>
      <c r="W223" t="str">
        <f t="shared" si="16"/>
        <v/>
      </c>
      <c r="X223" t="str">
        <f t="shared" si="17"/>
        <v/>
      </c>
      <c r="Y223" t="str">
        <f t="shared" si="18"/>
        <v/>
      </c>
      <c r="Z223" t="str">
        <f t="shared" si="19"/>
        <v/>
      </c>
      <c r="AA223" t="str">
        <f t="shared" si="20"/>
        <v/>
      </c>
      <c r="AB223" t="str">
        <f t="shared" si="21"/>
        <v/>
      </c>
      <c r="AC223" t="str">
        <f t="shared" si="22"/>
        <v/>
      </c>
      <c r="AD223" t="str">
        <f t="shared" si="23"/>
        <v/>
      </c>
      <c r="AE223" t="str">
        <f t="shared" si="24"/>
        <v/>
      </c>
      <c r="AF223" t="str">
        <f t="shared" si="25"/>
        <v/>
      </c>
      <c r="AG223" t="str">
        <f t="shared" si="26"/>
        <v/>
      </c>
      <c r="AH223" s="65" t="str">
        <f t="array" ref="AH223">if(sum(H223:AG223)=0,,sum(sort(TRANSPOSE(H223:AG223),1,false)))</f>
        <v/>
      </c>
    </row>
    <row r="224" hidden="1">
      <c r="F224" s="4">
        <v>92.0</v>
      </c>
      <c r="H224" t="str">
        <f t="shared" si="1"/>
        <v/>
      </c>
      <c r="I224" t="str">
        <f t="shared" si="2"/>
        <v/>
      </c>
      <c r="J224" t="str">
        <f t="shared" si="3"/>
        <v/>
      </c>
      <c r="K224" t="str">
        <f t="shared" si="4"/>
        <v/>
      </c>
      <c r="L224" t="str">
        <f t="shared" si="5"/>
        <v/>
      </c>
      <c r="M224" t="str">
        <f t="shared" si="6"/>
        <v/>
      </c>
      <c r="N224" t="str">
        <f t="shared" si="7"/>
        <v/>
      </c>
      <c r="O224" t="str">
        <f t="shared" si="8"/>
        <v/>
      </c>
      <c r="P224" t="str">
        <f t="shared" si="9"/>
        <v/>
      </c>
      <c r="Q224" t="str">
        <f t="shared" si="10"/>
        <v/>
      </c>
      <c r="R224" t="str">
        <f t="shared" si="11"/>
        <v/>
      </c>
      <c r="S224" t="str">
        <f t="shared" si="12"/>
        <v/>
      </c>
      <c r="T224" t="str">
        <f t="shared" si="13"/>
        <v/>
      </c>
      <c r="U224" t="str">
        <f t="shared" si="14"/>
        <v/>
      </c>
      <c r="V224" t="str">
        <f t="shared" si="15"/>
        <v/>
      </c>
      <c r="W224" t="str">
        <f t="shared" si="16"/>
        <v/>
      </c>
      <c r="X224" t="str">
        <f t="shared" si="17"/>
        <v/>
      </c>
      <c r="Y224" t="str">
        <f t="shared" si="18"/>
        <v/>
      </c>
      <c r="Z224" t="str">
        <f t="shared" si="19"/>
        <v/>
      </c>
      <c r="AA224" t="str">
        <f t="shared" si="20"/>
        <v/>
      </c>
      <c r="AB224" t="str">
        <f t="shared" si="21"/>
        <v/>
      </c>
      <c r="AC224" t="str">
        <f t="shared" si="22"/>
        <v/>
      </c>
      <c r="AD224" t="str">
        <f t="shared" si="23"/>
        <v/>
      </c>
      <c r="AE224" t="str">
        <f t="shared" si="24"/>
        <v/>
      </c>
      <c r="AF224" t="str">
        <f t="shared" si="25"/>
        <v/>
      </c>
      <c r="AG224" t="str">
        <f t="shared" si="26"/>
        <v/>
      </c>
      <c r="AH224" s="65" t="str">
        <f t="array" ref="AH224">if(sum(H224:AG224)=0,,sum(sort(TRANSPOSE(H224:AG224),1,false)))</f>
        <v/>
      </c>
    </row>
    <row r="225" hidden="1">
      <c r="F225" s="4">
        <v>93.0</v>
      </c>
      <c r="H225" t="str">
        <f t="shared" si="1"/>
        <v/>
      </c>
      <c r="I225" t="str">
        <f t="shared" si="2"/>
        <v/>
      </c>
      <c r="J225" t="str">
        <f t="shared" si="3"/>
        <v/>
      </c>
      <c r="K225" t="str">
        <f t="shared" si="4"/>
        <v/>
      </c>
      <c r="L225" t="str">
        <f t="shared" si="5"/>
        <v/>
      </c>
      <c r="M225" t="str">
        <f t="shared" si="6"/>
        <v/>
      </c>
      <c r="N225" t="str">
        <f t="shared" si="7"/>
        <v/>
      </c>
      <c r="O225" t="str">
        <f t="shared" si="8"/>
        <v/>
      </c>
      <c r="P225" t="str">
        <f t="shared" si="9"/>
        <v/>
      </c>
      <c r="Q225" t="str">
        <f t="shared" si="10"/>
        <v/>
      </c>
      <c r="R225" t="str">
        <f t="shared" si="11"/>
        <v/>
      </c>
      <c r="S225" t="str">
        <f t="shared" si="12"/>
        <v/>
      </c>
      <c r="T225" t="str">
        <f t="shared" si="13"/>
        <v/>
      </c>
      <c r="U225" t="str">
        <f t="shared" si="14"/>
        <v/>
      </c>
      <c r="V225" t="str">
        <f t="shared" si="15"/>
        <v/>
      </c>
      <c r="W225" t="str">
        <f t="shared" si="16"/>
        <v/>
      </c>
      <c r="X225" t="str">
        <f t="shared" si="17"/>
        <v/>
      </c>
      <c r="Y225" t="str">
        <f t="shared" si="18"/>
        <v/>
      </c>
      <c r="Z225" t="str">
        <f t="shared" si="19"/>
        <v/>
      </c>
      <c r="AA225" t="str">
        <f t="shared" si="20"/>
        <v/>
      </c>
      <c r="AB225" t="str">
        <f t="shared" si="21"/>
        <v/>
      </c>
      <c r="AC225" t="str">
        <f t="shared" si="22"/>
        <v/>
      </c>
      <c r="AD225" t="str">
        <f t="shared" si="23"/>
        <v/>
      </c>
      <c r="AE225" t="str">
        <f t="shared" si="24"/>
        <v/>
      </c>
      <c r="AF225" t="str">
        <f t="shared" si="25"/>
        <v/>
      </c>
      <c r="AG225" t="str">
        <f t="shared" si="26"/>
        <v/>
      </c>
      <c r="AH225" s="65" t="str">
        <f t="array" ref="AH225">if(sum(H225:AG225)=0,,sum(sort(TRANSPOSE(H225:AG225),1,false)))</f>
        <v/>
      </c>
    </row>
    <row r="226" hidden="1">
      <c r="F226" s="4">
        <v>94.0</v>
      </c>
      <c r="H226" t="str">
        <f t="shared" si="1"/>
        <v/>
      </c>
      <c r="I226" t="str">
        <f t="shared" si="2"/>
        <v/>
      </c>
      <c r="J226" t="str">
        <f t="shared" si="3"/>
        <v/>
      </c>
      <c r="K226" t="str">
        <f t="shared" si="4"/>
        <v/>
      </c>
      <c r="L226" t="str">
        <f t="shared" si="5"/>
        <v/>
      </c>
      <c r="M226" t="str">
        <f t="shared" si="6"/>
        <v/>
      </c>
      <c r="N226" t="str">
        <f t="shared" si="7"/>
        <v/>
      </c>
      <c r="O226" t="str">
        <f t="shared" si="8"/>
        <v/>
      </c>
      <c r="P226" t="str">
        <f t="shared" si="9"/>
        <v/>
      </c>
      <c r="Q226" t="str">
        <f t="shared" si="10"/>
        <v/>
      </c>
      <c r="R226" t="str">
        <f t="shared" si="11"/>
        <v/>
      </c>
      <c r="S226" t="str">
        <f t="shared" si="12"/>
        <v/>
      </c>
      <c r="T226" t="str">
        <f t="shared" si="13"/>
        <v/>
      </c>
      <c r="U226" t="str">
        <f t="shared" si="14"/>
        <v/>
      </c>
      <c r="V226" t="str">
        <f t="shared" si="15"/>
        <v/>
      </c>
      <c r="W226" t="str">
        <f t="shared" si="16"/>
        <v/>
      </c>
      <c r="X226" t="str">
        <f t="shared" si="17"/>
        <v/>
      </c>
      <c r="Y226" t="str">
        <f t="shared" si="18"/>
        <v/>
      </c>
      <c r="Z226" t="str">
        <f t="shared" si="19"/>
        <v/>
      </c>
      <c r="AA226" t="str">
        <f t="shared" si="20"/>
        <v/>
      </c>
      <c r="AB226" t="str">
        <f t="shared" si="21"/>
        <v/>
      </c>
      <c r="AC226" t="str">
        <f t="shared" si="22"/>
        <v/>
      </c>
      <c r="AD226" t="str">
        <f t="shared" si="23"/>
        <v/>
      </c>
      <c r="AE226" t="str">
        <f t="shared" si="24"/>
        <v/>
      </c>
      <c r="AF226" t="str">
        <f t="shared" si="25"/>
        <v/>
      </c>
      <c r="AG226" t="str">
        <f t="shared" si="26"/>
        <v/>
      </c>
      <c r="AH226" s="65" t="str">
        <f t="array" ref="AH226">if(sum(H226:AG226)=0,,sum(sort(TRANSPOSE(H226:AG226),1,false)))</f>
        <v/>
      </c>
    </row>
    <row r="227" hidden="1">
      <c r="F227" s="4">
        <v>95.0</v>
      </c>
      <c r="H227" t="str">
        <f t="shared" si="1"/>
        <v/>
      </c>
      <c r="I227" t="str">
        <f t="shared" si="2"/>
        <v/>
      </c>
      <c r="J227" t="str">
        <f t="shared" si="3"/>
        <v/>
      </c>
      <c r="K227" t="str">
        <f t="shared" si="4"/>
        <v/>
      </c>
      <c r="L227" t="str">
        <f t="shared" si="5"/>
        <v/>
      </c>
      <c r="M227" t="str">
        <f t="shared" si="6"/>
        <v/>
      </c>
      <c r="N227" t="str">
        <f t="shared" si="7"/>
        <v/>
      </c>
      <c r="O227" t="str">
        <f t="shared" si="8"/>
        <v/>
      </c>
      <c r="P227" t="str">
        <f t="shared" si="9"/>
        <v/>
      </c>
      <c r="Q227" t="str">
        <f t="shared" si="10"/>
        <v/>
      </c>
      <c r="R227" t="str">
        <f t="shared" si="11"/>
        <v/>
      </c>
      <c r="S227" t="str">
        <f t="shared" si="12"/>
        <v/>
      </c>
      <c r="T227" t="str">
        <f t="shared" si="13"/>
        <v/>
      </c>
      <c r="U227" t="str">
        <f t="shared" si="14"/>
        <v/>
      </c>
      <c r="V227" t="str">
        <f t="shared" si="15"/>
        <v/>
      </c>
      <c r="W227" t="str">
        <f t="shared" si="16"/>
        <v/>
      </c>
      <c r="X227" t="str">
        <f t="shared" si="17"/>
        <v/>
      </c>
      <c r="Y227" t="str">
        <f t="shared" si="18"/>
        <v/>
      </c>
      <c r="Z227" t="str">
        <f t="shared" si="19"/>
        <v/>
      </c>
      <c r="AA227" t="str">
        <f t="shared" si="20"/>
        <v/>
      </c>
      <c r="AB227" t="str">
        <f t="shared" si="21"/>
        <v/>
      </c>
      <c r="AC227" t="str">
        <f t="shared" si="22"/>
        <v/>
      </c>
      <c r="AD227" t="str">
        <f t="shared" si="23"/>
        <v/>
      </c>
      <c r="AE227" t="str">
        <f t="shared" si="24"/>
        <v/>
      </c>
      <c r="AF227" t="str">
        <f t="shared" si="25"/>
        <v/>
      </c>
      <c r="AG227" t="str">
        <f t="shared" si="26"/>
        <v/>
      </c>
      <c r="AH227" s="65" t="str">
        <f t="array" ref="AH227">if(sum(H227:AG227)=0,,sum(sort(TRANSPOSE(H227:AG227),1,false)))</f>
        <v/>
      </c>
    </row>
    <row r="228" hidden="1">
      <c r="F228" s="4">
        <v>96.0</v>
      </c>
      <c r="H228" t="str">
        <f t="shared" si="1"/>
        <v/>
      </c>
      <c r="I228" t="str">
        <f t="shared" si="2"/>
        <v/>
      </c>
      <c r="J228" t="str">
        <f t="shared" si="3"/>
        <v/>
      </c>
      <c r="K228" t="str">
        <f t="shared" si="4"/>
        <v/>
      </c>
      <c r="L228" t="str">
        <f t="shared" si="5"/>
        <v/>
      </c>
      <c r="M228" t="str">
        <f t="shared" si="6"/>
        <v/>
      </c>
      <c r="N228" t="str">
        <f t="shared" si="7"/>
        <v/>
      </c>
      <c r="O228" t="str">
        <f t="shared" si="8"/>
        <v/>
      </c>
      <c r="P228" t="str">
        <f t="shared" si="9"/>
        <v/>
      </c>
      <c r="Q228" t="str">
        <f t="shared" si="10"/>
        <v/>
      </c>
      <c r="R228" t="str">
        <f t="shared" si="11"/>
        <v/>
      </c>
      <c r="S228" t="str">
        <f t="shared" si="12"/>
        <v/>
      </c>
      <c r="T228" t="str">
        <f t="shared" si="13"/>
        <v/>
      </c>
      <c r="U228" t="str">
        <f t="shared" si="14"/>
        <v/>
      </c>
      <c r="V228" t="str">
        <f t="shared" si="15"/>
        <v/>
      </c>
      <c r="W228" t="str">
        <f t="shared" si="16"/>
        <v/>
      </c>
      <c r="X228" t="str">
        <f t="shared" si="17"/>
        <v/>
      </c>
      <c r="Y228" t="str">
        <f t="shared" si="18"/>
        <v/>
      </c>
      <c r="Z228" t="str">
        <f t="shared" si="19"/>
        <v/>
      </c>
      <c r="AA228" t="str">
        <f t="shared" si="20"/>
        <v/>
      </c>
      <c r="AB228" t="str">
        <f t="shared" si="21"/>
        <v/>
      </c>
      <c r="AC228" t="str">
        <f t="shared" si="22"/>
        <v/>
      </c>
      <c r="AD228" t="str">
        <f t="shared" si="23"/>
        <v/>
      </c>
      <c r="AE228" t="str">
        <f t="shared" si="24"/>
        <v/>
      </c>
      <c r="AF228" t="str">
        <f t="shared" si="25"/>
        <v/>
      </c>
      <c r="AG228" t="str">
        <f t="shared" si="26"/>
        <v/>
      </c>
      <c r="AH228" s="65" t="str">
        <f t="array" ref="AH228">if(sum(H228:AG228)=0,,sum(sort(TRANSPOSE(H228:AG228),1,false)))</f>
        <v/>
      </c>
    </row>
    <row r="229" hidden="1">
      <c r="F229" s="4">
        <v>97.0</v>
      </c>
      <c r="H229" t="str">
        <f t="shared" si="1"/>
        <v/>
      </c>
      <c r="I229" t="str">
        <f t="shared" si="2"/>
        <v/>
      </c>
      <c r="J229" t="str">
        <f t="shared" si="3"/>
        <v/>
      </c>
      <c r="K229" t="str">
        <f t="shared" si="4"/>
        <v/>
      </c>
      <c r="L229" t="str">
        <f t="shared" si="5"/>
        <v/>
      </c>
      <c r="M229" t="str">
        <f t="shared" si="6"/>
        <v/>
      </c>
      <c r="N229" t="str">
        <f t="shared" si="7"/>
        <v/>
      </c>
      <c r="O229" t="str">
        <f t="shared" si="8"/>
        <v/>
      </c>
      <c r="P229" t="str">
        <f t="shared" si="9"/>
        <v/>
      </c>
      <c r="Q229" t="str">
        <f t="shared" si="10"/>
        <v/>
      </c>
      <c r="R229" t="str">
        <f t="shared" si="11"/>
        <v/>
      </c>
      <c r="S229" t="str">
        <f t="shared" si="12"/>
        <v/>
      </c>
      <c r="T229" t="str">
        <f t="shared" si="13"/>
        <v/>
      </c>
      <c r="U229" t="str">
        <f t="shared" si="14"/>
        <v/>
      </c>
      <c r="V229" t="str">
        <f t="shared" si="15"/>
        <v/>
      </c>
      <c r="W229" t="str">
        <f t="shared" si="16"/>
        <v/>
      </c>
      <c r="X229" t="str">
        <f t="shared" si="17"/>
        <v/>
      </c>
      <c r="Y229" t="str">
        <f t="shared" si="18"/>
        <v/>
      </c>
      <c r="Z229" t="str">
        <f t="shared" si="19"/>
        <v/>
      </c>
      <c r="AA229" t="str">
        <f t="shared" si="20"/>
        <v/>
      </c>
      <c r="AB229" t="str">
        <f t="shared" si="21"/>
        <v/>
      </c>
      <c r="AC229" t="str">
        <f t="shared" si="22"/>
        <v/>
      </c>
      <c r="AD229" t="str">
        <f t="shared" si="23"/>
        <v/>
      </c>
      <c r="AE229" t="str">
        <f t="shared" si="24"/>
        <v/>
      </c>
      <c r="AF229" t="str">
        <f t="shared" si="25"/>
        <v/>
      </c>
      <c r="AG229" t="str">
        <f t="shared" si="26"/>
        <v/>
      </c>
      <c r="AH229" s="65" t="str">
        <f t="array" ref="AH229">if(sum(H229:AG229)=0,,sum(sort(TRANSPOSE(H229:AG229),1,false)))</f>
        <v/>
      </c>
    </row>
    <row r="230" hidden="1">
      <c r="F230" s="4">
        <v>98.0</v>
      </c>
      <c r="H230" t="str">
        <f t="shared" si="1"/>
        <v/>
      </c>
      <c r="I230" t="str">
        <f t="shared" si="2"/>
        <v/>
      </c>
      <c r="J230" t="str">
        <f t="shared" si="3"/>
        <v/>
      </c>
      <c r="K230" t="str">
        <f t="shared" si="4"/>
        <v/>
      </c>
      <c r="L230" t="str">
        <f t="shared" si="5"/>
        <v/>
      </c>
      <c r="M230" t="str">
        <f t="shared" si="6"/>
        <v/>
      </c>
      <c r="N230" t="str">
        <f t="shared" si="7"/>
        <v/>
      </c>
      <c r="O230" t="str">
        <f t="shared" si="8"/>
        <v/>
      </c>
      <c r="P230" t="str">
        <f t="shared" si="9"/>
        <v/>
      </c>
      <c r="Q230" t="str">
        <f t="shared" si="10"/>
        <v/>
      </c>
      <c r="R230" t="str">
        <f t="shared" si="11"/>
        <v/>
      </c>
      <c r="S230" t="str">
        <f t="shared" si="12"/>
        <v/>
      </c>
      <c r="T230" t="str">
        <f t="shared" si="13"/>
        <v/>
      </c>
      <c r="U230" t="str">
        <f t="shared" si="14"/>
        <v/>
      </c>
      <c r="V230" t="str">
        <f t="shared" si="15"/>
        <v/>
      </c>
      <c r="W230" t="str">
        <f t="shared" si="16"/>
        <v/>
      </c>
      <c r="X230" t="str">
        <f t="shared" si="17"/>
        <v/>
      </c>
      <c r="Y230" t="str">
        <f t="shared" si="18"/>
        <v/>
      </c>
      <c r="Z230" t="str">
        <f t="shared" si="19"/>
        <v/>
      </c>
      <c r="AA230" t="str">
        <f t="shared" si="20"/>
        <v/>
      </c>
      <c r="AB230" t="str">
        <f t="shared" si="21"/>
        <v/>
      </c>
      <c r="AC230" t="str">
        <f t="shared" si="22"/>
        <v/>
      </c>
      <c r="AD230" t="str">
        <f t="shared" si="23"/>
        <v/>
      </c>
      <c r="AE230" t="str">
        <f t="shared" si="24"/>
        <v/>
      </c>
      <c r="AF230" t="str">
        <f t="shared" si="25"/>
        <v/>
      </c>
      <c r="AG230" t="str">
        <f t="shared" si="26"/>
        <v/>
      </c>
      <c r="AH230" s="65" t="str">
        <f t="array" ref="AH230">if(sum(H230:AG230)=0,,sum(sort(TRANSPOSE(H230:AG230),1,false)))</f>
        <v/>
      </c>
    </row>
    <row r="231" hidden="1">
      <c r="F231" s="4">
        <v>99.0</v>
      </c>
      <c r="H231" t="str">
        <f t="shared" si="1"/>
        <v/>
      </c>
      <c r="I231" t="str">
        <f t="shared" si="2"/>
        <v/>
      </c>
      <c r="J231" t="str">
        <f t="shared" si="3"/>
        <v/>
      </c>
      <c r="K231" t="str">
        <f t="shared" si="4"/>
        <v/>
      </c>
      <c r="L231" t="str">
        <f t="shared" si="5"/>
        <v/>
      </c>
      <c r="M231" t="str">
        <f t="shared" si="6"/>
        <v/>
      </c>
      <c r="N231" t="str">
        <f t="shared" si="7"/>
        <v/>
      </c>
      <c r="O231" t="str">
        <f t="shared" si="8"/>
        <v/>
      </c>
      <c r="P231" t="str">
        <f t="shared" si="9"/>
        <v/>
      </c>
      <c r="Q231" t="str">
        <f t="shared" si="10"/>
        <v/>
      </c>
      <c r="R231" t="str">
        <f t="shared" si="11"/>
        <v/>
      </c>
      <c r="S231" t="str">
        <f t="shared" si="12"/>
        <v/>
      </c>
      <c r="T231" t="str">
        <f t="shared" si="13"/>
        <v/>
      </c>
      <c r="U231" t="str">
        <f t="shared" si="14"/>
        <v/>
      </c>
      <c r="V231" t="str">
        <f t="shared" si="15"/>
        <v/>
      </c>
      <c r="W231" t="str">
        <f t="shared" si="16"/>
        <v/>
      </c>
      <c r="X231" t="str">
        <f t="shared" si="17"/>
        <v/>
      </c>
      <c r="Y231" t="str">
        <f t="shared" si="18"/>
        <v/>
      </c>
      <c r="Z231" t="str">
        <f t="shared" si="19"/>
        <v/>
      </c>
      <c r="AA231" t="str">
        <f t="shared" si="20"/>
        <v/>
      </c>
      <c r="AB231" t="str">
        <f t="shared" si="21"/>
        <v/>
      </c>
      <c r="AC231" t="str">
        <f t="shared" si="22"/>
        <v/>
      </c>
      <c r="AD231" t="str">
        <f t="shared" si="23"/>
        <v/>
      </c>
      <c r="AE231" t="str">
        <f t="shared" si="24"/>
        <v/>
      </c>
      <c r="AF231" t="str">
        <f t="shared" si="25"/>
        <v/>
      </c>
      <c r="AG231" t="str">
        <f t="shared" si="26"/>
        <v/>
      </c>
      <c r="AH231" s="65" t="str">
        <f t="array" ref="AH231">if(sum(H231:AG231)=0,,sum(sort(TRANSPOSE(H231:AG231),1,false)))</f>
        <v/>
      </c>
    </row>
    <row r="232" hidden="1">
      <c r="F232" s="4">
        <v>100.0</v>
      </c>
      <c r="H232" t="str">
        <f t="shared" si="1"/>
        <v/>
      </c>
      <c r="I232" t="str">
        <f t="shared" si="2"/>
        <v/>
      </c>
      <c r="J232" t="str">
        <f t="shared" si="3"/>
        <v/>
      </c>
      <c r="K232" t="str">
        <f t="shared" si="4"/>
        <v/>
      </c>
      <c r="L232" t="str">
        <f t="shared" si="5"/>
        <v/>
      </c>
      <c r="M232" t="str">
        <f t="shared" si="6"/>
        <v/>
      </c>
      <c r="N232" t="str">
        <f t="shared" si="7"/>
        <v/>
      </c>
      <c r="O232" t="str">
        <f t="shared" si="8"/>
        <v/>
      </c>
      <c r="P232" t="str">
        <f t="shared" si="9"/>
        <v/>
      </c>
      <c r="Q232" t="str">
        <f t="shared" si="10"/>
        <v/>
      </c>
      <c r="R232" t="str">
        <f t="shared" si="11"/>
        <v/>
      </c>
      <c r="S232" t="str">
        <f t="shared" si="12"/>
        <v/>
      </c>
      <c r="T232" t="str">
        <f t="shared" si="13"/>
        <v/>
      </c>
      <c r="U232" t="str">
        <f t="shared" si="14"/>
        <v/>
      </c>
      <c r="V232" t="str">
        <f t="shared" si="15"/>
        <v/>
      </c>
      <c r="W232" t="str">
        <f t="shared" si="16"/>
        <v/>
      </c>
      <c r="X232" t="str">
        <f t="shared" si="17"/>
        <v/>
      </c>
      <c r="Y232" t="str">
        <f t="shared" si="18"/>
        <v/>
      </c>
      <c r="Z232" t="str">
        <f t="shared" si="19"/>
        <v/>
      </c>
      <c r="AA232" t="str">
        <f t="shared" si="20"/>
        <v/>
      </c>
      <c r="AB232" t="str">
        <f t="shared" si="21"/>
        <v/>
      </c>
      <c r="AC232" t="str">
        <f t="shared" si="22"/>
        <v/>
      </c>
      <c r="AD232" t="str">
        <f t="shared" si="23"/>
        <v/>
      </c>
      <c r="AE232" t="str">
        <f t="shared" si="24"/>
        <v/>
      </c>
      <c r="AF232" t="str">
        <f t="shared" si="25"/>
        <v/>
      </c>
      <c r="AG232" t="str">
        <f t="shared" si="26"/>
        <v/>
      </c>
      <c r="AH232" s="65" t="str">
        <f t="array" ref="AH232">if(sum(H232:AG232)=0,,sum(sort(TRANSPOSE(H232:AG232),1,false)))</f>
        <v/>
      </c>
    </row>
    <row r="233" hidden="1">
      <c r="F233" s="4">
        <v>101.0</v>
      </c>
      <c r="H233" t="str">
        <f t="shared" si="1"/>
        <v/>
      </c>
      <c r="I233" t="str">
        <f t="shared" si="2"/>
        <v/>
      </c>
      <c r="J233" t="str">
        <f t="shared" si="3"/>
        <v/>
      </c>
      <c r="K233" t="str">
        <f t="shared" si="4"/>
        <v/>
      </c>
      <c r="L233" t="str">
        <f t="shared" si="5"/>
        <v/>
      </c>
      <c r="M233" t="str">
        <f t="shared" si="6"/>
        <v/>
      </c>
      <c r="N233" t="str">
        <f t="shared" si="7"/>
        <v/>
      </c>
      <c r="O233" t="str">
        <f t="shared" si="8"/>
        <v/>
      </c>
      <c r="P233" t="str">
        <f t="shared" si="9"/>
        <v/>
      </c>
      <c r="Q233" t="str">
        <f t="shared" si="10"/>
        <v/>
      </c>
      <c r="R233" t="str">
        <f t="shared" si="11"/>
        <v/>
      </c>
      <c r="S233" t="str">
        <f t="shared" si="12"/>
        <v/>
      </c>
      <c r="T233" t="str">
        <f t="shared" si="13"/>
        <v/>
      </c>
      <c r="U233" t="str">
        <f t="shared" si="14"/>
        <v/>
      </c>
      <c r="V233" t="str">
        <f t="shared" si="15"/>
        <v/>
      </c>
      <c r="W233" t="str">
        <f t="shared" si="16"/>
        <v/>
      </c>
      <c r="X233" t="str">
        <f t="shared" si="17"/>
        <v/>
      </c>
      <c r="Y233" t="str">
        <f t="shared" si="18"/>
        <v/>
      </c>
      <c r="Z233" t="str">
        <f t="shared" si="19"/>
        <v/>
      </c>
      <c r="AA233" t="str">
        <f t="shared" si="20"/>
        <v/>
      </c>
      <c r="AB233" t="str">
        <f t="shared" si="21"/>
        <v/>
      </c>
      <c r="AC233" t="str">
        <f t="shared" si="22"/>
        <v/>
      </c>
      <c r="AD233" t="str">
        <f t="shared" si="23"/>
        <v/>
      </c>
      <c r="AE233" t="str">
        <f t="shared" si="24"/>
        <v/>
      </c>
      <c r="AF233" t="str">
        <f t="shared" si="25"/>
        <v/>
      </c>
      <c r="AG233" t="str">
        <f t="shared" si="26"/>
        <v/>
      </c>
      <c r="AH233" s="65" t="str">
        <f t="array" ref="AH233">if(sum(H233:AG233)=0,,sum(sort(TRANSPOSE(H233:AG233),1,false)))</f>
        <v/>
      </c>
    </row>
    <row r="234" hidden="1">
      <c r="F234" s="4">
        <v>102.0</v>
      </c>
      <c r="H234" t="str">
        <f t="shared" si="1"/>
        <v/>
      </c>
      <c r="I234" t="str">
        <f t="shared" si="2"/>
        <v/>
      </c>
      <c r="J234" t="str">
        <f t="shared" si="3"/>
        <v/>
      </c>
      <c r="K234" t="str">
        <f t="shared" si="4"/>
        <v/>
      </c>
      <c r="L234" t="str">
        <f t="shared" si="5"/>
        <v/>
      </c>
      <c r="M234" t="str">
        <f t="shared" si="6"/>
        <v/>
      </c>
      <c r="N234" t="str">
        <f t="shared" si="7"/>
        <v/>
      </c>
      <c r="O234" t="str">
        <f t="shared" si="8"/>
        <v/>
      </c>
      <c r="P234" t="str">
        <f t="shared" si="9"/>
        <v/>
      </c>
      <c r="Q234" t="str">
        <f t="shared" si="10"/>
        <v/>
      </c>
      <c r="R234" t="str">
        <f t="shared" si="11"/>
        <v/>
      </c>
      <c r="S234" t="str">
        <f t="shared" si="12"/>
        <v/>
      </c>
      <c r="T234" t="str">
        <f t="shared" si="13"/>
        <v/>
      </c>
      <c r="U234" t="str">
        <f t="shared" si="14"/>
        <v/>
      </c>
      <c r="V234" t="str">
        <f t="shared" si="15"/>
        <v/>
      </c>
      <c r="W234" t="str">
        <f t="shared" si="16"/>
        <v/>
      </c>
      <c r="X234" t="str">
        <f t="shared" si="17"/>
        <v/>
      </c>
      <c r="Y234" t="str">
        <f t="shared" si="18"/>
        <v/>
      </c>
      <c r="Z234" t="str">
        <f t="shared" si="19"/>
        <v/>
      </c>
      <c r="AA234" t="str">
        <f t="shared" si="20"/>
        <v/>
      </c>
      <c r="AB234" t="str">
        <f t="shared" si="21"/>
        <v/>
      </c>
      <c r="AC234" t="str">
        <f t="shared" si="22"/>
        <v/>
      </c>
      <c r="AD234" t="str">
        <f t="shared" si="23"/>
        <v/>
      </c>
      <c r="AE234" t="str">
        <f t="shared" si="24"/>
        <v/>
      </c>
      <c r="AF234" t="str">
        <f t="shared" si="25"/>
        <v/>
      </c>
      <c r="AG234" t="str">
        <f t="shared" si="26"/>
        <v/>
      </c>
      <c r="AH234" s="65" t="str">
        <f t="array" ref="AH234">if(sum(H234:AG234)=0,,sum(sort(TRANSPOSE(H234:AG234),1,false)))</f>
        <v/>
      </c>
    </row>
    <row r="235" hidden="1">
      <c r="F235" s="4">
        <v>103.0</v>
      </c>
      <c r="H235" t="str">
        <f t="shared" si="1"/>
        <v/>
      </c>
      <c r="I235" t="str">
        <f t="shared" si="2"/>
        <v/>
      </c>
      <c r="J235" t="str">
        <f t="shared" si="3"/>
        <v/>
      </c>
      <c r="K235" t="str">
        <f t="shared" si="4"/>
        <v/>
      </c>
      <c r="L235" t="str">
        <f t="shared" si="5"/>
        <v/>
      </c>
      <c r="M235" t="str">
        <f t="shared" si="6"/>
        <v/>
      </c>
      <c r="N235" t="str">
        <f t="shared" si="7"/>
        <v/>
      </c>
      <c r="O235" t="str">
        <f t="shared" si="8"/>
        <v/>
      </c>
      <c r="P235" t="str">
        <f t="shared" si="9"/>
        <v/>
      </c>
      <c r="Q235" t="str">
        <f t="shared" si="10"/>
        <v/>
      </c>
      <c r="R235" t="str">
        <f t="shared" si="11"/>
        <v/>
      </c>
      <c r="S235" t="str">
        <f t="shared" si="12"/>
        <v/>
      </c>
      <c r="T235" t="str">
        <f t="shared" si="13"/>
        <v/>
      </c>
      <c r="U235" t="str">
        <f t="shared" si="14"/>
        <v/>
      </c>
      <c r="V235" t="str">
        <f t="shared" si="15"/>
        <v/>
      </c>
      <c r="W235" t="str">
        <f t="shared" si="16"/>
        <v/>
      </c>
      <c r="X235" t="str">
        <f t="shared" si="17"/>
        <v/>
      </c>
      <c r="Y235" t="str">
        <f t="shared" si="18"/>
        <v/>
      </c>
      <c r="Z235" t="str">
        <f t="shared" si="19"/>
        <v/>
      </c>
      <c r="AA235" t="str">
        <f t="shared" si="20"/>
        <v/>
      </c>
      <c r="AB235" t="str">
        <f t="shared" si="21"/>
        <v/>
      </c>
      <c r="AC235" t="str">
        <f t="shared" si="22"/>
        <v/>
      </c>
      <c r="AD235" t="str">
        <f t="shared" si="23"/>
        <v/>
      </c>
      <c r="AE235" t="str">
        <f t="shared" si="24"/>
        <v/>
      </c>
      <c r="AF235" t="str">
        <f t="shared" si="25"/>
        <v/>
      </c>
      <c r="AG235" t="str">
        <f t="shared" si="26"/>
        <v/>
      </c>
      <c r="AH235" s="65" t="str">
        <f t="array" ref="AH235">if(sum(H235:AG235)=0,,sum(sort(TRANSPOSE(H235:AG235),1,false)))</f>
        <v/>
      </c>
    </row>
    <row r="236" hidden="1">
      <c r="F236" s="4">
        <v>104.0</v>
      </c>
      <c r="H236" t="str">
        <f t="shared" si="1"/>
        <v/>
      </c>
      <c r="I236" t="str">
        <f t="shared" si="2"/>
        <v/>
      </c>
      <c r="J236" t="str">
        <f t="shared" si="3"/>
        <v/>
      </c>
      <c r="K236" t="str">
        <f t="shared" si="4"/>
        <v/>
      </c>
      <c r="L236" t="str">
        <f t="shared" si="5"/>
        <v/>
      </c>
      <c r="M236" t="str">
        <f t="shared" si="6"/>
        <v/>
      </c>
      <c r="N236" t="str">
        <f t="shared" si="7"/>
        <v/>
      </c>
      <c r="O236" t="str">
        <f t="shared" si="8"/>
        <v/>
      </c>
      <c r="P236" t="str">
        <f t="shared" si="9"/>
        <v/>
      </c>
      <c r="Q236" t="str">
        <f t="shared" si="10"/>
        <v/>
      </c>
      <c r="R236" t="str">
        <f t="shared" si="11"/>
        <v/>
      </c>
      <c r="S236" t="str">
        <f t="shared" si="12"/>
        <v/>
      </c>
      <c r="T236" t="str">
        <f t="shared" si="13"/>
        <v/>
      </c>
      <c r="U236" t="str">
        <f t="shared" si="14"/>
        <v/>
      </c>
      <c r="V236" t="str">
        <f t="shared" si="15"/>
        <v/>
      </c>
      <c r="W236" t="str">
        <f t="shared" si="16"/>
        <v/>
      </c>
      <c r="X236" t="str">
        <f t="shared" si="17"/>
        <v/>
      </c>
      <c r="Y236" t="str">
        <f t="shared" si="18"/>
        <v/>
      </c>
      <c r="Z236" t="str">
        <f t="shared" si="19"/>
        <v/>
      </c>
      <c r="AA236" t="str">
        <f t="shared" si="20"/>
        <v/>
      </c>
      <c r="AB236" t="str">
        <f t="shared" si="21"/>
        <v/>
      </c>
      <c r="AC236" t="str">
        <f t="shared" si="22"/>
        <v/>
      </c>
      <c r="AD236" t="str">
        <f t="shared" si="23"/>
        <v/>
      </c>
      <c r="AE236" t="str">
        <f t="shared" si="24"/>
        <v/>
      </c>
      <c r="AF236" t="str">
        <f t="shared" si="25"/>
        <v/>
      </c>
      <c r="AG236" t="str">
        <f t="shared" si="26"/>
        <v/>
      </c>
      <c r="AH236" s="65" t="str">
        <f t="array" ref="AH236">if(sum(H236:AG236)=0,,sum(sort(TRANSPOSE(H236:AG236),1,false)))</f>
        <v/>
      </c>
    </row>
    <row r="237" hidden="1">
      <c r="F237" s="4">
        <v>105.0</v>
      </c>
      <c r="H237" t="str">
        <f t="shared" si="1"/>
        <v/>
      </c>
      <c r="I237" t="str">
        <f t="shared" si="2"/>
        <v/>
      </c>
      <c r="J237" t="str">
        <f t="shared" si="3"/>
        <v/>
      </c>
      <c r="K237" t="str">
        <f t="shared" si="4"/>
        <v/>
      </c>
      <c r="L237" t="str">
        <f t="shared" si="5"/>
        <v/>
      </c>
      <c r="M237" t="str">
        <f t="shared" si="6"/>
        <v/>
      </c>
      <c r="N237" t="str">
        <f t="shared" si="7"/>
        <v/>
      </c>
      <c r="O237" t="str">
        <f t="shared" si="8"/>
        <v/>
      </c>
      <c r="P237" t="str">
        <f t="shared" si="9"/>
        <v/>
      </c>
      <c r="Q237" t="str">
        <f t="shared" si="10"/>
        <v/>
      </c>
      <c r="R237" t="str">
        <f t="shared" si="11"/>
        <v/>
      </c>
      <c r="S237" t="str">
        <f t="shared" si="12"/>
        <v/>
      </c>
      <c r="T237" t="str">
        <f t="shared" si="13"/>
        <v/>
      </c>
      <c r="U237" t="str">
        <f t="shared" si="14"/>
        <v/>
      </c>
      <c r="V237" t="str">
        <f t="shared" si="15"/>
        <v/>
      </c>
      <c r="W237" t="str">
        <f t="shared" si="16"/>
        <v/>
      </c>
      <c r="X237" t="str">
        <f t="shared" si="17"/>
        <v/>
      </c>
      <c r="Y237" t="str">
        <f t="shared" si="18"/>
        <v/>
      </c>
      <c r="Z237" t="str">
        <f t="shared" si="19"/>
        <v/>
      </c>
      <c r="AA237" t="str">
        <f t="shared" si="20"/>
        <v/>
      </c>
      <c r="AB237" t="str">
        <f t="shared" si="21"/>
        <v/>
      </c>
      <c r="AC237" t="str">
        <f t="shared" si="22"/>
        <v/>
      </c>
      <c r="AD237" t="str">
        <f t="shared" si="23"/>
        <v/>
      </c>
      <c r="AE237" t="str">
        <f t="shared" si="24"/>
        <v/>
      </c>
      <c r="AF237" t="str">
        <f t="shared" si="25"/>
        <v/>
      </c>
      <c r="AG237" t="str">
        <f t="shared" si="26"/>
        <v/>
      </c>
      <c r="AH237" s="65" t="str">
        <f t="array" ref="AH237">if(sum(H237:AG237)=0,,sum(sort(TRANSPOSE(H237:AG237),1,false)))</f>
        <v/>
      </c>
    </row>
    <row r="238" hidden="1">
      <c r="F238" s="4">
        <v>106.0</v>
      </c>
      <c r="H238" t="str">
        <f t="shared" si="1"/>
        <v/>
      </c>
      <c r="I238" t="str">
        <f t="shared" si="2"/>
        <v/>
      </c>
      <c r="J238" t="str">
        <f t="shared" si="3"/>
        <v/>
      </c>
      <c r="K238" t="str">
        <f t="shared" si="4"/>
        <v/>
      </c>
      <c r="L238" t="str">
        <f t="shared" si="5"/>
        <v/>
      </c>
      <c r="M238" t="str">
        <f t="shared" si="6"/>
        <v/>
      </c>
      <c r="N238" t="str">
        <f t="shared" si="7"/>
        <v/>
      </c>
      <c r="O238" t="str">
        <f t="shared" si="8"/>
        <v/>
      </c>
      <c r="P238" t="str">
        <f t="shared" si="9"/>
        <v/>
      </c>
      <c r="Q238" t="str">
        <f t="shared" si="10"/>
        <v/>
      </c>
      <c r="R238" t="str">
        <f t="shared" si="11"/>
        <v/>
      </c>
      <c r="S238" t="str">
        <f t="shared" si="12"/>
        <v/>
      </c>
      <c r="T238" t="str">
        <f t="shared" si="13"/>
        <v/>
      </c>
      <c r="U238" t="str">
        <f t="shared" si="14"/>
        <v/>
      </c>
      <c r="V238" t="str">
        <f t="shared" si="15"/>
        <v/>
      </c>
      <c r="W238" t="str">
        <f t="shared" si="16"/>
        <v/>
      </c>
      <c r="X238" t="str">
        <f t="shared" si="17"/>
        <v/>
      </c>
      <c r="Y238" t="str">
        <f t="shared" si="18"/>
        <v/>
      </c>
      <c r="Z238" t="str">
        <f t="shared" si="19"/>
        <v/>
      </c>
      <c r="AA238" t="str">
        <f t="shared" si="20"/>
        <v/>
      </c>
      <c r="AB238" t="str">
        <f t="shared" si="21"/>
        <v/>
      </c>
      <c r="AC238" t="str">
        <f t="shared" si="22"/>
        <v/>
      </c>
      <c r="AD238" t="str">
        <f t="shared" si="23"/>
        <v/>
      </c>
      <c r="AE238" t="str">
        <f t="shared" si="24"/>
        <v/>
      </c>
      <c r="AF238" t="str">
        <f t="shared" si="25"/>
        <v/>
      </c>
      <c r="AG238" t="str">
        <f t="shared" si="26"/>
        <v/>
      </c>
      <c r="AH238" s="65" t="str">
        <f t="array" ref="AH238">if(sum(H238:AG238)=0,,sum(sort(TRANSPOSE(H238:AG238),1,false)))</f>
        <v/>
      </c>
    </row>
    <row r="239" hidden="1">
      <c r="F239" s="4">
        <v>107.0</v>
      </c>
      <c r="H239" t="str">
        <f t="shared" si="1"/>
        <v/>
      </c>
      <c r="I239" t="str">
        <f t="shared" si="2"/>
        <v/>
      </c>
      <c r="J239" t="str">
        <f t="shared" si="3"/>
        <v/>
      </c>
      <c r="K239" t="str">
        <f t="shared" si="4"/>
        <v/>
      </c>
      <c r="L239" t="str">
        <f t="shared" si="5"/>
        <v/>
      </c>
      <c r="M239" t="str">
        <f t="shared" si="6"/>
        <v/>
      </c>
      <c r="N239" t="str">
        <f t="shared" si="7"/>
        <v/>
      </c>
      <c r="O239" t="str">
        <f t="shared" si="8"/>
        <v/>
      </c>
      <c r="P239" t="str">
        <f t="shared" si="9"/>
        <v/>
      </c>
      <c r="Q239" t="str">
        <f t="shared" si="10"/>
        <v/>
      </c>
      <c r="R239" t="str">
        <f t="shared" si="11"/>
        <v/>
      </c>
      <c r="S239" t="str">
        <f t="shared" si="12"/>
        <v/>
      </c>
      <c r="T239" t="str">
        <f t="shared" si="13"/>
        <v/>
      </c>
      <c r="U239" t="str">
        <f t="shared" si="14"/>
        <v/>
      </c>
      <c r="V239" t="str">
        <f t="shared" si="15"/>
        <v/>
      </c>
      <c r="W239" t="str">
        <f t="shared" si="16"/>
        <v/>
      </c>
      <c r="X239" t="str">
        <f t="shared" si="17"/>
        <v/>
      </c>
      <c r="Y239" t="str">
        <f t="shared" si="18"/>
        <v/>
      </c>
      <c r="Z239" t="str">
        <f t="shared" si="19"/>
        <v/>
      </c>
      <c r="AA239" t="str">
        <f t="shared" si="20"/>
        <v/>
      </c>
      <c r="AB239" t="str">
        <f t="shared" si="21"/>
        <v/>
      </c>
      <c r="AC239" t="str">
        <f t="shared" si="22"/>
        <v/>
      </c>
      <c r="AD239" t="str">
        <f t="shared" si="23"/>
        <v/>
      </c>
      <c r="AE239" t="str">
        <f t="shared" si="24"/>
        <v/>
      </c>
      <c r="AF239" t="str">
        <f t="shared" si="25"/>
        <v/>
      </c>
      <c r="AG239" t="str">
        <f t="shared" si="26"/>
        <v/>
      </c>
      <c r="AH239" s="65" t="str">
        <f t="array" ref="AH239">if(sum(H239:AG239)=0,,sum(sort(TRANSPOSE(H239:AG239),1,false)))</f>
        <v/>
      </c>
    </row>
    <row r="240" hidden="1">
      <c r="F240" s="4">
        <v>108.0</v>
      </c>
      <c r="H240" t="str">
        <f t="shared" si="1"/>
        <v/>
      </c>
      <c r="I240" t="str">
        <f t="shared" si="2"/>
        <v/>
      </c>
      <c r="J240" t="str">
        <f t="shared" si="3"/>
        <v/>
      </c>
      <c r="K240" t="str">
        <f t="shared" si="4"/>
        <v/>
      </c>
      <c r="L240" t="str">
        <f t="shared" si="5"/>
        <v/>
      </c>
      <c r="M240" t="str">
        <f t="shared" si="6"/>
        <v/>
      </c>
      <c r="N240" t="str">
        <f t="shared" si="7"/>
        <v/>
      </c>
      <c r="O240" t="str">
        <f t="shared" si="8"/>
        <v/>
      </c>
      <c r="P240" t="str">
        <f t="shared" si="9"/>
        <v/>
      </c>
      <c r="Q240" t="str">
        <f t="shared" si="10"/>
        <v/>
      </c>
      <c r="R240" t="str">
        <f t="shared" si="11"/>
        <v/>
      </c>
      <c r="S240" t="str">
        <f t="shared" si="12"/>
        <v/>
      </c>
      <c r="T240" t="str">
        <f t="shared" si="13"/>
        <v/>
      </c>
      <c r="U240" t="str">
        <f t="shared" si="14"/>
        <v/>
      </c>
      <c r="V240" t="str">
        <f t="shared" si="15"/>
        <v/>
      </c>
      <c r="W240" t="str">
        <f t="shared" si="16"/>
        <v/>
      </c>
      <c r="X240" t="str">
        <f t="shared" si="17"/>
        <v/>
      </c>
      <c r="Y240" t="str">
        <f t="shared" si="18"/>
        <v/>
      </c>
      <c r="Z240" t="str">
        <f t="shared" si="19"/>
        <v/>
      </c>
      <c r="AA240" t="str">
        <f t="shared" si="20"/>
        <v/>
      </c>
      <c r="AB240" t="str">
        <f t="shared" si="21"/>
        <v/>
      </c>
      <c r="AC240" t="str">
        <f t="shared" si="22"/>
        <v/>
      </c>
      <c r="AD240" t="str">
        <f t="shared" si="23"/>
        <v/>
      </c>
      <c r="AE240" t="str">
        <f t="shared" si="24"/>
        <v/>
      </c>
      <c r="AF240" t="str">
        <f t="shared" si="25"/>
        <v/>
      </c>
      <c r="AG240" t="str">
        <f t="shared" si="26"/>
        <v/>
      </c>
      <c r="AH240" s="65" t="str">
        <f t="array" ref="AH240">if(sum(H240:AG240)=0,,sum(sort(TRANSPOSE(H240:AG240),1,false)))</f>
        <v/>
      </c>
    </row>
    <row r="241" hidden="1">
      <c r="F241" s="4">
        <v>109.0</v>
      </c>
      <c r="H241" t="str">
        <f t="shared" si="1"/>
        <v/>
      </c>
      <c r="I241" t="str">
        <f t="shared" si="2"/>
        <v/>
      </c>
      <c r="J241" t="str">
        <f t="shared" si="3"/>
        <v/>
      </c>
      <c r="K241" t="str">
        <f t="shared" si="4"/>
        <v/>
      </c>
      <c r="L241" t="str">
        <f t="shared" si="5"/>
        <v/>
      </c>
      <c r="M241" t="str">
        <f t="shared" si="6"/>
        <v/>
      </c>
      <c r="N241" t="str">
        <f t="shared" si="7"/>
        <v/>
      </c>
      <c r="O241" t="str">
        <f t="shared" si="8"/>
        <v/>
      </c>
      <c r="P241" t="str">
        <f t="shared" si="9"/>
        <v/>
      </c>
      <c r="Q241" t="str">
        <f t="shared" si="10"/>
        <v/>
      </c>
      <c r="R241" t="str">
        <f t="shared" si="11"/>
        <v/>
      </c>
      <c r="S241" t="str">
        <f t="shared" si="12"/>
        <v/>
      </c>
      <c r="T241" t="str">
        <f t="shared" si="13"/>
        <v/>
      </c>
      <c r="U241" t="str">
        <f t="shared" si="14"/>
        <v/>
      </c>
      <c r="V241" t="str">
        <f t="shared" si="15"/>
        <v/>
      </c>
      <c r="W241" t="str">
        <f t="shared" si="16"/>
        <v/>
      </c>
      <c r="X241" t="str">
        <f t="shared" si="17"/>
        <v/>
      </c>
      <c r="Y241" t="str">
        <f t="shared" si="18"/>
        <v/>
      </c>
      <c r="Z241" t="str">
        <f t="shared" si="19"/>
        <v/>
      </c>
      <c r="AA241" t="str">
        <f t="shared" si="20"/>
        <v/>
      </c>
      <c r="AB241" t="str">
        <f t="shared" si="21"/>
        <v/>
      </c>
      <c r="AC241" t="str">
        <f t="shared" si="22"/>
        <v/>
      </c>
      <c r="AD241" t="str">
        <f t="shared" si="23"/>
        <v/>
      </c>
      <c r="AE241" t="str">
        <f t="shared" si="24"/>
        <v/>
      </c>
      <c r="AF241" t="str">
        <f t="shared" si="25"/>
        <v/>
      </c>
      <c r="AG241" t="str">
        <f t="shared" si="26"/>
        <v/>
      </c>
      <c r="AH241" s="65" t="str">
        <f t="array" ref="AH241">if(sum(H241:AG241)=0,,sum(sort(TRANSPOSE(H241:AG241),1,false)))</f>
        <v/>
      </c>
    </row>
    <row r="242" hidden="1">
      <c r="F242" s="4">
        <v>110.0</v>
      </c>
      <c r="H242" t="str">
        <f t="shared" si="1"/>
        <v/>
      </c>
      <c r="I242" t="str">
        <f t="shared" si="2"/>
        <v/>
      </c>
      <c r="J242" t="str">
        <f t="shared" si="3"/>
        <v/>
      </c>
      <c r="K242" t="str">
        <f t="shared" si="4"/>
        <v/>
      </c>
      <c r="L242" t="str">
        <f t="shared" si="5"/>
        <v/>
      </c>
      <c r="M242" t="str">
        <f t="shared" si="6"/>
        <v/>
      </c>
      <c r="N242" t="str">
        <f t="shared" si="7"/>
        <v/>
      </c>
      <c r="O242" t="str">
        <f t="shared" si="8"/>
        <v/>
      </c>
      <c r="P242" t="str">
        <f t="shared" si="9"/>
        <v/>
      </c>
      <c r="Q242" t="str">
        <f t="shared" si="10"/>
        <v/>
      </c>
      <c r="R242" t="str">
        <f t="shared" si="11"/>
        <v/>
      </c>
      <c r="S242" t="str">
        <f t="shared" si="12"/>
        <v/>
      </c>
      <c r="T242" t="str">
        <f t="shared" si="13"/>
        <v/>
      </c>
      <c r="U242" t="str">
        <f t="shared" si="14"/>
        <v/>
      </c>
      <c r="V242" t="str">
        <f t="shared" si="15"/>
        <v/>
      </c>
      <c r="W242" t="str">
        <f t="shared" si="16"/>
        <v/>
      </c>
      <c r="X242" t="str">
        <f t="shared" si="17"/>
        <v/>
      </c>
      <c r="Y242" t="str">
        <f t="shared" si="18"/>
        <v/>
      </c>
      <c r="Z242" t="str">
        <f t="shared" si="19"/>
        <v/>
      </c>
      <c r="AA242" t="str">
        <f t="shared" si="20"/>
        <v/>
      </c>
      <c r="AB242" t="str">
        <f t="shared" si="21"/>
        <v/>
      </c>
      <c r="AC242" t="str">
        <f t="shared" si="22"/>
        <v/>
      </c>
      <c r="AD242" t="str">
        <f t="shared" si="23"/>
        <v/>
      </c>
      <c r="AE242" t="str">
        <f t="shared" si="24"/>
        <v/>
      </c>
      <c r="AF242" t="str">
        <f t="shared" si="25"/>
        <v/>
      </c>
      <c r="AG242" t="str">
        <f t="shared" si="26"/>
        <v/>
      </c>
      <c r="AH242" s="65" t="str">
        <f t="array" ref="AH242">if(sum(H242:AG242)=0,,sum(sort(TRANSPOSE(H242:AG242),1,false)))</f>
        <v/>
      </c>
    </row>
    <row r="243" hidden="1">
      <c r="F243" s="4">
        <v>111.0</v>
      </c>
      <c r="H243" t="str">
        <f t="shared" si="1"/>
        <v/>
      </c>
      <c r="I243" t="str">
        <f t="shared" si="2"/>
        <v/>
      </c>
      <c r="J243" t="str">
        <f t="shared" si="3"/>
        <v/>
      </c>
      <c r="K243" t="str">
        <f t="shared" si="4"/>
        <v/>
      </c>
      <c r="L243" t="str">
        <f t="shared" si="5"/>
        <v/>
      </c>
      <c r="M243" t="str">
        <f t="shared" si="6"/>
        <v/>
      </c>
      <c r="N243" t="str">
        <f t="shared" si="7"/>
        <v/>
      </c>
      <c r="O243" t="str">
        <f t="shared" si="8"/>
        <v/>
      </c>
      <c r="P243" t="str">
        <f t="shared" si="9"/>
        <v/>
      </c>
      <c r="Q243" t="str">
        <f t="shared" si="10"/>
        <v/>
      </c>
      <c r="R243" t="str">
        <f t="shared" si="11"/>
        <v/>
      </c>
      <c r="S243" t="str">
        <f t="shared" si="12"/>
        <v/>
      </c>
      <c r="T243" t="str">
        <f t="shared" si="13"/>
        <v/>
      </c>
      <c r="U243" t="str">
        <f t="shared" si="14"/>
        <v/>
      </c>
      <c r="V243" t="str">
        <f t="shared" si="15"/>
        <v/>
      </c>
      <c r="W243" t="str">
        <f t="shared" si="16"/>
        <v/>
      </c>
      <c r="X243" t="str">
        <f t="shared" si="17"/>
        <v/>
      </c>
      <c r="Y243" t="str">
        <f t="shared" si="18"/>
        <v/>
      </c>
      <c r="Z243" t="str">
        <f t="shared" si="19"/>
        <v/>
      </c>
      <c r="AA243" t="str">
        <f t="shared" si="20"/>
        <v/>
      </c>
      <c r="AB243" t="str">
        <f t="shared" si="21"/>
        <v/>
      </c>
      <c r="AC243" t="str">
        <f t="shared" si="22"/>
        <v/>
      </c>
      <c r="AD243" t="str">
        <f t="shared" si="23"/>
        <v/>
      </c>
      <c r="AE243" t="str">
        <f t="shared" si="24"/>
        <v/>
      </c>
      <c r="AF243" t="str">
        <f t="shared" si="25"/>
        <v/>
      </c>
      <c r="AG243" t="str">
        <f t="shared" si="26"/>
        <v/>
      </c>
      <c r="AH243" s="65" t="str">
        <f t="array" ref="AH243">if(sum(H243:AG243)=0,,sum(sort(TRANSPOSE(H243:AG243),1,false)))</f>
        <v/>
      </c>
    </row>
    <row r="244" hidden="1">
      <c r="F244" s="4">
        <v>112.0</v>
      </c>
      <c r="H244" t="str">
        <f t="shared" si="1"/>
        <v/>
      </c>
      <c r="I244" t="str">
        <f t="shared" si="2"/>
        <v/>
      </c>
      <c r="J244" t="str">
        <f t="shared" si="3"/>
        <v/>
      </c>
      <c r="K244" t="str">
        <f t="shared" si="4"/>
        <v/>
      </c>
      <c r="L244" t="str">
        <f t="shared" si="5"/>
        <v/>
      </c>
      <c r="M244" t="str">
        <f t="shared" si="6"/>
        <v/>
      </c>
      <c r="N244" t="str">
        <f t="shared" si="7"/>
        <v/>
      </c>
      <c r="O244" t="str">
        <f t="shared" si="8"/>
        <v/>
      </c>
      <c r="P244" t="str">
        <f t="shared" si="9"/>
        <v/>
      </c>
      <c r="Q244" t="str">
        <f t="shared" si="10"/>
        <v/>
      </c>
      <c r="R244" t="str">
        <f t="shared" si="11"/>
        <v/>
      </c>
      <c r="S244" t="str">
        <f t="shared" si="12"/>
        <v/>
      </c>
      <c r="T244" t="str">
        <f t="shared" si="13"/>
        <v/>
      </c>
      <c r="U244" t="str">
        <f t="shared" si="14"/>
        <v/>
      </c>
      <c r="V244" t="str">
        <f t="shared" si="15"/>
        <v/>
      </c>
      <c r="W244" t="str">
        <f t="shared" si="16"/>
        <v/>
      </c>
      <c r="X244" t="str">
        <f t="shared" si="17"/>
        <v/>
      </c>
      <c r="Y244" t="str">
        <f t="shared" si="18"/>
        <v/>
      </c>
      <c r="Z244" t="str">
        <f t="shared" si="19"/>
        <v/>
      </c>
      <c r="AA244" t="str">
        <f t="shared" si="20"/>
        <v/>
      </c>
      <c r="AB244" t="str">
        <f t="shared" si="21"/>
        <v/>
      </c>
      <c r="AC244" t="str">
        <f t="shared" si="22"/>
        <v/>
      </c>
      <c r="AD244" t="str">
        <f t="shared" si="23"/>
        <v/>
      </c>
      <c r="AE244" t="str">
        <f t="shared" si="24"/>
        <v/>
      </c>
      <c r="AF244" t="str">
        <f t="shared" si="25"/>
        <v/>
      </c>
      <c r="AG244" t="str">
        <f t="shared" si="26"/>
        <v/>
      </c>
      <c r="AH244" s="65" t="str">
        <f t="array" ref="AH244">if(sum(H244:AG244)=0,,sum(sort(TRANSPOSE(H244:AG244),1,false)))</f>
        <v/>
      </c>
    </row>
    <row r="245" hidden="1">
      <c r="F245" s="4">
        <v>113.0</v>
      </c>
      <c r="H245" t="str">
        <f t="shared" si="1"/>
        <v/>
      </c>
      <c r="I245" t="str">
        <f t="shared" si="2"/>
        <v/>
      </c>
      <c r="J245" t="str">
        <f t="shared" si="3"/>
        <v/>
      </c>
      <c r="K245" t="str">
        <f t="shared" si="4"/>
        <v/>
      </c>
      <c r="L245" t="str">
        <f t="shared" si="5"/>
        <v/>
      </c>
      <c r="M245" t="str">
        <f t="shared" si="6"/>
        <v/>
      </c>
      <c r="N245" t="str">
        <f t="shared" si="7"/>
        <v/>
      </c>
      <c r="O245" t="str">
        <f t="shared" si="8"/>
        <v/>
      </c>
      <c r="P245" t="str">
        <f t="shared" si="9"/>
        <v/>
      </c>
      <c r="Q245" t="str">
        <f t="shared" si="10"/>
        <v/>
      </c>
      <c r="R245" t="str">
        <f t="shared" si="11"/>
        <v/>
      </c>
      <c r="S245" t="str">
        <f t="shared" si="12"/>
        <v/>
      </c>
      <c r="T245" t="str">
        <f t="shared" si="13"/>
        <v/>
      </c>
      <c r="U245" t="str">
        <f t="shared" si="14"/>
        <v/>
      </c>
      <c r="V245" t="str">
        <f t="shared" si="15"/>
        <v/>
      </c>
      <c r="W245" t="str">
        <f t="shared" si="16"/>
        <v/>
      </c>
      <c r="X245" t="str">
        <f t="shared" si="17"/>
        <v/>
      </c>
      <c r="Y245" t="str">
        <f t="shared" si="18"/>
        <v/>
      </c>
      <c r="Z245" t="str">
        <f t="shared" si="19"/>
        <v/>
      </c>
      <c r="AA245" t="str">
        <f t="shared" si="20"/>
        <v/>
      </c>
      <c r="AB245" t="str">
        <f t="shared" si="21"/>
        <v/>
      </c>
      <c r="AC245" t="str">
        <f t="shared" si="22"/>
        <v/>
      </c>
      <c r="AD245" t="str">
        <f t="shared" si="23"/>
        <v/>
      </c>
      <c r="AE245" t="str">
        <f t="shared" si="24"/>
        <v/>
      </c>
      <c r="AF245" t="str">
        <f t="shared" si="25"/>
        <v/>
      </c>
      <c r="AG245" t="str">
        <f t="shared" si="26"/>
        <v/>
      </c>
      <c r="AH245" s="65" t="str">
        <f t="array" ref="AH245">if(sum(H245:AG245)=0,,sum(sort(TRANSPOSE(H245:AG245),1,false)))</f>
        <v/>
      </c>
    </row>
    <row r="246" hidden="1">
      <c r="F246" s="4">
        <v>114.0</v>
      </c>
      <c r="H246" t="str">
        <f t="shared" si="1"/>
        <v/>
      </c>
      <c r="I246" t="str">
        <f t="shared" si="2"/>
        <v/>
      </c>
      <c r="J246" t="str">
        <f t="shared" si="3"/>
        <v/>
      </c>
      <c r="K246" t="str">
        <f t="shared" si="4"/>
        <v/>
      </c>
      <c r="L246" t="str">
        <f t="shared" si="5"/>
        <v/>
      </c>
      <c r="M246" t="str">
        <f t="shared" si="6"/>
        <v/>
      </c>
      <c r="N246" t="str">
        <f t="shared" si="7"/>
        <v/>
      </c>
      <c r="O246" t="str">
        <f t="shared" si="8"/>
        <v/>
      </c>
      <c r="P246" t="str">
        <f t="shared" si="9"/>
        <v/>
      </c>
      <c r="Q246" t="str">
        <f t="shared" si="10"/>
        <v/>
      </c>
      <c r="R246" t="str">
        <f t="shared" si="11"/>
        <v/>
      </c>
      <c r="S246" t="str">
        <f t="shared" si="12"/>
        <v/>
      </c>
      <c r="T246" t="str">
        <f t="shared" si="13"/>
        <v/>
      </c>
      <c r="U246" t="str">
        <f t="shared" si="14"/>
        <v/>
      </c>
      <c r="V246" t="str">
        <f t="shared" si="15"/>
        <v/>
      </c>
      <c r="W246" t="str">
        <f t="shared" si="16"/>
        <v/>
      </c>
      <c r="X246" t="str">
        <f t="shared" si="17"/>
        <v/>
      </c>
      <c r="Y246" t="str">
        <f t="shared" si="18"/>
        <v/>
      </c>
      <c r="Z246" t="str">
        <f t="shared" si="19"/>
        <v/>
      </c>
      <c r="AA246" t="str">
        <f t="shared" si="20"/>
        <v/>
      </c>
      <c r="AB246" t="str">
        <f t="shared" si="21"/>
        <v/>
      </c>
      <c r="AC246" t="str">
        <f t="shared" si="22"/>
        <v/>
      </c>
      <c r="AD246" t="str">
        <f t="shared" si="23"/>
        <v/>
      </c>
      <c r="AE246" t="str">
        <f t="shared" si="24"/>
        <v/>
      </c>
      <c r="AF246" t="str">
        <f t="shared" si="25"/>
        <v/>
      </c>
      <c r="AG246" t="str">
        <f t="shared" si="26"/>
        <v/>
      </c>
      <c r="AH246" s="65" t="str">
        <f t="array" ref="AH246">if(sum(H246:AG246)=0,,sum(sort(TRANSPOSE(H246:AG246),1,false)))</f>
        <v/>
      </c>
    </row>
    <row r="247" hidden="1">
      <c r="F247" s="4">
        <v>115.0</v>
      </c>
      <c r="H247" t="str">
        <f t="shared" si="1"/>
        <v/>
      </c>
      <c r="I247" t="str">
        <f t="shared" si="2"/>
        <v/>
      </c>
      <c r="J247" t="str">
        <f t="shared" si="3"/>
        <v/>
      </c>
      <c r="K247" t="str">
        <f t="shared" si="4"/>
        <v/>
      </c>
      <c r="L247" t="str">
        <f t="shared" si="5"/>
        <v/>
      </c>
      <c r="M247" t="str">
        <f t="shared" si="6"/>
        <v/>
      </c>
      <c r="N247" t="str">
        <f t="shared" si="7"/>
        <v/>
      </c>
      <c r="O247" t="str">
        <f t="shared" si="8"/>
        <v/>
      </c>
      <c r="P247" t="str">
        <f t="shared" si="9"/>
        <v/>
      </c>
      <c r="Q247" t="str">
        <f t="shared" si="10"/>
        <v/>
      </c>
      <c r="R247" t="str">
        <f t="shared" si="11"/>
        <v/>
      </c>
      <c r="S247" t="str">
        <f t="shared" si="12"/>
        <v/>
      </c>
      <c r="T247" t="str">
        <f t="shared" si="13"/>
        <v/>
      </c>
      <c r="U247" t="str">
        <f t="shared" si="14"/>
        <v/>
      </c>
      <c r="V247" t="str">
        <f t="shared" si="15"/>
        <v/>
      </c>
      <c r="W247" t="str">
        <f t="shared" si="16"/>
        <v/>
      </c>
      <c r="X247" t="str">
        <f t="shared" si="17"/>
        <v/>
      </c>
      <c r="Y247" t="str">
        <f t="shared" si="18"/>
        <v/>
      </c>
      <c r="Z247" t="str">
        <f t="shared" si="19"/>
        <v/>
      </c>
      <c r="AA247" t="str">
        <f t="shared" si="20"/>
        <v/>
      </c>
      <c r="AB247" t="str">
        <f t="shared" si="21"/>
        <v/>
      </c>
      <c r="AC247" t="str">
        <f t="shared" si="22"/>
        <v/>
      </c>
      <c r="AD247" t="str">
        <f t="shared" si="23"/>
        <v/>
      </c>
      <c r="AE247" t="str">
        <f t="shared" si="24"/>
        <v/>
      </c>
      <c r="AF247" t="str">
        <f t="shared" si="25"/>
        <v/>
      </c>
      <c r="AG247" t="str">
        <f t="shared" si="26"/>
        <v/>
      </c>
      <c r="AH247" s="65" t="str">
        <f t="array" ref="AH247">if(sum(H247:AG247)=0,,sum(sort(TRANSPOSE(H247:AG247),1,false)))</f>
        <v/>
      </c>
    </row>
    <row r="248" hidden="1">
      <c r="F248" s="4">
        <v>116.0</v>
      </c>
      <c r="H248" t="str">
        <f t="shared" si="1"/>
        <v/>
      </c>
      <c r="I248" t="str">
        <f t="shared" si="2"/>
        <v/>
      </c>
      <c r="J248" t="str">
        <f t="shared" si="3"/>
        <v/>
      </c>
      <c r="K248" t="str">
        <f t="shared" si="4"/>
        <v/>
      </c>
      <c r="L248" t="str">
        <f t="shared" si="5"/>
        <v/>
      </c>
      <c r="M248" t="str">
        <f t="shared" si="6"/>
        <v/>
      </c>
      <c r="N248" t="str">
        <f t="shared" si="7"/>
        <v/>
      </c>
      <c r="O248" t="str">
        <f t="shared" si="8"/>
        <v/>
      </c>
      <c r="P248" t="str">
        <f t="shared" si="9"/>
        <v/>
      </c>
      <c r="Q248" t="str">
        <f t="shared" si="10"/>
        <v/>
      </c>
      <c r="R248" t="str">
        <f t="shared" si="11"/>
        <v/>
      </c>
      <c r="S248" t="str">
        <f t="shared" si="12"/>
        <v/>
      </c>
      <c r="T248" t="str">
        <f t="shared" si="13"/>
        <v/>
      </c>
      <c r="U248" t="str">
        <f t="shared" si="14"/>
        <v/>
      </c>
      <c r="V248" t="str">
        <f t="shared" si="15"/>
        <v/>
      </c>
      <c r="W248" t="str">
        <f t="shared" si="16"/>
        <v/>
      </c>
      <c r="X248" t="str">
        <f t="shared" si="17"/>
        <v/>
      </c>
      <c r="Y248" t="str">
        <f t="shared" si="18"/>
        <v/>
      </c>
      <c r="Z248" t="str">
        <f t="shared" si="19"/>
        <v/>
      </c>
      <c r="AA248" t="str">
        <f t="shared" si="20"/>
        <v/>
      </c>
      <c r="AB248" t="str">
        <f t="shared" si="21"/>
        <v/>
      </c>
      <c r="AC248" t="str">
        <f t="shared" si="22"/>
        <v/>
      </c>
      <c r="AD248" t="str">
        <f t="shared" si="23"/>
        <v/>
      </c>
      <c r="AE248" t="str">
        <f t="shared" si="24"/>
        <v/>
      </c>
      <c r="AF248" t="str">
        <f t="shared" si="25"/>
        <v/>
      </c>
      <c r="AG248" t="str">
        <f t="shared" si="26"/>
        <v/>
      </c>
      <c r="AH248" s="65" t="str">
        <f t="array" ref="AH248">if(sum(H248:AG248)=0,,sum(sort(TRANSPOSE(H248:AG248),1,false)))</f>
        <v/>
      </c>
    </row>
    <row r="249" hidden="1">
      <c r="F249" s="4">
        <v>117.0</v>
      </c>
      <c r="H249" t="str">
        <f t="shared" si="1"/>
        <v/>
      </c>
      <c r="I249" t="str">
        <f t="shared" si="2"/>
        <v/>
      </c>
      <c r="J249" t="str">
        <f t="shared" si="3"/>
        <v/>
      </c>
      <c r="K249" t="str">
        <f t="shared" si="4"/>
        <v/>
      </c>
      <c r="L249" t="str">
        <f t="shared" si="5"/>
        <v/>
      </c>
      <c r="M249" t="str">
        <f t="shared" si="6"/>
        <v/>
      </c>
      <c r="N249" t="str">
        <f t="shared" si="7"/>
        <v/>
      </c>
      <c r="O249" t="str">
        <f t="shared" si="8"/>
        <v/>
      </c>
      <c r="P249" t="str">
        <f t="shared" si="9"/>
        <v/>
      </c>
      <c r="Q249" t="str">
        <f t="shared" si="10"/>
        <v/>
      </c>
      <c r="R249" t="str">
        <f t="shared" si="11"/>
        <v/>
      </c>
      <c r="S249" t="str">
        <f t="shared" si="12"/>
        <v/>
      </c>
      <c r="T249" t="str">
        <f t="shared" si="13"/>
        <v/>
      </c>
      <c r="U249" t="str">
        <f t="shared" si="14"/>
        <v/>
      </c>
      <c r="V249" t="str">
        <f t="shared" si="15"/>
        <v/>
      </c>
      <c r="W249" t="str">
        <f t="shared" si="16"/>
        <v/>
      </c>
      <c r="X249" t="str">
        <f t="shared" si="17"/>
        <v/>
      </c>
      <c r="Y249" t="str">
        <f t="shared" si="18"/>
        <v/>
      </c>
      <c r="Z249" t="str">
        <f t="shared" si="19"/>
        <v/>
      </c>
      <c r="AA249" t="str">
        <f t="shared" si="20"/>
        <v/>
      </c>
      <c r="AB249" t="str">
        <f t="shared" si="21"/>
        <v/>
      </c>
      <c r="AC249" t="str">
        <f t="shared" si="22"/>
        <v/>
      </c>
      <c r="AD249" t="str">
        <f t="shared" si="23"/>
        <v/>
      </c>
      <c r="AE249" t="str">
        <f t="shared" si="24"/>
        <v/>
      </c>
      <c r="AF249" t="str">
        <f t="shared" si="25"/>
        <v/>
      </c>
      <c r="AG249" t="str">
        <f t="shared" si="26"/>
        <v/>
      </c>
      <c r="AH249" s="65" t="str">
        <f t="array" ref="AH249">if(sum(H249:AG249)=0,,sum(sort(TRANSPOSE(H249:AG249),1,false)))</f>
        <v/>
      </c>
    </row>
    <row r="250" hidden="1">
      <c r="F250" s="4">
        <v>118.0</v>
      </c>
      <c r="H250" t="str">
        <f t="shared" si="1"/>
        <v/>
      </c>
      <c r="I250" t="str">
        <f t="shared" si="2"/>
        <v/>
      </c>
      <c r="J250" t="str">
        <f t="shared" si="3"/>
        <v/>
      </c>
      <c r="K250" t="str">
        <f t="shared" si="4"/>
        <v/>
      </c>
      <c r="L250" t="str">
        <f t="shared" si="5"/>
        <v/>
      </c>
      <c r="M250" t="str">
        <f t="shared" si="6"/>
        <v/>
      </c>
      <c r="N250" t="str">
        <f t="shared" si="7"/>
        <v/>
      </c>
      <c r="O250" t="str">
        <f t="shared" si="8"/>
        <v/>
      </c>
      <c r="P250" t="str">
        <f t="shared" si="9"/>
        <v/>
      </c>
      <c r="Q250" t="str">
        <f t="shared" si="10"/>
        <v/>
      </c>
      <c r="R250" t="str">
        <f t="shared" si="11"/>
        <v/>
      </c>
      <c r="S250" t="str">
        <f t="shared" si="12"/>
        <v/>
      </c>
      <c r="T250" t="str">
        <f t="shared" si="13"/>
        <v/>
      </c>
      <c r="U250" t="str">
        <f t="shared" si="14"/>
        <v/>
      </c>
      <c r="V250" t="str">
        <f t="shared" si="15"/>
        <v/>
      </c>
      <c r="W250" t="str">
        <f t="shared" si="16"/>
        <v/>
      </c>
      <c r="X250" t="str">
        <f t="shared" si="17"/>
        <v/>
      </c>
      <c r="Y250" t="str">
        <f t="shared" si="18"/>
        <v/>
      </c>
      <c r="Z250" t="str">
        <f t="shared" si="19"/>
        <v/>
      </c>
      <c r="AA250" t="str">
        <f t="shared" si="20"/>
        <v/>
      </c>
      <c r="AB250" t="str">
        <f t="shared" si="21"/>
        <v/>
      </c>
      <c r="AC250" t="str">
        <f t="shared" si="22"/>
        <v/>
      </c>
      <c r="AD250" t="str">
        <f t="shared" si="23"/>
        <v/>
      </c>
      <c r="AE250" t="str">
        <f t="shared" si="24"/>
        <v/>
      </c>
      <c r="AF250" t="str">
        <f t="shared" si="25"/>
        <v/>
      </c>
      <c r="AG250" t="str">
        <f t="shared" si="26"/>
        <v/>
      </c>
      <c r="AH250" s="65" t="str">
        <f t="array" ref="AH250">if(sum(H250:AG250)=0,,sum(sort(TRANSPOSE(H250:AG250),1,false)))</f>
        <v/>
      </c>
    </row>
    <row r="251" hidden="1">
      <c r="F251" s="4">
        <v>119.0</v>
      </c>
      <c r="H251" t="str">
        <f t="shared" si="1"/>
        <v/>
      </c>
      <c r="I251" t="str">
        <f t="shared" si="2"/>
        <v/>
      </c>
      <c r="J251" t="str">
        <f t="shared" si="3"/>
        <v/>
      </c>
      <c r="K251" t="str">
        <f t="shared" si="4"/>
        <v/>
      </c>
      <c r="L251" t="str">
        <f t="shared" si="5"/>
        <v/>
      </c>
      <c r="M251" t="str">
        <f t="shared" si="6"/>
        <v/>
      </c>
      <c r="N251" t="str">
        <f t="shared" si="7"/>
        <v/>
      </c>
      <c r="O251" t="str">
        <f t="shared" si="8"/>
        <v/>
      </c>
      <c r="P251" t="str">
        <f t="shared" si="9"/>
        <v/>
      </c>
      <c r="Q251" t="str">
        <f t="shared" si="10"/>
        <v/>
      </c>
      <c r="R251" t="str">
        <f t="shared" si="11"/>
        <v/>
      </c>
      <c r="S251" t="str">
        <f t="shared" si="12"/>
        <v/>
      </c>
      <c r="T251" t="str">
        <f t="shared" si="13"/>
        <v/>
      </c>
      <c r="U251" t="str">
        <f t="shared" si="14"/>
        <v/>
      </c>
      <c r="V251" t="str">
        <f t="shared" si="15"/>
        <v/>
      </c>
      <c r="W251" t="str">
        <f t="shared" si="16"/>
        <v/>
      </c>
      <c r="X251" t="str">
        <f t="shared" si="17"/>
        <v/>
      </c>
      <c r="Y251" t="str">
        <f t="shared" si="18"/>
        <v/>
      </c>
      <c r="Z251" t="str">
        <f t="shared" si="19"/>
        <v/>
      </c>
      <c r="AA251" t="str">
        <f t="shared" si="20"/>
        <v/>
      </c>
      <c r="AB251" t="str">
        <f t="shared" si="21"/>
        <v/>
      </c>
      <c r="AC251" t="str">
        <f t="shared" si="22"/>
        <v/>
      </c>
      <c r="AD251" t="str">
        <f t="shared" si="23"/>
        <v/>
      </c>
      <c r="AE251" t="str">
        <f t="shared" si="24"/>
        <v/>
      </c>
      <c r="AF251" t="str">
        <f t="shared" si="25"/>
        <v/>
      </c>
      <c r="AG251" t="str">
        <f t="shared" si="26"/>
        <v/>
      </c>
      <c r="AH251" s="65" t="str">
        <f t="array" ref="AH251">if(sum(H251:AG251)=0,,sum(sort(TRANSPOSE(H251:AG251),1,false)))</f>
        <v/>
      </c>
    </row>
    <row r="252" hidden="1">
      <c r="F252" s="4">
        <v>120.0</v>
      </c>
      <c r="H252" t="str">
        <f t="shared" si="1"/>
        <v/>
      </c>
      <c r="I252" t="str">
        <f t="shared" si="2"/>
        <v/>
      </c>
      <c r="J252" t="str">
        <f t="shared" si="3"/>
        <v/>
      </c>
      <c r="K252" t="str">
        <f t="shared" si="4"/>
        <v/>
      </c>
      <c r="L252" t="str">
        <f t="shared" si="5"/>
        <v/>
      </c>
      <c r="M252" t="str">
        <f t="shared" si="6"/>
        <v/>
      </c>
      <c r="N252" t="str">
        <f t="shared" si="7"/>
        <v/>
      </c>
      <c r="O252" t="str">
        <f t="shared" si="8"/>
        <v/>
      </c>
      <c r="P252" t="str">
        <f t="shared" si="9"/>
        <v/>
      </c>
      <c r="Q252" t="str">
        <f t="shared" si="10"/>
        <v/>
      </c>
      <c r="R252" t="str">
        <f t="shared" si="11"/>
        <v/>
      </c>
      <c r="S252" t="str">
        <f t="shared" si="12"/>
        <v/>
      </c>
      <c r="T252" t="str">
        <f t="shared" si="13"/>
        <v/>
      </c>
      <c r="U252" t="str">
        <f t="shared" si="14"/>
        <v/>
      </c>
      <c r="V252" t="str">
        <f t="shared" si="15"/>
        <v/>
      </c>
      <c r="W252" t="str">
        <f t="shared" si="16"/>
        <v/>
      </c>
      <c r="X252" t="str">
        <f t="shared" si="17"/>
        <v/>
      </c>
      <c r="Y252" t="str">
        <f t="shared" si="18"/>
        <v/>
      </c>
      <c r="Z252" t="str">
        <f t="shared" si="19"/>
        <v/>
      </c>
      <c r="AA252" t="str">
        <f t="shared" si="20"/>
        <v/>
      </c>
      <c r="AB252" t="str">
        <f t="shared" si="21"/>
        <v/>
      </c>
      <c r="AC252" t="str">
        <f t="shared" si="22"/>
        <v/>
      </c>
      <c r="AD252" t="str">
        <f t="shared" si="23"/>
        <v/>
      </c>
      <c r="AE252" t="str">
        <f t="shared" si="24"/>
        <v/>
      </c>
      <c r="AF252" t="str">
        <f t="shared" si="25"/>
        <v/>
      </c>
      <c r="AG252" t="str">
        <f t="shared" si="26"/>
        <v/>
      </c>
      <c r="AH252" s="65" t="str">
        <f t="array" ref="AH252">if(sum(H252:AG252)=0,,sum(sort(TRANSPOSE(H252:AG252),1,false)))</f>
        <v/>
      </c>
    </row>
    <row r="253" hidden="1">
      <c r="F253" s="4">
        <v>121.0</v>
      </c>
      <c r="H253" t="str">
        <f t="shared" si="1"/>
        <v/>
      </c>
      <c r="I253" t="str">
        <f t="shared" si="2"/>
        <v/>
      </c>
      <c r="J253" t="str">
        <f t="shared" si="3"/>
        <v/>
      </c>
      <c r="K253" t="str">
        <f t="shared" si="4"/>
        <v/>
      </c>
      <c r="L253" t="str">
        <f t="shared" si="5"/>
        <v/>
      </c>
      <c r="M253" t="str">
        <f t="shared" si="6"/>
        <v/>
      </c>
      <c r="N253" t="str">
        <f t="shared" si="7"/>
        <v/>
      </c>
      <c r="O253" t="str">
        <f t="shared" si="8"/>
        <v/>
      </c>
      <c r="P253" t="str">
        <f t="shared" si="9"/>
        <v/>
      </c>
      <c r="Q253" t="str">
        <f t="shared" si="10"/>
        <v/>
      </c>
      <c r="R253" t="str">
        <f t="shared" si="11"/>
        <v/>
      </c>
      <c r="S253" t="str">
        <f t="shared" si="12"/>
        <v/>
      </c>
      <c r="T253" t="str">
        <f t="shared" si="13"/>
        <v/>
      </c>
      <c r="U253" t="str">
        <f t="shared" si="14"/>
        <v/>
      </c>
      <c r="V253" t="str">
        <f t="shared" si="15"/>
        <v/>
      </c>
      <c r="W253" t="str">
        <f t="shared" si="16"/>
        <v/>
      </c>
      <c r="X253" t="str">
        <f t="shared" si="17"/>
        <v/>
      </c>
      <c r="Y253" t="str">
        <f t="shared" si="18"/>
        <v/>
      </c>
      <c r="Z253" t="str">
        <f t="shared" si="19"/>
        <v/>
      </c>
      <c r="AA253" t="str">
        <f t="shared" si="20"/>
        <v/>
      </c>
      <c r="AB253" t="str">
        <f t="shared" si="21"/>
        <v/>
      </c>
      <c r="AC253" t="str">
        <f t="shared" si="22"/>
        <v/>
      </c>
      <c r="AD253" t="str">
        <f t="shared" si="23"/>
        <v/>
      </c>
      <c r="AE253" t="str">
        <f t="shared" si="24"/>
        <v/>
      </c>
      <c r="AF253" t="str">
        <f t="shared" si="25"/>
        <v/>
      </c>
      <c r="AG253" t="str">
        <f t="shared" si="26"/>
        <v/>
      </c>
      <c r="AH253" s="65" t="str">
        <f t="array" ref="AH253">if(sum(H253:AG253)=0,,sum(sort(TRANSPOSE(H253:AG253),1,false)))</f>
        <v/>
      </c>
    </row>
    <row r="254" hidden="1">
      <c r="F254" s="4">
        <v>122.0</v>
      </c>
      <c r="H254" t="str">
        <f t="shared" si="1"/>
        <v/>
      </c>
      <c r="I254" t="str">
        <f t="shared" si="2"/>
        <v/>
      </c>
      <c r="J254" t="str">
        <f t="shared" si="3"/>
        <v/>
      </c>
      <c r="K254" t="str">
        <f t="shared" si="4"/>
        <v/>
      </c>
      <c r="L254" t="str">
        <f t="shared" si="5"/>
        <v/>
      </c>
      <c r="M254" t="str">
        <f t="shared" si="6"/>
        <v/>
      </c>
      <c r="N254" t="str">
        <f t="shared" si="7"/>
        <v/>
      </c>
      <c r="O254" t="str">
        <f t="shared" si="8"/>
        <v/>
      </c>
      <c r="P254" t="str">
        <f t="shared" si="9"/>
        <v/>
      </c>
      <c r="Q254" t="str">
        <f t="shared" si="10"/>
        <v/>
      </c>
      <c r="R254" t="str">
        <f t="shared" si="11"/>
        <v/>
      </c>
      <c r="S254" t="str">
        <f t="shared" si="12"/>
        <v/>
      </c>
      <c r="T254" t="str">
        <f t="shared" si="13"/>
        <v/>
      </c>
      <c r="U254" t="str">
        <f t="shared" si="14"/>
        <v/>
      </c>
      <c r="V254" t="str">
        <f t="shared" si="15"/>
        <v/>
      </c>
      <c r="W254" t="str">
        <f t="shared" si="16"/>
        <v/>
      </c>
      <c r="X254" t="str">
        <f t="shared" si="17"/>
        <v/>
      </c>
      <c r="Y254" t="str">
        <f t="shared" si="18"/>
        <v/>
      </c>
      <c r="Z254" t="str">
        <f t="shared" si="19"/>
        <v/>
      </c>
      <c r="AA254" t="str">
        <f t="shared" si="20"/>
        <v/>
      </c>
      <c r="AB254" t="str">
        <f t="shared" si="21"/>
        <v/>
      </c>
      <c r="AC254" t="str">
        <f t="shared" si="22"/>
        <v/>
      </c>
      <c r="AD254" t="str">
        <f t="shared" si="23"/>
        <v/>
      </c>
      <c r="AE254" t="str">
        <f t="shared" si="24"/>
        <v/>
      </c>
      <c r="AF254" t="str">
        <f t="shared" si="25"/>
        <v/>
      </c>
      <c r="AG254" t="str">
        <f t="shared" si="26"/>
        <v/>
      </c>
      <c r="AH254" s="65" t="str">
        <f t="array" ref="AH254">if(sum(H254:AG254)=0,,sum(sort(TRANSPOSE(H254:AG254),1,false)))</f>
        <v/>
      </c>
    </row>
    <row r="255" hidden="1">
      <c r="F255" s="4">
        <v>123.0</v>
      </c>
      <c r="H255" t="str">
        <f t="shared" si="1"/>
        <v/>
      </c>
      <c r="I255" t="str">
        <f t="shared" si="2"/>
        <v/>
      </c>
      <c r="J255" t="str">
        <f t="shared" si="3"/>
        <v/>
      </c>
      <c r="K255" t="str">
        <f t="shared" si="4"/>
        <v/>
      </c>
      <c r="L255" t="str">
        <f t="shared" si="5"/>
        <v/>
      </c>
      <c r="M255" t="str">
        <f t="shared" si="6"/>
        <v/>
      </c>
      <c r="N255" t="str">
        <f t="shared" si="7"/>
        <v/>
      </c>
      <c r="O255" t="str">
        <f t="shared" si="8"/>
        <v/>
      </c>
      <c r="P255" t="str">
        <f t="shared" si="9"/>
        <v/>
      </c>
      <c r="Q255" t="str">
        <f t="shared" si="10"/>
        <v/>
      </c>
      <c r="R255" t="str">
        <f t="shared" si="11"/>
        <v/>
      </c>
      <c r="S255" t="str">
        <f t="shared" si="12"/>
        <v/>
      </c>
      <c r="T255" t="str">
        <f t="shared" si="13"/>
        <v/>
      </c>
      <c r="U255" t="str">
        <f t="shared" si="14"/>
        <v/>
      </c>
      <c r="V255" t="str">
        <f t="shared" si="15"/>
        <v/>
      </c>
      <c r="W255" t="str">
        <f t="shared" si="16"/>
        <v/>
      </c>
      <c r="X255" t="str">
        <f t="shared" si="17"/>
        <v/>
      </c>
      <c r="Y255" t="str">
        <f t="shared" si="18"/>
        <v/>
      </c>
      <c r="Z255" t="str">
        <f t="shared" si="19"/>
        <v/>
      </c>
      <c r="AA255" t="str">
        <f t="shared" si="20"/>
        <v/>
      </c>
      <c r="AB255" t="str">
        <f t="shared" si="21"/>
        <v/>
      </c>
      <c r="AC255" t="str">
        <f t="shared" si="22"/>
        <v/>
      </c>
      <c r="AD255" t="str">
        <f t="shared" si="23"/>
        <v/>
      </c>
      <c r="AE255" t="str">
        <f t="shared" si="24"/>
        <v/>
      </c>
      <c r="AF255" t="str">
        <f t="shared" si="25"/>
        <v/>
      </c>
      <c r="AG255" t="str">
        <f t="shared" si="26"/>
        <v/>
      </c>
      <c r="AH255" s="65" t="str">
        <f t="array" ref="AH255">if(sum(H255:AG255)=0,,sum(sort(TRANSPOSE(H255:AG255),1,false)))</f>
        <v/>
      </c>
    </row>
    <row r="256" hidden="1">
      <c r="F256" s="4">
        <v>124.0</v>
      </c>
      <c r="H256" t="str">
        <f t="shared" si="1"/>
        <v/>
      </c>
      <c r="I256" t="str">
        <f t="shared" si="2"/>
        <v/>
      </c>
      <c r="J256" t="str">
        <f t="shared" si="3"/>
        <v/>
      </c>
      <c r="K256" t="str">
        <f t="shared" si="4"/>
        <v/>
      </c>
      <c r="L256" t="str">
        <f t="shared" si="5"/>
        <v/>
      </c>
      <c r="M256" t="str">
        <f t="shared" si="6"/>
        <v/>
      </c>
      <c r="N256" t="str">
        <f t="shared" si="7"/>
        <v/>
      </c>
      <c r="O256" t="str">
        <f t="shared" si="8"/>
        <v/>
      </c>
      <c r="P256" t="str">
        <f t="shared" si="9"/>
        <v/>
      </c>
      <c r="Q256" t="str">
        <f t="shared" si="10"/>
        <v/>
      </c>
      <c r="R256" t="str">
        <f t="shared" si="11"/>
        <v/>
      </c>
      <c r="S256" t="str">
        <f t="shared" si="12"/>
        <v/>
      </c>
      <c r="T256" t="str">
        <f t="shared" si="13"/>
        <v/>
      </c>
      <c r="U256" t="str">
        <f t="shared" si="14"/>
        <v/>
      </c>
      <c r="V256" t="str">
        <f t="shared" si="15"/>
        <v/>
      </c>
      <c r="W256" t="str">
        <f t="shared" si="16"/>
        <v/>
      </c>
      <c r="X256" t="str">
        <f t="shared" si="17"/>
        <v/>
      </c>
      <c r="Y256" t="str">
        <f t="shared" si="18"/>
        <v/>
      </c>
      <c r="Z256" t="str">
        <f t="shared" si="19"/>
        <v/>
      </c>
      <c r="AA256" t="str">
        <f t="shared" si="20"/>
        <v/>
      </c>
      <c r="AB256" t="str">
        <f t="shared" si="21"/>
        <v/>
      </c>
      <c r="AC256" t="str">
        <f t="shared" si="22"/>
        <v/>
      </c>
      <c r="AD256" t="str">
        <f t="shared" si="23"/>
        <v/>
      </c>
      <c r="AE256" t="str">
        <f t="shared" si="24"/>
        <v/>
      </c>
      <c r="AF256" t="str">
        <f t="shared" si="25"/>
        <v/>
      </c>
      <c r="AG256" t="str">
        <f t="shared" si="26"/>
        <v/>
      </c>
      <c r="AH256" s="65" t="str">
        <f t="array" ref="AH256">if(sum(H256:AG256)=0,,sum(sort(TRANSPOSE(H256:AG256),1,false)))</f>
        <v/>
      </c>
    </row>
    <row r="257" hidden="1">
      <c r="F257" s="4">
        <v>125.0</v>
      </c>
      <c r="H257" t="str">
        <f t="shared" si="1"/>
        <v/>
      </c>
      <c r="I257" t="str">
        <f t="shared" si="2"/>
        <v/>
      </c>
      <c r="J257" t="str">
        <f t="shared" si="3"/>
        <v/>
      </c>
      <c r="K257" t="str">
        <f t="shared" si="4"/>
        <v/>
      </c>
      <c r="L257" t="str">
        <f t="shared" si="5"/>
        <v/>
      </c>
      <c r="M257" t="str">
        <f t="shared" si="6"/>
        <v/>
      </c>
      <c r="N257" t="str">
        <f t="shared" si="7"/>
        <v/>
      </c>
      <c r="O257" t="str">
        <f t="shared" si="8"/>
        <v/>
      </c>
      <c r="P257" t="str">
        <f t="shared" si="9"/>
        <v/>
      </c>
      <c r="Q257" t="str">
        <f t="shared" si="10"/>
        <v/>
      </c>
      <c r="R257" t="str">
        <f t="shared" si="11"/>
        <v/>
      </c>
      <c r="S257" t="str">
        <f t="shared" si="12"/>
        <v/>
      </c>
      <c r="T257" t="str">
        <f t="shared" si="13"/>
        <v/>
      </c>
      <c r="U257" t="str">
        <f t="shared" si="14"/>
        <v/>
      </c>
      <c r="V257" t="str">
        <f t="shared" si="15"/>
        <v/>
      </c>
      <c r="W257" t="str">
        <f t="shared" si="16"/>
        <v/>
      </c>
      <c r="X257" t="str">
        <f t="shared" si="17"/>
        <v/>
      </c>
      <c r="Y257" t="str">
        <f t="shared" si="18"/>
        <v/>
      </c>
      <c r="Z257" t="str">
        <f t="shared" si="19"/>
        <v/>
      </c>
      <c r="AA257" t="str">
        <f t="shared" si="20"/>
        <v/>
      </c>
      <c r="AB257" t="str">
        <f t="shared" si="21"/>
        <v/>
      </c>
      <c r="AC257" t="str">
        <f t="shared" si="22"/>
        <v/>
      </c>
      <c r="AD257" t="str">
        <f t="shared" si="23"/>
        <v/>
      </c>
      <c r="AE257" t="str">
        <f t="shared" si="24"/>
        <v/>
      </c>
      <c r="AF257" t="str">
        <f t="shared" si="25"/>
        <v/>
      </c>
      <c r="AG257" t="str">
        <f t="shared" si="26"/>
        <v/>
      </c>
      <c r="AH257" s="65" t="str">
        <f t="array" ref="AH257">if(sum(H257:AG257)=0,,sum(sort(TRANSPOSE(H257:AG257),1,false)))</f>
        <v/>
      </c>
    </row>
    <row r="258" hidden="1">
      <c r="F258" s="4">
        <v>126.0</v>
      </c>
      <c r="H258" t="str">
        <f t="shared" si="1"/>
        <v/>
      </c>
      <c r="I258" t="str">
        <f t="shared" si="2"/>
        <v/>
      </c>
      <c r="J258" t="str">
        <f t="shared" si="3"/>
        <v/>
      </c>
      <c r="K258" t="str">
        <f t="shared" si="4"/>
        <v/>
      </c>
      <c r="L258" t="str">
        <f t="shared" si="5"/>
        <v/>
      </c>
      <c r="M258" t="str">
        <f t="shared" si="6"/>
        <v/>
      </c>
      <c r="N258" t="str">
        <f t="shared" si="7"/>
        <v/>
      </c>
      <c r="O258" t="str">
        <f t="shared" si="8"/>
        <v/>
      </c>
      <c r="P258" t="str">
        <f t="shared" si="9"/>
        <v/>
      </c>
      <c r="Q258" t="str">
        <f t="shared" si="10"/>
        <v/>
      </c>
      <c r="R258" t="str">
        <f t="shared" si="11"/>
        <v/>
      </c>
      <c r="S258" t="str">
        <f t="shared" si="12"/>
        <v/>
      </c>
      <c r="T258" t="str">
        <f t="shared" si="13"/>
        <v/>
      </c>
      <c r="U258" t="str">
        <f t="shared" si="14"/>
        <v/>
      </c>
      <c r="V258" t="str">
        <f t="shared" si="15"/>
        <v/>
      </c>
      <c r="W258" t="str">
        <f t="shared" si="16"/>
        <v/>
      </c>
      <c r="X258" t="str">
        <f t="shared" si="17"/>
        <v/>
      </c>
      <c r="Y258" t="str">
        <f t="shared" si="18"/>
        <v/>
      </c>
      <c r="Z258" t="str">
        <f t="shared" si="19"/>
        <v/>
      </c>
      <c r="AA258" t="str">
        <f t="shared" si="20"/>
        <v/>
      </c>
      <c r="AB258" t="str">
        <f t="shared" si="21"/>
        <v/>
      </c>
      <c r="AC258" t="str">
        <f t="shared" si="22"/>
        <v/>
      </c>
      <c r="AD258" t="str">
        <f t="shared" si="23"/>
        <v/>
      </c>
      <c r="AE258" t="str">
        <f t="shared" si="24"/>
        <v/>
      </c>
      <c r="AF258" t="str">
        <f t="shared" si="25"/>
        <v/>
      </c>
      <c r="AG258" t="str">
        <f t="shared" si="26"/>
        <v/>
      </c>
      <c r="AH258" s="65" t="str">
        <f t="array" ref="AH258">if(sum(H258:AG258)=0,,sum(sort(TRANSPOSE(H258:AG258),1,false)))</f>
        <v/>
      </c>
    </row>
    <row r="259" hidden="1">
      <c r="F259" s="4">
        <v>127.0</v>
      </c>
      <c r="H259" t="str">
        <f t="shared" si="1"/>
        <v/>
      </c>
      <c r="I259" t="str">
        <f t="shared" si="2"/>
        <v/>
      </c>
      <c r="J259" t="str">
        <f t="shared" si="3"/>
        <v/>
      </c>
      <c r="K259" t="str">
        <f t="shared" si="4"/>
        <v/>
      </c>
      <c r="L259" t="str">
        <f t="shared" si="5"/>
        <v/>
      </c>
      <c r="M259" t="str">
        <f t="shared" si="6"/>
        <v/>
      </c>
      <c r="N259" t="str">
        <f t="shared" si="7"/>
        <v/>
      </c>
      <c r="O259" t="str">
        <f t="shared" si="8"/>
        <v/>
      </c>
      <c r="P259" t="str">
        <f t="shared" si="9"/>
        <v/>
      </c>
      <c r="Q259" t="str">
        <f t="shared" si="10"/>
        <v/>
      </c>
      <c r="R259" t="str">
        <f t="shared" si="11"/>
        <v/>
      </c>
      <c r="S259" t="str">
        <f t="shared" si="12"/>
        <v/>
      </c>
      <c r="T259" t="str">
        <f t="shared" si="13"/>
        <v/>
      </c>
      <c r="U259" t="str">
        <f t="shared" si="14"/>
        <v/>
      </c>
      <c r="V259" t="str">
        <f t="shared" si="15"/>
        <v/>
      </c>
      <c r="W259" t="str">
        <f t="shared" si="16"/>
        <v/>
      </c>
      <c r="X259" t="str">
        <f t="shared" si="17"/>
        <v/>
      </c>
      <c r="Y259" t="str">
        <f t="shared" si="18"/>
        <v/>
      </c>
      <c r="Z259" t="str">
        <f t="shared" si="19"/>
        <v/>
      </c>
      <c r="AA259" t="str">
        <f t="shared" si="20"/>
        <v/>
      </c>
      <c r="AB259" t="str">
        <f t="shared" si="21"/>
        <v/>
      </c>
      <c r="AC259" t="str">
        <f t="shared" si="22"/>
        <v/>
      </c>
      <c r="AD259" t="str">
        <f t="shared" si="23"/>
        <v/>
      </c>
      <c r="AE259" t="str">
        <f t="shared" si="24"/>
        <v/>
      </c>
      <c r="AF259" t="str">
        <f t="shared" si="25"/>
        <v/>
      </c>
      <c r="AG259" t="str">
        <f t="shared" si="26"/>
        <v/>
      </c>
      <c r="AH259" s="65" t="str">
        <f t="array" ref="AH259">if(sum(H259:AG259)=0,,sum(sort(TRANSPOSE(H259:AG259),1,false)))</f>
        <v/>
      </c>
    </row>
    <row r="260" hidden="1">
      <c r="F260" s="4">
        <v>128.0</v>
      </c>
      <c r="H260" t="str">
        <f t="shared" si="1"/>
        <v/>
      </c>
      <c r="I260" t="str">
        <f t="shared" si="2"/>
        <v/>
      </c>
      <c r="J260" t="str">
        <f t="shared" si="3"/>
        <v/>
      </c>
      <c r="K260" t="str">
        <f t="shared" si="4"/>
        <v/>
      </c>
      <c r="L260" t="str">
        <f t="shared" si="5"/>
        <v/>
      </c>
      <c r="M260" t="str">
        <f t="shared" si="6"/>
        <v/>
      </c>
      <c r="N260" t="str">
        <f t="shared" si="7"/>
        <v/>
      </c>
      <c r="O260" t="str">
        <f t="shared" si="8"/>
        <v/>
      </c>
      <c r="P260" t="str">
        <f t="shared" si="9"/>
        <v/>
      </c>
      <c r="Q260" t="str">
        <f t="shared" si="10"/>
        <v/>
      </c>
      <c r="R260" t="str">
        <f t="shared" si="11"/>
        <v/>
      </c>
      <c r="S260" t="str">
        <f t="shared" si="12"/>
        <v/>
      </c>
      <c r="T260" t="str">
        <f t="shared" si="13"/>
        <v/>
      </c>
      <c r="U260" t="str">
        <f t="shared" si="14"/>
        <v/>
      </c>
      <c r="V260" t="str">
        <f t="shared" si="15"/>
        <v/>
      </c>
      <c r="W260" t="str">
        <f t="shared" si="16"/>
        <v/>
      </c>
      <c r="X260" t="str">
        <f t="shared" si="17"/>
        <v/>
      </c>
      <c r="Y260" t="str">
        <f t="shared" si="18"/>
        <v/>
      </c>
      <c r="Z260" t="str">
        <f t="shared" si="19"/>
        <v/>
      </c>
      <c r="AA260" t="str">
        <f t="shared" si="20"/>
        <v/>
      </c>
      <c r="AB260" t="str">
        <f t="shared" si="21"/>
        <v/>
      </c>
      <c r="AC260" t="str">
        <f t="shared" si="22"/>
        <v/>
      </c>
      <c r="AD260" t="str">
        <f t="shared" si="23"/>
        <v/>
      </c>
      <c r="AE260" t="str">
        <f t="shared" si="24"/>
        <v/>
      </c>
      <c r="AF260" t="str">
        <f t="shared" si="25"/>
        <v/>
      </c>
      <c r="AG260" t="str">
        <f t="shared" si="26"/>
        <v/>
      </c>
      <c r="AH260" s="65" t="str">
        <f t="array" ref="AH260">if(sum(H260:AG260)=0,,sum(sort(TRANSPOSE(H260:AG260),1,false)))</f>
        <v/>
      </c>
    </row>
    <row r="261" hidden="1">
      <c r="F261" s="4">
        <v>129.0</v>
      </c>
      <c r="H261" t="str">
        <f t="shared" si="1"/>
        <v/>
      </c>
      <c r="I261" t="str">
        <f t="shared" si="2"/>
        <v/>
      </c>
      <c r="J261" t="str">
        <f t="shared" si="3"/>
        <v/>
      </c>
      <c r="K261" t="str">
        <f t="shared" si="4"/>
        <v/>
      </c>
      <c r="L261" t="str">
        <f t="shared" si="5"/>
        <v/>
      </c>
      <c r="M261" t="str">
        <f t="shared" si="6"/>
        <v/>
      </c>
      <c r="N261" t="str">
        <f t="shared" si="7"/>
        <v/>
      </c>
      <c r="O261" t="str">
        <f t="shared" si="8"/>
        <v/>
      </c>
      <c r="P261" t="str">
        <f t="shared" si="9"/>
        <v/>
      </c>
      <c r="Q261" t="str">
        <f t="shared" si="10"/>
        <v/>
      </c>
      <c r="R261" t="str">
        <f t="shared" si="11"/>
        <v/>
      </c>
      <c r="S261" t="str">
        <f t="shared" si="12"/>
        <v/>
      </c>
      <c r="T261" t="str">
        <f t="shared" si="13"/>
        <v/>
      </c>
      <c r="U261" t="str">
        <f t="shared" si="14"/>
        <v/>
      </c>
      <c r="V261" t="str">
        <f t="shared" si="15"/>
        <v/>
      </c>
      <c r="W261" t="str">
        <f t="shared" si="16"/>
        <v/>
      </c>
      <c r="X261" t="str">
        <f t="shared" si="17"/>
        <v/>
      </c>
      <c r="Y261" t="str">
        <f t="shared" si="18"/>
        <v/>
      </c>
      <c r="Z261" t="str">
        <f t="shared" si="19"/>
        <v/>
      </c>
      <c r="AA261" t="str">
        <f t="shared" si="20"/>
        <v/>
      </c>
      <c r="AB261" t="str">
        <f t="shared" si="21"/>
        <v/>
      </c>
      <c r="AC261" t="str">
        <f t="shared" si="22"/>
        <v/>
      </c>
      <c r="AD261" t="str">
        <f t="shared" si="23"/>
        <v/>
      </c>
      <c r="AE261" t="str">
        <f t="shared" si="24"/>
        <v/>
      </c>
      <c r="AF261" t="str">
        <f t="shared" si="25"/>
        <v/>
      </c>
      <c r="AG261" t="str">
        <f t="shared" si="26"/>
        <v/>
      </c>
      <c r="AH261" s="65" t="str">
        <f t="array" ref="AH261">if(sum(H261:AG261)=0,,sum(sort(TRANSPOSE(H261:AG261),1,false)))</f>
        <v/>
      </c>
    </row>
    <row r="262" hidden="1">
      <c r="F262" s="4">
        <v>130.0</v>
      </c>
      <c r="H262" t="str">
        <f t="shared" si="1"/>
        <v/>
      </c>
      <c r="I262" t="str">
        <f t="shared" si="2"/>
        <v/>
      </c>
      <c r="J262" t="str">
        <f t="shared" si="3"/>
        <v/>
      </c>
      <c r="K262" t="str">
        <f t="shared" si="4"/>
        <v/>
      </c>
      <c r="L262" t="str">
        <f t="shared" si="5"/>
        <v/>
      </c>
      <c r="M262" t="str">
        <f t="shared" si="6"/>
        <v/>
      </c>
      <c r="N262" t="str">
        <f t="shared" si="7"/>
        <v/>
      </c>
      <c r="O262" t="str">
        <f t="shared" si="8"/>
        <v/>
      </c>
      <c r="P262" t="str">
        <f t="shared" si="9"/>
        <v/>
      </c>
      <c r="Q262" t="str">
        <f t="shared" si="10"/>
        <v/>
      </c>
      <c r="R262" t="str">
        <f t="shared" si="11"/>
        <v/>
      </c>
      <c r="S262" t="str">
        <f t="shared" si="12"/>
        <v/>
      </c>
      <c r="T262" t="str">
        <f t="shared" si="13"/>
        <v/>
      </c>
      <c r="U262" t="str">
        <f t="shared" si="14"/>
        <v/>
      </c>
      <c r="V262" t="str">
        <f t="shared" si="15"/>
        <v/>
      </c>
      <c r="W262" t="str">
        <f t="shared" si="16"/>
        <v/>
      </c>
      <c r="X262" t="str">
        <f t="shared" si="17"/>
        <v/>
      </c>
      <c r="Y262" t="str">
        <f t="shared" si="18"/>
        <v/>
      </c>
      <c r="Z262" t="str">
        <f t="shared" si="19"/>
        <v/>
      </c>
      <c r="AA262" t="str">
        <f t="shared" si="20"/>
        <v/>
      </c>
      <c r="AB262" t="str">
        <f t="shared" si="21"/>
        <v/>
      </c>
      <c r="AC262" t="str">
        <f t="shared" si="22"/>
        <v/>
      </c>
      <c r="AD262" t="str">
        <f t="shared" si="23"/>
        <v/>
      </c>
      <c r="AE262" t="str">
        <f t="shared" si="24"/>
        <v/>
      </c>
      <c r="AF262" t="str">
        <f t="shared" si="25"/>
        <v/>
      </c>
      <c r="AG262" t="str">
        <f t="shared" si="26"/>
        <v/>
      </c>
      <c r="AH262" s="65" t="str">
        <f t="array" ref="AH262">if(sum(H262:AG262)=0,,sum(sort(TRANSPOSE(H262:AG262),1,false)))</f>
        <v/>
      </c>
    </row>
    <row r="263" hidden="1">
      <c r="F263" s="4">
        <v>131.0</v>
      </c>
      <c r="H263" t="str">
        <f t="shared" si="1"/>
        <v/>
      </c>
      <c r="I263" t="str">
        <f t="shared" si="2"/>
        <v/>
      </c>
      <c r="J263" t="str">
        <f t="shared" si="3"/>
        <v/>
      </c>
      <c r="K263" t="str">
        <f t="shared" si="4"/>
        <v/>
      </c>
      <c r="L263" t="str">
        <f t="shared" si="5"/>
        <v/>
      </c>
      <c r="M263" t="str">
        <f t="shared" si="6"/>
        <v/>
      </c>
      <c r="N263" t="str">
        <f t="shared" si="7"/>
        <v/>
      </c>
      <c r="O263" t="str">
        <f t="shared" si="8"/>
        <v/>
      </c>
      <c r="P263" t="str">
        <f t="shared" si="9"/>
        <v/>
      </c>
      <c r="Q263" t="str">
        <f t="shared" si="10"/>
        <v/>
      </c>
      <c r="R263" t="str">
        <f t="shared" si="11"/>
        <v/>
      </c>
      <c r="S263" t="str">
        <f t="shared" si="12"/>
        <v/>
      </c>
      <c r="T263" t="str">
        <f t="shared" si="13"/>
        <v/>
      </c>
      <c r="U263" t="str">
        <f t="shared" si="14"/>
        <v/>
      </c>
      <c r="V263" t="str">
        <f t="shared" si="15"/>
        <v/>
      </c>
      <c r="W263" t="str">
        <f t="shared" si="16"/>
        <v/>
      </c>
      <c r="X263" t="str">
        <f t="shared" si="17"/>
        <v/>
      </c>
      <c r="Y263" t="str">
        <f t="shared" si="18"/>
        <v/>
      </c>
      <c r="Z263" t="str">
        <f t="shared" si="19"/>
        <v/>
      </c>
      <c r="AA263" t="str">
        <f t="shared" si="20"/>
        <v/>
      </c>
      <c r="AB263" t="str">
        <f t="shared" si="21"/>
        <v/>
      </c>
      <c r="AC263" t="str">
        <f t="shared" si="22"/>
        <v/>
      </c>
      <c r="AD263" t="str">
        <f t="shared" si="23"/>
        <v/>
      </c>
      <c r="AE263" t="str">
        <f t="shared" si="24"/>
        <v/>
      </c>
      <c r="AF263" t="str">
        <f t="shared" si="25"/>
        <v/>
      </c>
      <c r="AG263" t="str">
        <f t="shared" si="26"/>
        <v/>
      </c>
      <c r="AH263" s="65" t="str">
        <f t="array" ref="AH263">if(sum(H263:AG263)=0,,sum(sort(TRANSPOSE(H263:AG263),1,false)))</f>
        <v/>
      </c>
    </row>
    <row r="264" hidden="1">
      <c r="F264" s="4">
        <v>132.0</v>
      </c>
      <c r="H264" t="str">
        <f t="shared" si="1"/>
        <v/>
      </c>
      <c r="I264" t="str">
        <f t="shared" si="2"/>
        <v/>
      </c>
      <c r="J264" t="str">
        <f t="shared" si="3"/>
        <v/>
      </c>
      <c r="K264" t="str">
        <f t="shared" si="4"/>
        <v/>
      </c>
      <c r="L264" t="str">
        <f t="shared" si="5"/>
        <v/>
      </c>
      <c r="M264" t="str">
        <f t="shared" si="6"/>
        <v/>
      </c>
      <c r="N264" t="str">
        <f t="shared" si="7"/>
        <v/>
      </c>
      <c r="O264" t="str">
        <f t="shared" si="8"/>
        <v/>
      </c>
      <c r="P264" t="str">
        <f t="shared" si="9"/>
        <v/>
      </c>
      <c r="Q264" t="str">
        <f t="shared" si="10"/>
        <v/>
      </c>
      <c r="R264" t="str">
        <f t="shared" si="11"/>
        <v/>
      </c>
      <c r="S264" t="str">
        <f t="shared" si="12"/>
        <v/>
      </c>
      <c r="T264" t="str">
        <f t="shared" si="13"/>
        <v/>
      </c>
      <c r="U264" t="str">
        <f t="shared" si="14"/>
        <v/>
      </c>
      <c r="V264" t="str">
        <f t="shared" si="15"/>
        <v/>
      </c>
      <c r="W264" t="str">
        <f t="shared" si="16"/>
        <v/>
      </c>
      <c r="X264" t="str">
        <f t="shared" si="17"/>
        <v/>
      </c>
      <c r="Y264" t="str">
        <f t="shared" si="18"/>
        <v/>
      </c>
      <c r="Z264" t="str">
        <f t="shared" si="19"/>
        <v/>
      </c>
      <c r="AA264" t="str">
        <f t="shared" si="20"/>
        <v/>
      </c>
      <c r="AB264" t="str">
        <f t="shared" si="21"/>
        <v/>
      </c>
      <c r="AC264" t="str">
        <f t="shared" si="22"/>
        <v/>
      </c>
      <c r="AD264" t="str">
        <f t="shared" si="23"/>
        <v/>
      </c>
      <c r="AE264" t="str">
        <f t="shared" si="24"/>
        <v/>
      </c>
      <c r="AF264" t="str">
        <f t="shared" si="25"/>
        <v/>
      </c>
      <c r="AG264" t="str">
        <f t="shared" si="26"/>
        <v/>
      </c>
      <c r="AH264" s="65" t="str">
        <f t="array" ref="AH264">if(sum(H264:AG264)=0,,sum(sort(TRANSPOSE(H264:AG264),1,false)))</f>
        <v/>
      </c>
    </row>
    <row r="265" hidden="1">
      <c r="F265" s="4">
        <v>133.0</v>
      </c>
      <c r="H265" t="str">
        <f t="shared" si="1"/>
        <v/>
      </c>
      <c r="I265" t="str">
        <f t="shared" si="2"/>
        <v/>
      </c>
      <c r="J265" t="str">
        <f t="shared" si="3"/>
        <v/>
      </c>
      <c r="K265" t="str">
        <f t="shared" si="4"/>
        <v/>
      </c>
      <c r="L265" t="str">
        <f t="shared" si="5"/>
        <v/>
      </c>
      <c r="M265" t="str">
        <f t="shared" si="6"/>
        <v/>
      </c>
      <c r="N265" t="str">
        <f t="shared" si="7"/>
        <v/>
      </c>
      <c r="O265" t="str">
        <f t="shared" si="8"/>
        <v/>
      </c>
      <c r="P265" t="str">
        <f t="shared" si="9"/>
        <v/>
      </c>
      <c r="Q265" t="str">
        <f t="shared" si="10"/>
        <v/>
      </c>
      <c r="R265" t="str">
        <f t="shared" si="11"/>
        <v/>
      </c>
      <c r="S265" t="str">
        <f t="shared" si="12"/>
        <v/>
      </c>
      <c r="T265" t="str">
        <f t="shared" si="13"/>
        <v/>
      </c>
      <c r="U265" t="str">
        <f t="shared" si="14"/>
        <v/>
      </c>
      <c r="V265" t="str">
        <f t="shared" si="15"/>
        <v/>
      </c>
      <c r="W265" t="str">
        <f t="shared" si="16"/>
        <v/>
      </c>
      <c r="X265" t="str">
        <f t="shared" si="17"/>
        <v/>
      </c>
      <c r="Y265" t="str">
        <f t="shared" si="18"/>
        <v/>
      </c>
      <c r="Z265" t="str">
        <f t="shared" si="19"/>
        <v/>
      </c>
      <c r="AA265" t="str">
        <f t="shared" si="20"/>
        <v/>
      </c>
      <c r="AB265" t="str">
        <f t="shared" si="21"/>
        <v/>
      </c>
      <c r="AC265" t="str">
        <f t="shared" si="22"/>
        <v/>
      </c>
      <c r="AD265" t="str">
        <f t="shared" si="23"/>
        <v/>
      </c>
      <c r="AE265" t="str">
        <f t="shared" si="24"/>
        <v/>
      </c>
      <c r="AF265" t="str">
        <f t="shared" si="25"/>
        <v/>
      </c>
      <c r="AG265" t="str">
        <f t="shared" si="26"/>
        <v/>
      </c>
      <c r="AH265" s="65" t="str">
        <f t="array" ref="AH265">if(sum(H265:AG265)=0,,sum(sort(TRANSPOSE(H265:AG265),1,false)))</f>
        <v/>
      </c>
    </row>
    <row r="266" hidden="1">
      <c r="F266" s="4">
        <v>134.0</v>
      </c>
      <c r="H266" t="str">
        <f t="shared" si="1"/>
        <v/>
      </c>
      <c r="I266" t="str">
        <f t="shared" si="2"/>
        <v/>
      </c>
      <c r="J266" t="str">
        <f t="shared" si="3"/>
        <v/>
      </c>
      <c r="K266" t="str">
        <f t="shared" si="4"/>
        <v/>
      </c>
      <c r="L266" t="str">
        <f t="shared" si="5"/>
        <v/>
      </c>
      <c r="M266" t="str">
        <f t="shared" si="6"/>
        <v/>
      </c>
      <c r="N266" t="str">
        <f t="shared" si="7"/>
        <v/>
      </c>
      <c r="O266" t="str">
        <f t="shared" si="8"/>
        <v/>
      </c>
      <c r="P266" t="str">
        <f t="shared" si="9"/>
        <v/>
      </c>
      <c r="Q266" t="str">
        <f t="shared" si="10"/>
        <v/>
      </c>
      <c r="R266" t="str">
        <f t="shared" si="11"/>
        <v/>
      </c>
      <c r="S266" t="str">
        <f t="shared" si="12"/>
        <v/>
      </c>
      <c r="T266" t="str">
        <f t="shared" si="13"/>
        <v/>
      </c>
      <c r="U266" t="str">
        <f t="shared" si="14"/>
        <v/>
      </c>
      <c r="V266" t="str">
        <f t="shared" si="15"/>
        <v/>
      </c>
      <c r="W266" t="str">
        <f t="shared" si="16"/>
        <v/>
      </c>
      <c r="X266" t="str">
        <f t="shared" si="17"/>
        <v/>
      </c>
      <c r="Y266" t="str">
        <f t="shared" si="18"/>
        <v/>
      </c>
      <c r="Z266" t="str">
        <f t="shared" si="19"/>
        <v/>
      </c>
      <c r="AA266" t="str">
        <f t="shared" si="20"/>
        <v/>
      </c>
      <c r="AB266" t="str">
        <f t="shared" si="21"/>
        <v/>
      </c>
      <c r="AC266" t="str">
        <f t="shared" si="22"/>
        <v/>
      </c>
      <c r="AD266" t="str">
        <f t="shared" si="23"/>
        <v/>
      </c>
      <c r="AE266" t="str">
        <f t="shared" si="24"/>
        <v/>
      </c>
      <c r="AF266" t="str">
        <f t="shared" si="25"/>
        <v/>
      </c>
      <c r="AG266" t="str">
        <f t="shared" si="26"/>
        <v/>
      </c>
      <c r="AH266" s="65" t="str">
        <f t="array" ref="AH266">if(sum(H266:AG266)=0,,sum(sort(TRANSPOSE(H266:AG266),1,false)))</f>
        <v/>
      </c>
    </row>
    <row r="267" hidden="1">
      <c r="F267" s="4">
        <v>135.0</v>
      </c>
      <c r="H267" t="str">
        <f t="shared" si="1"/>
        <v/>
      </c>
      <c r="I267" t="str">
        <f t="shared" si="2"/>
        <v/>
      </c>
      <c r="J267" t="str">
        <f t="shared" si="3"/>
        <v/>
      </c>
      <c r="K267" t="str">
        <f t="shared" si="4"/>
        <v/>
      </c>
      <c r="L267" t="str">
        <f t="shared" si="5"/>
        <v/>
      </c>
      <c r="M267" t="str">
        <f t="shared" si="6"/>
        <v/>
      </c>
      <c r="N267" t="str">
        <f t="shared" si="7"/>
        <v/>
      </c>
      <c r="O267" t="str">
        <f t="shared" si="8"/>
        <v/>
      </c>
      <c r="P267" t="str">
        <f t="shared" si="9"/>
        <v/>
      </c>
      <c r="Q267" t="str">
        <f t="shared" si="10"/>
        <v/>
      </c>
      <c r="R267" t="str">
        <f t="shared" si="11"/>
        <v/>
      </c>
      <c r="S267" t="str">
        <f t="shared" si="12"/>
        <v/>
      </c>
      <c r="T267" t="str">
        <f t="shared" si="13"/>
        <v/>
      </c>
      <c r="U267" t="str">
        <f t="shared" si="14"/>
        <v/>
      </c>
      <c r="V267" t="str">
        <f t="shared" si="15"/>
        <v/>
      </c>
      <c r="W267" t="str">
        <f t="shared" si="16"/>
        <v/>
      </c>
      <c r="X267" t="str">
        <f t="shared" si="17"/>
        <v/>
      </c>
      <c r="Y267" t="str">
        <f t="shared" si="18"/>
        <v/>
      </c>
      <c r="Z267" t="str">
        <f t="shared" si="19"/>
        <v/>
      </c>
      <c r="AA267" t="str">
        <f t="shared" si="20"/>
        <v/>
      </c>
      <c r="AB267" t="str">
        <f t="shared" si="21"/>
        <v/>
      </c>
      <c r="AC267" t="str">
        <f t="shared" si="22"/>
        <v/>
      </c>
      <c r="AD267" t="str">
        <f t="shared" si="23"/>
        <v/>
      </c>
      <c r="AE267" t="str">
        <f t="shared" si="24"/>
        <v/>
      </c>
      <c r="AF267" t="str">
        <f t="shared" si="25"/>
        <v/>
      </c>
      <c r="AG267" t="str">
        <f t="shared" si="26"/>
        <v/>
      </c>
      <c r="AH267" s="65" t="str">
        <f t="array" ref="AH267">if(sum(H267:AG267)=0,,sum(sort(TRANSPOSE(H267:AG267),1,false)))</f>
        <v/>
      </c>
    </row>
    <row r="268" hidden="1">
      <c r="F268" s="4">
        <v>136.0</v>
      </c>
      <c r="H268" t="str">
        <f t="shared" si="1"/>
        <v/>
      </c>
      <c r="I268" t="str">
        <f t="shared" si="2"/>
        <v/>
      </c>
      <c r="J268" t="str">
        <f t="shared" si="3"/>
        <v/>
      </c>
      <c r="K268" t="str">
        <f t="shared" si="4"/>
        <v/>
      </c>
      <c r="L268" t="str">
        <f t="shared" si="5"/>
        <v/>
      </c>
      <c r="M268" t="str">
        <f t="shared" si="6"/>
        <v/>
      </c>
      <c r="N268" t="str">
        <f t="shared" si="7"/>
        <v/>
      </c>
      <c r="O268" t="str">
        <f t="shared" si="8"/>
        <v/>
      </c>
      <c r="P268" t="str">
        <f t="shared" si="9"/>
        <v/>
      </c>
      <c r="Q268" t="str">
        <f t="shared" si="10"/>
        <v/>
      </c>
      <c r="R268" t="str">
        <f t="shared" si="11"/>
        <v/>
      </c>
      <c r="S268" t="str">
        <f t="shared" si="12"/>
        <v/>
      </c>
      <c r="T268" t="str">
        <f t="shared" si="13"/>
        <v/>
      </c>
      <c r="U268" t="str">
        <f t="shared" si="14"/>
        <v/>
      </c>
      <c r="V268" t="str">
        <f t="shared" si="15"/>
        <v/>
      </c>
      <c r="W268" t="str">
        <f t="shared" si="16"/>
        <v/>
      </c>
      <c r="X268" t="str">
        <f t="shared" si="17"/>
        <v/>
      </c>
      <c r="Y268" t="str">
        <f t="shared" si="18"/>
        <v/>
      </c>
      <c r="Z268" t="str">
        <f t="shared" si="19"/>
        <v/>
      </c>
      <c r="AA268" t="str">
        <f t="shared" si="20"/>
        <v/>
      </c>
      <c r="AB268" t="str">
        <f t="shared" si="21"/>
        <v/>
      </c>
      <c r="AC268" t="str">
        <f t="shared" si="22"/>
        <v/>
      </c>
      <c r="AD268" t="str">
        <f t="shared" si="23"/>
        <v/>
      </c>
      <c r="AE268" t="str">
        <f t="shared" si="24"/>
        <v/>
      </c>
      <c r="AF268" t="str">
        <f t="shared" si="25"/>
        <v/>
      </c>
      <c r="AG268" t="str">
        <f t="shared" si="26"/>
        <v/>
      </c>
      <c r="AH268" s="65" t="str">
        <f t="array" ref="AH268">if(sum(H268:AG268)=0,,sum(sort(TRANSPOSE(H268:AG268),1,false)))</f>
        <v/>
      </c>
    </row>
    <row r="269" hidden="1">
      <c r="F269" s="4">
        <v>137.0</v>
      </c>
      <c r="H269" t="str">
        <f t="shared" si="1"/>
        <v/>
      </c>
      <c r="I269" t="str">
        <f t="shared" si="2"/>
        <v/>
      </c>
      <c r="J269" t="str">
        <f t="shared" si="3"/>
        <v/>
      </c>
      <c r="K269" t="str">
        <f t="shared" si="4"/>
        <v/>
      </c>
      <c r="L269" t="str">
        <f t="shared" si="5"/>
        <v/>
      </c>
      <c r="M269" t="str">
        <f t="shared" si="6"/>
        <v/>
      </c>
      <c r="N269" t="str">
        <f t="shared" si="7"/>
        <v/>
      </c>
      <c r="O269" t="str">
        <f t="shared" si="8"/>
        <v/>
      </c>
      <c r="P269" t="str">
        <f t="shared" si="9"/>
        <v/>
      </c>
      <c r="Q269" t="str">
        <f t="shared" si="10"/>
        <v/>
      </c>
      <c r="R269" t="str">
        <f t="shared" si="11"/>
        <v/>
      </c>
      <c r="S269" t="str">
        <f t="shared" si="12"/>
        <v/>
      </c>
      <c r="T269" t="str">
        <f t="shared" si="13"/>
        <v/>
      </c>
      <c r="U269" t="str">
        <f t="shared" si="14"/>
        <v/>
      </c>
      <c r="V269" t="str">
        <f t="shared" si="15"/>
        <v/>
      </c>
      <c r="W269" t="str">
        <f t="shared" si="16"/>
        <v/>
      </c>
      <c r="X269" t="str">
        <f t="shared" si="17"/>
        <v/>
      </c>
      <c r="Y269" t="str">
        <f t="shared" si="18"/>
        <v/>
      </c>
      <c r="Z269" t="str">
        <f t="shared" si="19"/>
        <v/>
      </c>
      <c r="AA269" t="str">
        <f t="shared" si="20"/>
        <v/>
      </c>
      <c r="AB269" t="str">
        <f t="shared" si="21"/>
        <v/>
      </c>
      <c r="AC269" t="str">
        <f t="shared" si="22"/>
        <v/>
      </c>
      <c r="AD269" t="str">
        <f t="shared" si="23"/>
        <v/>
      </c>
      <c r="AE269" t="str">
        <f t="shared" si="24"/>
        <v/>
      </c>
      <c r="AF269" t="str">
        <f t="shared" si="25"/>
        <v/>
      </c>
      <c r="AG269" t="str">
        <f t="shared" si="26"/>
        <v/>
      </c>
      <c r="AH269" s="65" t="str">
        <f t="array" ref="AH269">if(sum(H269:AG269)=0,,sum(sort(TRANSPOSE(H269:AG269),1,false)))</f>
        <v/>
      </c>
    </row>
    <row r="270" hidden="1">
      <c r="F270" s="4">
        <v>138.0</v>
      </c>
      <c r="H270" t="str">
        <f t="shared" si="1"/>
        <v/>
      </c>
      <c r="I270" t="str">
        <f t="shared" si="2"/>
        <v/>
      </c>
      <c r="J270" t="str">
        <f t="shared" si="3"/>
        <v/>
      </c>
      <c r="K270" t="str">
        <f t="shared" si="4"/>
        <v/>
      </c>
      <c r="L270" t="str">
        <f t="shared" si="5"/>
        <v/>
      </c>
      <c r="M270" t="str">
        <f t="shared" si="6"/>
        <v/>
      </c>
      <c r="N270" t="str">
        <f t="shared" si="7"/>
        <v/>
      </c>
      <c r="O270" t="str">
        <f t="shared" si="8"/>
        <v/>
      </c>
      <c r="P270" t="str">
        <f t="shared" si="9"/>
        <v/>
      </c>
      <c r="Q270" t="str">
        <f t="shared" si="10"/>
        <v/>
      </c>
      <c r="R270" t="str">
        <f t="shared" si="11"/>
        <v/>
      </c>
      <c r="S270" t="str">
        <f t="shared" si="12"/>
        <v/>
      </c>
      <c r="T270" t="str">
        <f t="shared" si="13"/>
        <v/>
      </c>
      <c r="U270" t="str">
        <f t="shared" si="14"/>
        <v/>
      </c>
      <c r="V270" t="str">
        <f t="shared" si="15"/>
        <v/>
      </c>
      <c r="W270" t="str">
        <f t="shared" si="16"/>
        <v/>
      </c>
      <c r="X270" t="str">
        <f t="shared" si="17"/>
        <v/>
      </c>
      <c r="Y270" t="str">
        <f t="shared" si="18"/>
        <v/>
      </c>
      <c r="Z270" t="str">
        <f t="shared" si="19"/>
        <v/>
      </c>
      <c r="AA270" t="str">
        <f t="shared" si="20"/>
        <v/>
      </c>
      <c r="AB270" t="str">
        <f t="shared" si="21"/>
        <v/>
      </c>
      <c r="AC270" t="str">
        <f t="shared" si="22"/>
        <v/>
      </c>
      <c r="AD270" t="str">
        <f t="shared" si="23"/>
        <v/>
      </c>
      <c r="AE270" t="str">
        <f t="shared" si="24"/>
        <v/>
      </c>
      <c r="AF270" t="str">
        <f t="shared" si="25"/>
        <v/>
      </c>
      <c r="AG270" t="str">
        <f t="shared" si="26"/>
        <v/>
      </c>
      <c r="AH270" s="65" t="str">
        <f t="array" ref="AH270">if(sum(H270:AG270)=0,,sum(sort(TRANSPOSE(H270:AG270),1,false)))</f>
        <v/>
      </c>
    </row>
  </sheetData>
  <mergeCells count="27">
    <mergeCell ref="R132:S132"/>
    <mergeCell ref="H132:I132"/>
    <mergeCell ref="J132:K132"/>
    <mergeCell ref="L132:M132"/>
    <mergeCell ref="N132:O132"/>
    <mergeCell ref="P132:Q132"/>
    <mergeCell ref="T132:U132"/>
    <mergeCell ref="V132:W132"/>
    <mergeCell ref="AB132:AC132"/>
    <mergeCell ref="AF132:AG132"/>
    <mergeCell ref="AD132:AE132"/>
    <mergeCell ref="X132:Y132"/>
    <mergeCell ref="Z132:AA132"/>
    <mergeCell ref="J2:K2"/>
    <mergeCell ref="L2:M2"/>
    <mergeCell ref="AD2:AE2"/>
    <mergeCell ref="AF2:AG2"/>
    <mergeCell ref="P2:Q2"/>
    <mergeCell ref="R2:S2"/>
    <mergeCell ref="Z2:AA2"/>
    <mergeCell ref="AB2:AC2"/>
    <mergeCell ref="N2:O2"/>
    <mergeCell ref="H2:I2"/>
    <mergeCell ref="V2:W2"/>
    <mergeCell ref="X2:Y2"/>
    <mergeCell ref="G1:AH1"/>
    <mergeCell ref="T2:U2"/>
  </mergeCells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hidden="1" min="1" max="1" width="4.86"/>
    <col customWidth="1" hidden="1" min="2" max="2" width="7.71"/>
    <col hidden="1" min="3" max="6" width="14.43"/>
    <col customWidth="1" min="7" max="7" width="17.14"/>
    <col customWidth="1" min="8" max="33" width="4.57"/>
    <col customWidth="1" min="34" max="34" width="7.29"/>
  </cols>
  <sheetData>
    <row r="1">
      <c r="A1" s="4">
        <v>1.0</v>
      </c>
      <c r="B1" s="4">
        <v>114.0</v>
      </c>
      <c r="C1" t="str">
        <f>'Mens JV Results'!F6</f>
        <v/>
      </c>
      <c r="D1">
        <f>'Mens JV Results'!C6</f>
        <v>12</v>
      </c>
      <c r="G1" s="100" t="s">
        <v>538</v>
      </c>
    </row>
    <row r="2">
      <c r="A2" s="4">
        <v>2.0</v>
      </c>
      <c r="B2" s="4">
        <v>114.0</v>
      </c>
      <c r="C2" t="str">
        <f>'Mens JV Results'!F7</f>
        <v/>
      </c>
      <c r="D2">
        <f>'Mens JV Results'!C7</f>
        <v>9</v>
      </c>
      <c r="G2" s="101"/>
      <c r="H2" s="102">
        <v>114.0</v>
      </c>
      <c r="I2" s="103"/>
      <c r="J2" s="102">
        <v>123.0</v>
      </c>
      <c r="K2" s="103"/>
      <c r="L2" s="102">
        <v>132.0</v>
      </c>
      <c r="M2" s="103"/>
      <c r="N2" s="102">
        <v>145.0</v>
      </c>
      <c r="O2" s="103"/>
      <c r="P2" s="102">
        <v>155.0</v>
      </c>
      <c r="Q2" s="103"/>
      <c r="R2" s="102">
        <v>165.0</v>
      </c>
      <c r="S2" s="103"/>
      <c r="T2" s="102">
        <v>181.0</v>
      </c>
      <c r="U2" s="103"/>
      <c r="V2" s="102">
        <v>194.0</v>
      </c>
      <c r="W2" s="103"/>
      <c r="X2" s="102">
        <v>207.0</v>
      </c>
      <c r="Y2" s="103"/>
      <c r="Z2" s="102">
        <v>220.0</v>
      </c>
      <c r="AA2" s="103"/>
      <c r="AB2" s="102">
        <v>242.0</v>
      </c>
      <c r="AC2" s="103"/>
      <c r="AD2" s="102">
        <v>275.0</v>
      </c>
      <c r="AE2" s="103"/>
      <c r="AF2" s="102" t="s">
        <v>130</v>
      </c>
      <c r="AG2" s="103"/>
      <c r="AH2" s="104" t="s">
        <v>118</v>
      </c>
    </row>
    <row r="3">
      <c r="A3" s="4">
        <v>3.0</v>
      </c>
      <c r="B3" s="4">
        <v>114.0</v>
      </c>
      <c r="C3" t="str">
        <f>'Mens JV Results'!F8</f>
        <v/>
      </c>
      <c r="D3">
        <f>'Mens JV Results'!C8</f>
        <v>8</v>
      </c>
      <c r="G3" s="105" t="str">
        <f t="array" ref="G3:AH131">sort(G133:AH261,AH133:AH261,false)</f>
        <v/>
      </c>
      <c r="H3" s="106"/>
      <c r="I3" s="107"/>
      <c r="J3" s="108"/>
      <c r="K3" s="107"/>
      <c r="L3" s="108"/>
      <c r="M3" s="107"/>
      <c r="N3" s="106"/>
      <c r="O3" s="109"/>
      <c r="P3" s="106"/>
      <c r="Q3" s="110"/>
      <c r="R3" s="106"/>
      <c r="S3" s="107"/>
      <c r="T3" s="106"/>
      <c r="U3" s="107"/>
      <c r="V3" s="108"/>
      <c r="W3" s="107"/>
      <c r="X3" s="106"/>
      <c r="Y3" s="107"/>
      <c r="Z3" s="108"/>
      <c r="AA3" s="109"/>
      <c r="AB3" s="108"/>
      <c r="AC3" s="107"/>
      <c r="AD3" s="108"/>
      <c r="AE3" s="107"/>
      <c r="AF3" s="106"/>
      <c r="AG3" s="107"/>
      <c r="AH3" s="111"/>
    </row>
    <row r="4">
      <c r="A4" s="4">
        <v>4.0</v>
      </c>
      <c r="B4" s="4">
        <v>114.0</v>
      </c>
      <c r="C4" t="str">
        <f>'Mens JV Results'!F9</f>
        <v/>
      </c>
      <c r="D4">
        <f>'Mens JV Results'!C9</f>
        <v>7</v>
      </c>
      <c r="G4" s="112"/>
      <c r="H4" s="113"/>
      <c r="I4" s="114"/>
      <c r="J4" s="113"/>
      <c r="K4" s="114"/>
      <c r="L4" s="115"/>
      <c r="M4" s="114"/>
      <c r="N4" s="115"/>
      <c r="O4" s="116"/>
      <c r="P4" s="113"/>
      <c r="Q4" s="114"/>
      <c r="R4" s="115"/>
      <c r="S4" s="114"/>
      <c r="T4" s="113"/>
      <c r="U4" s="114"/>
      <c r="V4" s="115"/>
      <c r="W4" s="114"/>
      <c r="X4" s="115"/>
      <c r="Y4" s="114"/>
      <c r="Z4" s="115"/>
      <c r="AA4" s="116"/>
      <c r="AB4" s="113"/>
      <c r="AC4" s="117"/>
      <c r="AD4" s="115"/>
      <c r="AE4" s="114"/>
      <c r="AF4" s="115"/>
      <c r="AG4" s="114"/>
      <c r="AH4" s="118"/>
    </row>
    <row r="5">
      <c r="A5" s="4">
        <v>5.0</v>
      </c>
      <c r="B5" s="4">
        <v>114.0</v>
      </c>
      <c r="C5" t="str">
        <f>'Mens JV Results'!F10</f>
        <v/>
      </c>
      <c r="D5">
        <f>'Mens JV Results'!C10</f>
        <v>6</v>
      </c>
      <c r="G5" s="119"/>
      <c r="H5" s="120"/>
      <c r="I5" s="121"/>
      <c r="J5" s="120"/>
      <c r="K5" s="121"/>
      <c r="L5" s="122"/>
      <c r="M5" s="121"/>
      <c r="N5" s="120"/>
      <c r="O5" s="123"/>
      <c r="P5" s="122"/>
      <c r="Q5" s="121"/>
      <c r="R5" s="122"/>
      <c r="S5" s="121"/>
      <c r="T5" s="122"/>
      <c r="U5" s="121"/>
      <c r="V5" s="120"/>
      <c r="W5" s="124"/>
      <c r="X5" s="122"/>
      <c r="Y5" s="121"/>
      <c r="Z5" s="122"/>
      <c r="AA5" s="123"/>
      <c r="AB5" s="122"/>
      <c r="AC5" s="121"/>
      <c r="AD5" s="122"/>
      <c r="AE5" s="121"/>
      <c r="AF5" s="122"/>
      <c r="AG5" s="121"/>
      <c r="AH5" s="125"/>
    </row>
    <row r="6">
      <c r="A6" s="4">
        <v>6.0</v>
      </c>
      <c r="B6" s="4">
        <v>114.0</v>
      </c>
      <c r="C6" t="str">
        <f>'Mens JV Results'!F11</f>
        <v/>
      </c>
      <c r="D6">
        <f>'Mens JV Results'!C11</f>
        <v>5</v>
      </c>
      <c r="G6" s="112"/>
      <c r="H6" s="113"/>
      <c r="I6" s="114"/>
      <c r="J6" s="115"/>
      <c r="K6" s="114"/>
      <c r="L6" s="115"/>
      <c r="M6" s="114"/>
      <c r="N6" s="113"/>
      <c r="O6" s="126"/>
      <c r="P6" s="115"/>
      <c r="Q6" s="114"/>
      <c r="R6" s="115"/>
      <c r="S6" s="114"/>
      <c r="T6" s="113"/>
      <c r="U6" s="114"/>
      <c r="V6" s="115"/>
      <c r="W6" s="114"/>
      <c r="X6" s="115"/>
      <c r="Y6" s="114"/>
      <c r="Z6" s="115"/>
      <c r="AA6" s="116"/>
      <c r="AB6" s="115"/>
      <c r="AC6" s="114"/>
      <c r="AD6" s="115"/>
      <c r="AE6" s="114"/>
      <c r="AF6" s="115"/>
      <c r="AG6" s="114"/>
      <c r="AH6" s="118"/>
    </row>
    <row r="7">
      <c r="A7" s="4">
        <v>7.0</v>
      </c>
      <c r="B7" s="4">
        <v>114.0</v>
      </c>
      <c r="C7" t="str">
        <f>'Mens JV Results'!F12</f>
        <v/>
      </c>
      <c r="D7">
        <f>'Mens JV Results'!C12</f>
        <v>4</v>
      </c>
      <c r="G7" s="119"/>
      <c r="H7" s="120"/>
      <c r="I7" s="121"/>
      <c r="J7" s="122"/>
      <c r="K7" s="121"/>
      <c r="L7" s="120"/>
      <c r="M7" s="121"/>
      <c r="N7" s="122"/>
      <c r="O7" s="123"/>
      <c r="P7" s="122"/>
      <c r="Q7" s="121"/>
      <c r="R7" s="122"/>
      <c r="S7" s="121"/>
      <c r="T7" s="122"/>
      <c r="U7" s="121"/>
      <c r="V7" s="122"/>
      <c r="W7" s="121"/>
      <c r="X7" s="122"/>
      <c r="Y7" s="121"/>
      <c r="Z7" s="120"/>
      <c r="AA7" s="123"/>
      <c r="AB7" s="120"/>
      <c r="AC7" s="121"/>
      <c r="AD7" s="122"/>
      <c r="AE7" s="121"/>
      <c r="AF7" s="122"/>
      <c r="AG7" s="121"/>
      <c r="AH7" s="125"/>
    </row>
    <row r="8">
      <c r="A8" s="4">
        <v>8.0</v>
      </c>
      <c r="B8" s="4">
        <v>114.0</v>
      </c>
      <c r="C8" t="str">
        <f>'Mens JV Results'!F13</f>
        <v/>
      </c>
      <c r="D8">
        <f>'Mens JV Results'!C13</f>
        <v>3</v>
      </c>
      <c r="G8" s="112"/>
      <c r="H8" s="113"/>
      <c r="I8" s="114"/>
      <c r="J8" s="115"/>
      <c r="K8" s="114"/>
      <c r="L8" s="115"/>
      <c r="M8" s="114"/>
      <c r="N8" s="113"/>
      <c r="O8" s="116"/>
      <c r="P8" s="115"/>
      <c r="Q8" s="114"/>
      <c r="R8" s="113"/>
      <c r="S8" s="114"/>
      <c r="T8" s="115"/>
      <c r="U8" s="114"/>
      <c r="V8" s="115"/>
      <c r="W8" s="114"/>
      <c r="X8" s="115"/>
      <c r="Y8" s="114"/>
      <c r="Z8" s="115"/>
      <c r="AA8" s="116"/>
      <c r="AB8" s="115"/>
      <c r="AC8" s="114"/>
      <c r="AD8" s="113"/>
      <c r="AE8" s="114"/>
      <c r="AF8" s="115"/>
      <c r="AG8" s="114"/>
      <c r="AH8" s="118"/>
    </row>
    <row r="9">
      <c r="A9" s="4">
        <v>9.0</v>
      </c>
      <c r="B9" s="4">
        <v>114.0</v>
      </c>
      <c r="C9" t="str">
        <f>'Mens JV Results'!F14</f>
        <v/>
      </c>
      <c r="D9">
        <f>'Mens JV Results'!C14</f>
        <v>2</v>
      </c>
      <c r="G9" s="119"/>
      <c r="H9" s="120"/>
      <c r="I9" s="121"/>
      <c r="J9" s="122"/>
      <c r="K9" s="121"/>
      <c r="L9" s="122"/>
      <c r="M9" s="121"/>
      <c r="N9" s="122"/>
      <c r="O9" s="123"/>
      <c r="P9" s="120"/>
      <c r="Q9" s="121"/>
      <c r="R9" s="122"/>
      <c r="S9" s="121"/>
      <c r="T9" s="120"/>
      <c r="U9" s="121"/>
      <c r="V9" s="122"/>
      <c r="W9" s="121"/>
      <c r="X9" s="120"/>
      <c r="Y9" s="121"/>
      <c r="Z9" s="122"/>
      <c r="AA9" s="123"/>
      <c r="AB9" s="122"/>
      <c r="AC9" s="121"/>
      <c r="AD9" s="122"/>
      <c r="AE9" s="121"/>
      <c r="AF9" s="122"/>
      <c r="AG9" s="121"/>
      <c r="AH9" s="125"/>
    </row>
    <row r="10">
      <c r="A10" s="4">
        <v>10.0</v>
      </c>
      <c r="B10" s="4">
        <v>114.0</v>
      </c>
      <c r="C10" t="str">
        <f>'Mens JV Results'!F15</f>
        <v/>
      </c>
      <c r="D10">
        <f>'Mens JV Results'!C15</f>
        <v>1</v>
      </c>
      <c r="G10" s="112"/>
      <c r="H10" s="113"/>
      <c r="I10" s="114"/>
      <c r="J10" s="115"/>
      <c r="K10" s="114"/>
      <c r="L10" s="115"/>
      <c r="M10" s="114"/>
      <c r="N10" s="115"/>
      <c r="O10" s="116"/>
      <c r="P10" s="115"/>
      <c r="Q10" s="114"/>
      <c r="R10" s="113"/>
      <c r="S10" s="114"/>
      <c r="T10" s="115"/>
      <c r="U10" s="114"/>
      <c r="V10" s="115"/>
      <c r="W10" s="114"/>
      <c r="X10" s="115"/>
      <c r="Y10" s="114"/>
      <c r="Z10" s="113"/>
      <c r="AA10" s="116"/>
      <c r="AB10" s="115"/>
      <c r="AC10" s="114"/>
      <c r="AD10" s="115"/>
      <c r="AE10" s="114"/>
      <c r="AF10" s="115"/>
      <c r="AG10" s="114"/>
      <c r="AH10" s="118"/>
    </row>
    <row r="11">
      <c r="A11" s="4">
        <v>1.0</v>
      </c>
      <c r="B11" s="4">
        <v>123.0</v>
      </c>
      <c r="C11" t="str">
        <f>'Mens JV Results'!F16</f>
        <v/>
      </c>
      <c r="D11">
        <f>'Mens JV Results'!C16</f>
        <v>12</v>
      </c>
      <c r="G11" s="119"/>
      <c r="H11" s="120"/>
      <c r="I11" s="121"/>
      <c r="J11" s="122"/>
      <c r="K11" s="121"/>
      <c r="L11" s="122"/>
      <c r="M11" s="121"/>
      <c r="N11" s="122"/>
      <c r="O11" s="123"/>
      <c r="P11" s="122"/>
      <c r="Q11" s="121"/>
      <c r="R11" s="122"/>
      <c r="S11" s="121"/>
      <c r="T11" s="122"/>
      <c r="U11" s="121"/>
      <c r="V11" s="122"/>
      <c r="W11" s="121"/>
      <c r="X11" s="122"/>
      <c r="Y11" s="121"/>
      <c r="Z11" s="122"/>
      <c r="AA11" s="123"/>
      <c r="AB11" s="120"/>
      <c r="AC11" s="121"/>
      <c r="AD11" s="122"/>
      <c r="AE11" s="121"/>
      <c r="AF11" s="122"/>
      <c r="AG11" s="121"/>
      <c r="AH11" s="125"/>
    </row>
    <row r="12">
      <c r="A12" s="4">
        <v>2.0</v>
      </c>
      <c r="B12" s="4">
        <v>123.0</v>
      </c>
      <c r="C12" t="str">
        <f>'Mens JV Results'!F17</f>
        <v/>
      </c>
      <c r="D12">
        <f>'Mens JV Results'!C17</f>
        <v>9</v>
      </c>
      <c r="G12" s="112"/>
      <c r="H12" s="113"/>
      <c r="I12" s="114"/>
      <c r="J12" s="115"/>
      <c r="K12" s="114"/>
      <c r="L12" s="115"/>
      <c r="M12" s="114"/>
      <c r="N12" s="115"/>
      <c r="O12" s="116"/>
      <c r="P12" s="115"/>
      <c r="Q12" s="114"/>
      <c r="R12" s="115"/>
      <c r="S12" s="114"/>
      <c r="T12" s="115"/>
      <c r="U12" s="114"/>
      <c r="V12" s="115"/>
      <c r="W12" s="114"/>
      <c r="X12" s="115"/>
      <c r="Y12" s="114"/>
      <c r="Z12" s="113"/>
      <c r="AA12" s="116"/>
      <c r="AB12" s="115"/>
      <c r="AC12" s="114"/>
      <c r="AD12" s="115"/>
      <c r="AE12" s="114"/>
      <c r="AF12" s="115"/>
      <c r="AG12" s="114"/>
      <c r="AH12" s="118"/>
    </row>
    <row r="13">
      <c r="A13" s="4">
        <v>3.0</v>
      </c>
      <c r="B13" s="4">
        <v>123.0</v>
      </c>
      <c r="C13" t="str">
        <f>'Mens JV Results'!F18</f>
        <v/>
      </c>
      <c r="D13">
        <f>'Mens JV Results'!C18</f>
        <v>8</v>
      </c>
      <c r="G13" s="119"/>
      <c r="H13" s="120"/>
      <c r="I13" s="123"/>
      <c r="J13" s="122"/>
      <c r="K13" s="123"/>
      <c r="L13" s="122"/>
      <c r="M13" s="123"/>
      <c r="N13" s="122"/>
      <c r="O13" s="123"/>
      <c r="P13" s="122"/>
      <c r="Q13" s="123"/>
      <c r="R13" s="122"/>
      <c r="S13" s="123"/>
      <c r="T13" s="122"/>
      <c r="U13" s="123"/>
      <c r="V13" s="122"/>
      <c r="W13" s="123"/>
      <c r="X13" s="122"/>
      <c r="Y13" s="123"/>
      <c r="Z13" s="122"/>
      <c r="AA13" s="123"/>
      <c r="AB13" s="122"/>
      <c r="AC13" s="123"/>
      <c r="AD13" s="122"/>
      <c r="AE13" s="123"/>
      <c r="AF13" s="122"/>
      <c r="AG13" s="123"/>
      <c r="AH13" s="125"/>
    </row>
    <row r="14">
      <c r="A14" s="4">
        <v>4.0</v>
      </c>
      <c r="B14" s="4">
        <v>123.0</v>
      </c>
      <c r="C14" t="str">
        <f>'Mens JV Results'!F19</f>
        <v/>
      </c>
      <c r="D14">
        <f>'Mens JV Results'!C19</f>
        <v>7</v>
      </c>
      <c r="G14" s="112"/>
      <c r="H14" s="127"/>
      <c r="I14" s="128"/>
      <c r="J14" s="129"/>
      <c r="K14" s="128"/>
      <c r="L14" s="129"/>
      <c r="M14" s="128"/>
      <c r="N14" s="129"/>
      <c r="O14" s="128"/>
      <c r="P14" s="129"/>
      <c r="Q14" s="128"/>
      <c r="R14" s="129"/>
      <c r="S14" s="128"/>
      <c r="T14" s="129"/>
      <c r="U14" s="128"/>
      <c r="V14" s="129"/>
      <c r="W14" s="128"/>
      <c r="X14" s="129"/>
      <c r="Y14" s="128"/>
      <c r="Z14" s="129"/>
      <c r="AA14" s="128"/>
      <c r="AB14" s="129"/>
      <c r="AC14" s="128"/>
      <c r="AD14" s="129"/>
      <c r="AE14" s="128"/>
      <c r="AF14" s="129"/>
      <c r="AG14" s="128"/>
      <c r="AH14" s="118"/>
    </row>
    <row r="15">
      <c r="A15" s="4">
        <v>5.0</v>
      </c>
      <c r="B15" s="4">
        <v>123.0</v>
      </c>
      <c r="C15" t="str">
        <f>'Mens JV Results'!F20</f>
        <v/>
      </c>
      <c r="D15">
        <f>'Mens JV Results'!C20</f>
        <v>6</v>
      </c>
      <c r="G15" s="130"/>
      <c r="H15" s="131"/>
      <c r="I15" s="132"/>
      <c r="J15" s="131"/>
      <c r="K15" s="132"/>
      <c r="L15" s="131"/>
      <c r="M15" s="132"/>
      <c r="N15" s="131"/>
      <c r="O15" s="132"/>
      <c r="P15" s="131"/>
      <c r="Q15" s="132"/>
      <c r="R15" s="131"/>
      <c r="S15" s="132"/>
      <c r="T15" s="131"/>
      <c r="U15" s="132"/>
      <c r="V15" s="131"/>
      <c r="W15" s="132"/>
      <c r="X15" s="131"/>
      <c r="Y15" s="132"/>
      <c r="Z15" s="131"/>
      <c r="AA15" s="132"/>
      <c r="AB15" s="131"/>
      <c r="AC15" s="132"/>
      <c r="AD15" s="131"/>
      <c r="AE15" s="132"/>
      <c r="AF15" s="131"/>
      <c r="AG15" s="132"/>
      <c r="AH15" s="133"/>
    </row>
    <row r="16">
      <c r="A16" s="4">
        <v>6.0</v>
      </c>
      <c r="B16" s="4">
        <v>123.0</v>
      </c>
      <c r="C16" t="str">
        <f>'Mens JV Results'!F21</f>
        <v/>
      </c>
      <c r="D16">
        <f>'Mens JV Results'!C21</f>
        <v>5</v>
      </c>
      <c r="G16" s="112"/>
      <c r="H16" s="129"/>
      <c r="I16" s="128"/>
      <c r="J16" s="129"/>
      <c r="K16" s="128"/>
      <c r="L16" s="129"/>
      <c r="M16" s="128"/>
      <c r="N16" s="129"/>
      <c r="O16" s="128"/>
      <c r="P16" s="129"/>
      <c r="Q16" s="128"/>
      <c r="R16" s="129"/>
      <c r="S16" s="128"/>
      <c r="T16" s="129"/>
      <c r="U16" s="128"/>
      <c r="V16" s="129"/>
      <c r="W16" s="128"/>
      <c r="X16" s="129"/>
      <c r="Y16" s="128"/>
      <c r="Z16" s="129"/>
      <c r="AA16" s="128"/>
      <c r="AB16" s="129"/>
      <c r="AC16" s="128"/>
      <c r="AD16" s="129"/>
      <c r="AE16" s="128"/>
      <c r="AF16" s="129"/>
      <c r="AG16" s="128"/>
      <c r="AH16" s="118"/>
    </row>
    <row r="17">
      <c r="A17" s="4">
        <v>7.0</v>
      </c>
      <c r="B17" s="4">
        <v>123.0</v>
      </c>
      <c r="C17" t="str">
        <f>'Mens JV Results'!F22</f>
        <v/>
      </c>
      <c r="D17">
        <f>'Mens JV Results'!C22</f>
        <v>4</v>
      </c>
      <c r="G17" s="130"/>
      <c r="H17" s="131"/>
      <c r="I17" s="132"/>
      <c r="J17" s="131"/>
      <c r="K17" s="132"/>
      <c r="L17" s="131"/>
      <c r="M17" s="132"/>
      <c r="N17" s="131"/>
      <c r="O17" s="132"/>
      <c r="P17" s="131"/>
      <c r="Q17" s="132"/>
      <c r="R17" s="131"/>
      <c r="S17" s="132"/>
      <c r="T17" s="131"/>
      <c r="U17" s="132"/>
      <c r="V17" s="131"/>
      <c r="W17" s="132"/>
      <c r="X17" s="131"/>
      <c r="Y17" s="132"/>
      <c r="Z17" s="131"/>
      <c r="AA17" s="132"/>
      <c r="AB17" s="131"/>
      <c r="AC17" s="132"/>
      <c r="AD17" s="131"/>
      <c r="AE17" s="132"/>
      <c r="AF17" s="131"/>
      <c r="AG17" s="132"/>
      <c r="AH17" s="133"/>
    </row>
    <row r="18">
      <c r="A18" s="4">
        <v>8.0</v>
      </c>
      <c r="B18" s="4">
        <v>123.0</v>
      </c>
      <c r="C18" t="str">
        <f>'Mens JV Results'!F23</f>
        <v/>
      </c>
      <c r="D18">
        <f>'Mens JV Results'!C23</f>
        <v>3</v>
      </c>
      <c r="G18" s="112"/>
      <c r="H18" s="129"/>
      <c r="I18" s="128"/>
      <c r="J18" s="129"/>
      <c r="K18" s="128"/>
      <c r="L18" s="129"/>
      <c r="M18" s="128"/>
      <c r="N18" s="129"/>
      <c r="O18" s="128"/>
      <c r="P18" s="129"/>
      <c r="Q18" s="128"/>
      <c r="R18" s="129"/>
      <c r="S18" s="128"/>
      <c r="T18" s="129"/>
      <c r="U18" s="128"/>
      <c r="V18" s="129"/>
      <c r="W18" s="128"/>
      <c r="X18" s="129"/>
      <c r="Y18" s="128"/>
      <c r="Z18" s="129"/>
      <c r="AA18" s="128"/>
      <c r="AB18" s="129"/>
      <c r="AC18" s="128"/>
      <c r="AD18" s="129"/>
      <c r="AE18" s="128"/>
      <c r="AF18" s="129"/>
      <c r="AG18" s="128"/>
      <c r="AH18" s="118"/>
    </row>
    <row r="19">
      <c r="A19" s="4">
        <v>9.0</v>
      </c>
      <c r="B19" s="4">
        <v>123.0</v>
      </c>
      <c r="C19" t="str">
        <f>'Mens JV Results'!F24</f>
        <v/>
      </c>
      <c r="D19">
        <f>'Mens JV Results'!C24</f>
        <v>2</v>
      </c>
      <c r="G19" s="130"/>
      <c r="H19" s="131"/>
      <c r="I19" s="132"/>
      <c r="J19" s="131"/>
      <c r="K19" s="132"/>
      <c r="L19" s="131"/>
      <c r="M19" s="132"/>
      <c r="N19" s="131"/>
      <c r="O19" s="132"/>
      <c r="P19" s="131"/>
      <c r="Q19" s="132"/>
      <c r="R19" s="131"/>
      <c r="S19" s="132"/>
      <c r="T19" s="131"/>
      <c r="U19" s="132"/>
      <c r="V19" s="131"/>
      <c r="W19" s="132"/>
      <c r="X19" s="131"/>
      <c r="Y19" s="132"/>
      <c r="Z19" s="131"/>
      <c r="AA19" s="132"/>
      <c r="AB19" s="131"/>
      <c r="AC19" s="132"/>
      <c r="AD19" s="131"/>
      <c r="AE19" s="132"/>
      <c r="AF19" s="131"/>
      <c r="AG19" s="132"/>
      <c r="AH19" s="133"/>
    </row>
    <row r="20">
      <c r="A20" s="4">
        <v>10.0</v>
      </c>
      <c r="B20" s="4">
        <v>123.0</v>
      </c>
      <c r="C20" t="str">
        <f>'Mens JV Results'!F25</f>
        <v/>
      </c>
      <c r="D20">
        <f>'Mens JV Results'!C25</f>
        <v>1</v>
      </c>
      <c r="G20" s="112"/>
      <c r="H20" s="129"/>
      <c r="I20" s="128"/>
      <c r="J20" s="129"/>
      <c r="K20" s="128"/>
      <c r="L20" s="129"/>
      <c r="M20" s="128"/>
      <c r="N20" s="129"/>
      <c r="O20" s="128"/>
      <c r="P20" s="129"/>
      <c r="Q20" s="128"/>
      <c r="R20" s="129"/>
      <c r="S20" s="128"/>
      <c r="T20" s="129"/>
      <c r="U20" s="128"/>
      <c r="V20" s="129"/>
      <c r="W20" s="128"/>
      <c r="X20" s="129"/>
      <c r="Y20" s="128"/>
      <c r="Z20" s="129"/>
      <c r="AA20" s="128"/>
      <c r="AB20" s="129"/>
      <c r="AC20" s="128"/>
      <c r="AD20" s="129"/>
      <c r="AE20" s="128"/>
      <c r="AF20" s="129"/>
      <c r="AG20" s="128"/>
      <c r="AH20" s="118"/>
    </row>
    <row r="21">
      <c r="A21" s="4">
        <v>1.0</v>
      </c>
      <c r="B21" s="4">
        <v>132.0</v>
      </c>
      <c r="C21" t="str">
        <f>'Mens JV Results'!F26</f>
        <v/>
      </c>
      <c r="D21">
        <f>'Mens JV Results'!C26</f>
        <v>12</v>
      </c>
      <c r="G21" s="130"/>
      <c r="H21" s="131"/>
      <c r="I21" s="132"/>
      <c r="J21" s="131"/>
      <c r="K21" s="132"/>
      <c r="L21" s="131"/>
      <c r="M21" s="132"/>
      <c r="N21" s="131"/>
      <c r="O21" s="132"/>
      <c r="P21" s="131"/>
      <c r="Q21" s="132"/>
      <c r="R21" s="131"/>
      <c r="S21" s="132"/>
      <c r="T21" s="131"/>
      <c r="U21" s="132"/>
      <c r="V21" s="131"/>
      <c r="W21" s="132"/>
      <c r="X21" s="131"/>
      <c r="Y21" s="132"/>
      <c r="Z21" s="131"/>
      <c r="AA21" s="132"/>
      <c r="AB21" s="131"/>
      <c r="AC21" s="132"/>
      <c r="AD21" s="131"/>
      <c r="AE21" s="132"/>
      <c r="AF21" s="131"/>
      <c r="AG21" s="132"/>
      <c r="AH21" s="133"/>
    </row>
    <row r="22">
      <c r="A22" s="4">
        <v>2.0</v>
      </c>
      <c r="B22" s="4">
        <v>132.0</v>
      </c>
      <c r="C22" t="str">
        <f>'Mens JV Results'!F27</f>
        <v/>
      </c>
      <c r="D22">
        <f>'Mens JV Results'!C27</f>
        <v>9</v>
      </c>
      <c r="G22" s="112"/>
      <c r="H22" s="129"/>
      <c r="I22" s="128"/>
      <c r="J22" s="129"/>
      <c r="K22" s="128"/>
      <c r="L22" s="129"/>
      <c r="M22" s="128"/>
      <c r="N22" s="129"/>
      <c r="O22" s="128"/>
      <c r="P22" s="129"/>
      <c r="Q22" s="128"/>
      <c r="R22" s="129"/>
      <c r="S22" s="128"/>
      <c r="T22" s="129"/>
      <c r="U22" s="128"/>
      <c r="V22" s="129"/>
      <c r="W22" s="128"/>
      <c r="X22" s="129"/>
      <c r="Y22" s="128"/>
      <c r="Z22" s="129"/>
      <c r="AA22" s="128"/>
      <c r="AB22" s="129"/>
      <c r="AC22" s="128"/>
      <c r="AD22" s="129"/>
      <c r="AE22" s="128"/>
      <c r="AF22" s="129"/>
      <c r="AG22" s="128"/>
      <c r="AH22" s="118"/>
    </row>
    <row r="23">
      <c r="A23" s="4">
        <v>3.0</v>
      </c>
      <c r="B23" s="4">
        <v>132.0</v>
      </c>
      <c r="C23" t="str">
        <f>'Mens JV Results'!F28</f>
        <v/>
      </c>
      <c r="D23">
        <f>'Mens JV Results'!C28</f>
        <v>8</v>
      </c>
      <c r="G23" s="130"/>
      <c r="H23" s="131"/>
      <c r="I23" s="132"/>
      <c r="J23" s="131"/>
      <c r="K23" s="132"/>
      <c r="L23" s="131"/>
      <c r="M23" s="132"/>
      <c r="N23" s="131"/>
      <c r="O23" s="132"/>
      <c r="P23" s="131"/>
      <c r="Q23" s="132"/>
      <c r="R23" s="131"/>
      <c r="S23" s="132"/>
      <c r="T23" s="131"/>
      <c r="U23" s="132"/>
      <c r="V23" s="131"/>
      <c r="W23" s="132"/>
      <c r="X23" s="131"/>
      <c r="Y23" s="132"/>
      <c r="Z23" s="131"/>
      <c r="AA23" s="132"/>
      <c r="AB23" s="131"/>
      <c r="AC23" s="132"/>
      <c r="AD23" s="131"/>
      <c r="AE23" s="132"/>
      <c r="AF23" s="131"/>
      <c r="AG23" s="132"/>
      <c r="AH23" s="133"/>
    </row>
    <row r="24">
      <c r="A24" s="4">
        <v>4.0</v>
      </c>
      <c r="B24" s="4">
        <v>132.0</v>
      </c>
      <c r="C24" t="str">
        <f>'Mens JV Results'!F29</f>
        <v/>
      </c>
      <c r="D24">
        <f>'Mens JV Results'!C29</f>
        <v>7</v>
      </c>
      <c r="G24" s="112"/>
      <c r="H24" s="129"/>
      <c r="I24" s="128"/>
      <c r="J24" s="129"/>
      <c r="K24" s="128"/>
      <c r="L24" s="129"/>
      <c r="M24" s="128"/>
      <c r="N24" s="129"/>
      <c r="O24" s="128"/>
      <c r="P24" s="129"/>
      <c r="Q24" s="128"/>
      <c r="R24" s="129"/>
      <c r="S24" s="128"/>
      <c r="T24" s="129"/>
      <c r="U24" s="128"/>
      <c r="V24" s="129"/>
      <c r="W24" s="128"/>
      <c r="X24" s="129"/>
      <c r="Y24" s="128"/>
      <c r="Z24" s="129"/>
      <c r="AA24" s="128"/>
      <c r="AB24" s="129"/>
      <c r="AC24" s="128"/>
      <c r="AD24" s="129"/>
      <c r="AE24" s="128"/>
      <c r="AF24" s="129"/>
      <c r="AG24" s="128"/>
      <c r="AH24" s="118"/>
    </row>
    <row r="25">
      <c r="A25" s="4">
        <v>5.0</v>
      </c>
      <c r="B25" s="4">
        <v>132.0</v>
      </c>
      <c r="C25" t="str">
        <f>'Mens JV Results'!F30</f>
        <v/>
      </c>
      <c r="D25">
        <f>'Mens JV Results'!C30</f>
        <v>6</v>
      </c>
      <c r="G25" s="130"/>
      <c r="H25" s="131"/>
      <c r="I25" s="132"/>
      <c r="J25" s="131"/>
      <c r="K25" s="132"/>
      <c r="L25" s="131"/>
      <c r="M25" s="132"/>
      <c r="N25" s="131"/>
      <c r="O25" s="132"/>
      <c r="P25" s="131"/>
      <c r="Q25" s="132"/>
      <c r="R25" s="131"/>
      <c r="S25" s="132"/>
      <c r="T25" s="131"/>
      <c r="U25" s="132"/>
      <c r="V25" s="131"/>
      <c r="W25" s="132"/>
      <c r="X25" s="131"/>
      <c r="Y25" s="132"/>
      <c r="Z25" s="131"/>
      <c r="AA25" s="132"/>
      <c r="AB25" s="131"/>
      <c r="AC25" s="132"/>
      <c r="AD25" s="131"/>
      <c r="AE25" s="132"/>
      <c r="AF25" s="131"/>
      <c r="AG25" s="132"/>
      <c r="AH25" s="133"/>
    </row>
    <row r="26">
      <c r="A26" s="4">
        <v>6.0</v>
      </c>
      <c r="B26" s="4">
        <v>132.0</v>
      </c>
      <c r="C26" t="str">
        <f>'Mens JV Results'!F31</f>
        <v/>
      </c>
      <c r="D26">
        <f>'Mens JV Results'!C31</f>
        <v>5</v>
      </c>
      <c r="G26" s="112"/>
      <c r="H26" s="129"/>
      <c r="I26" s="128"/>
      <c r="J26" s="129"/>
      <c r="K26" s="128"/>
      <c r="L26" s="129"/>
      <c r="M26" s="128"/>
      <c r="N26" s="129"/>
      <c r="O26" s="128"/>
      <c r="P26" s="129"/>
      <c r="Q26" s="128"/>
      <c r="R26" s="129"/>
      <c r="S26" s="128"/>
      <c r="T26" s="129"/>
      <c r="U26" s="128"/>
      <c r="V26" s="129"/>
      <c r="W26" s="128"/>
      <c r="X26" s="129"/>
      <c r="Y26" s="128"/>
      <c r="Z26" s="129"/>
      <c r="AA26" s="128"/>
      <c r="AB26" s="129"/>
      <c r="AC26" s="128"/>
      <c r="AD26" s="129"/>
      <c r="AE26" s="128"/>
      <c r="AF26" s="129"/>
      <c r="AG26" s="128"/>
      <c r="AH26" s="118"/>
    </row>
    <row r="27">
      <c r="A27" s="4">
        <v>7.0</v>
      </c>
      <c r="B27" s="4">
        <v>132.0</v>
      </c>
      <c r="C27" t="str">
        <f>'Mens JV Results'!F32</f>
        <v/>
      </c>
      <c r="D27">
        <f>'Mens JV Results'!C32</f>
        <v>4</v>
      </c>
      <c r="G27" s="130"/>
      <c r="H27" s="131"/>
      <c r="I27" s="132"/>
      <c r="J27" s="131"/>
      <c r="K27" s="132"/>
      <c r="L27" s="131"/>
      <c r="M27" s="132"/>
      <c r="N27" s="131"/>
      <c r="O27" s="132"/>
      <c r="P27" s="131"/>
      <c r="Q27" s="132"/>
      <c r="R27" s="131"/>
      <c r="S27" s="132"/>
      <c r="T27" s="131"/>
      <c r="U27" s="132"/>
      <c r="V27" s="131"/>
      <c r="W27" s="132"/>
      <c r="X27" s="131"/>
      <c r="Y27" s="132"/>
      <c r="Z27" s="131"/>
      <c r="AA27" s="132"/>
      <c r="AB27" s="131"/>
      <c r="AC27" s="132"/>
      <c r="AD27" s="131"/>
      <c r="AE27" s="132"/>
      <c r="AF27" s="131"/>
      <c r="AG27" s="132"/>
      <c r="AH27" s="133"/>
    </row>
    <row r="28">
      <c r="A28" s="4">
        <v>8.0</v>
      </c>
      <c r="B28" s="4">
        <v>132.0</v>
      </c>
      <c r="C28" t="str">
        <f>'Mens JV Results'!F33</f>
        <v/>
      </c>
      <c r="D28">
        <f>'Mens JV Results'!C33</f>
        <v>3</v>
      </c>
      <c r="G28" s="112"/>
      <c r="H28" s="129"/>
      <c r="I28" s="128"/>
      <c r="J28" s="129"/>
      <c r="K28" s="128"/>
      <c r="L28" s="129"/>
      <c r="M28" s="128"/>
      <c r="N28" s="129"/>
      <c r="O28" s="128"/>
      <c r="P28" s="129"/>
      <c r="Q28" s="128"/>
      <c r="R28" s="129"/>
      <c r="S28" s="128"/>
      <c r="T28" s="129"/>
      <c r="U28" s="128"/>
      <c r="V28" s="129"/>
      <c r="W28" s="128"/>
      <c r="X28" s="129"/>
      <c r="Y28" s="128"/>
      <c r="Z28" s="129"/>
      <c r="AA28" s="128"/>
      <c r="AB28" s="129"/>
      <c r="AC28" s="128"/>
      <c r="AD28" s="129"/>
      <c r="AE28" s="128"/>
      <c r="AF28" s="129"/>
      <c r="AG28" s="128"/>
      <c r="AH28" s="118"/>
    </row>
    <row r="29">
      <c r="A29" s="4">
        <v>9.0</v>
      </c>
      <c r="B29" s="4">
        <v>132.0</v>
      </c>
      <c r="C29" t="str">
        <f>'Mens JV Results'!F34</f>
        <v/>
      </c>
      <c r="D29">
        <f>'Mens JV Results'!C34</f>
        <v>2</v>
      </c>
      <c r="G29" s="130"/>
      <c r="H29" s="131"/>
      <c r="I29" s="132"/>
      <c r="J29" s="131"/>
      <c r="K29" s="132"/>
      <c r="L29" s="131"/>
      <c r="M29" s="132"/>
      <c r="N29" s="131"/>
      <c r="O29" s="132"/>
      <c r="P29" s="131"/>
      <c r="Q29" s="132"/>
      <c r="R29" s="131"/>
      <c r="S29" s="132"/>
      <c r="T29" s="131"/>
      <c r="U29" s="132"/>
      <c r="V29" s="131"/>
      <c r="W29" s="132"/>
      <c r="X29" s="131"/>
      <c r="Y29" s="132"/>
      <c r="Z29" s="131"/>
      <c r="AA29" s="132"/>
      <c r="AB29" s="131"/>
      <c r="AC29" s="132"/>
      <c r="AD29" s="131"/>
      <c r="AE29" s="132"/>
      <c r="AF29" s="131"/>
      <c r="AG29" s="132"/>
      <c r="AH29" s="133"/>
    </row>
    <row r="30">
      <c r="A30" s="4">
        <v>10.0</v>
      </c>
      <c r="B30" s="4">
        <v>132.0</v>
      </c>
      <c r="C30" t="str">
        <f>'Mens JV Results'!F35</f>
        <v/>
      </c>
      <c r="D30">
        <f>'Mens JV Results'!C35</f>
        <v>1</v>
      </c>
      <c r="G30" s="112"/>
      <c r="H30" s="129"/>
      <c r="I30" s="128"/>
      <c r="J30" s="129"/>
      <c r="K30" s="128"/>
      <c r="L30" s="129"/>
      <c r="M30" s="128"/>
      <c r="N30" s="129"/>
      <c r="O30" s="128"/>
      <c r="P30" s="129"/>
      <c r="Q30" s="128"/>
      <c r="R30" s="129"/>
      <c r="S30" s="128"/>
      <c r="T30" s="129"/>
      <c r="U30" s="128"/>
      <c r="V30" s="129"/>
      <c r="W30" s="128"/>
      <c r="X30" s="129"/>
      <c r="Y30" s="128"/>
      <c r="Z30" s="129"/>
      <c r="AA30" s="128"/>
      <c r="AB30" s="129"/>
      <c r="AC30" s="128"/>
      <c r="AD30" s="129"/>
      <c r="AE30" s="128"/>
      <c r="AF30" s="129"/>
      <c r="AG30" s="128"/>
      <c r="AH30" s="118"/>
    </row>
    <row r="31">
      <c r="A31" s="4">
        <v>1.0</v>
      </c>
      <c r="B31" s="4">
        <v>145.0</v>
      </c>
      <c r="C31" t="str">
        <f>'Mens JV Results'!F36</f>
        <v/>
      </c>
      <c r="D31">
        <f>'Mens JV Results'!C36</f>
        <v>12</v>
      </c>
      <c r="G31" s="130"/>
      <c r="H31" s="131"/>
      <c r="I31" s="132"/>
      <c r="J31" s="131"/>
      <c r="K31" s="132"/>
      <c r="L31" s="131"/>
      <c r="M31" s="132"/>
      <c r="N31" s="131"/>
      <c r="O31" s="132"/>
      <c r="P31" s="131"/>
      <c r="Q31" s="132"/>
      <c r="R31" s="131"/>
      <c r="S31" s="132"/>
      <c r="T31" s="131"/>
      <c r="U31" s="132"/>
      <c r="V31" s="131"/>
      <c r="W31" s="132"/>
      <c r="X31" s="131"/>
      <c r="Y31" s="132"/>
      <c r="Z31" s="131"/>
      <c r="AA31" s="132"/>
      <c r="AB31" s="131"/>
      <c r="AC31" s="132"/>
      <c r="AD31" s="131"/>
      <c r="AE31" s="132"/>
      <c r="AF31" s="131"/>
      <c r="AG31" s="132"/>
      <c r="AH31" s="133"/>
    </row>
    <row r="32">
      <c r="A32" s="4">
        <v>2.0</v>
      </c>
      <c r="B32" s="4">
        <v>145.0</v>
      </c>
      <c r="C32" t="str">
        <f>'Mens JV Results'!F37</f>
        <v/>
      </c>
      <c r="D32">
        <f>'Mens JV Results'!C37</f>
        <v>9</v>
      </c>
      <c r="G32" s="112"/>
      <c r="H32" s="129"/>
      <c r="I32" s="128"/>
      <c r="J32" s="129"/>
      <c r="K32" s="128"/>
      <c r="L32" s="129"/>
      <c r="M32" s="128"/>
      <c r="N32" s="129"/>
      <c r="O32" s="128"/>
      <c r="P32" s="129"/>
      <c r="Q32" s="128"/>
      <c r="R32" s="129"/>
      <c r="S32" s="128"/>
      <c r="T32" s="129"/>
      <c r="U32" s="128"/>
      <c r="V32" s="129"/>
      <c r="W32" s="128"/>
      <c r="X32" s="129"/>
      <c r="Y32" s="128"/>
      <c r="Z32" s="129"/>
      <c r="AA32" s="128"/>
      <c r="AB32" s="129"/>
      <c r="AC32" s="128"/>
      <c r="AD32" s="129"/>
      <c r="AE32" s="128"/>
      <c r="AF32" s="129"/>
      <c r="AG32" s="128"/>
      <c r="AH32" s="118"/>
    </row>
    <row r="33">
      <c r="A33" s="4">
        <v>3.0</v>
      </c>
      <c r="B33" s="4">
        <v>145.0</v>
      </c>
      <c r="C33" t="str">
        <f>'Mens JV Results'!F38</f>
        <v/>
      </c>
      <c r="D33">
        <f>'Mens JV Results'!C38</f>
        <v>8</v>
      </c>
      <c r="G33" s="130"/>
      <c r="H33" s="131"/>
      <c r="I33" s="132"/>
      <c r="J33" s="131"/>
      <c r="K33" s="132"/>
      <c r="L33" s="131"/>
      <c r="M33" s="132"/>
      <c r="N33" s="131"/>
      <c r="O33" s="132"/>
      <c r="P33" s="131"/>
      <c r="Q33" s="132"/>
      <c r="R33" s="131"/>
      <c r="S33" s="132"/>
      <c r="T33" s="131"/>
      <c r="U33" s="132"/>
      <c r="V33" s="131"/>
      <c r="W33" s="132"/>
      <c r="X33" s="131"/>
      <c r="Y33" s="132"/>
      <c r="Z33" s="131"/>
      <c r="AA33" s="132"/>
      <c r="AB33" s="131"/>
      <c r="AC33" s="132"/>
      <c r="AD33" s="131"/>
      <c r="AE33" s="132"/>
      <c r="AF33" s="131"/>
      <c r="AG33" s="132"/>
      <c r="AH33" s="133"/>
    </row>
    <row r="34">
      <c r="A34" s="4">
        <v>4.0</v>
      </c>
      <c r="B34" s="4">
        <v>145.0</v>
      </c>
      <c r="C34" t="str">
        <f>'Mens JV Results'!F39</f>
        <v/>
      </c>
      <c r="D34">
        <f>'Mens JV Results'!C39</f>
        <v>7</v>
      </c>
      <c r="G34" s="112"/>
      <c r="H34" s="129"/>
      <c r="I34" s="128"/>
      <c r="J34" s="129"/>
      <c r="K34" s="128"/>
      <c r="L34" s="129"/>
      <c r="M34" s="128"/>
      <c r="N34" s="129"/>
      <c r="O34" s="128"/>
      <c r="P34" s="129"/>
      <c r="Q34" s="128"/>
      <c r="R34" s="129"/>
      <c r="S34" s="128"/>
      <c r="T34" s="129"/>
      <c r="U34" s="128"/>
      <c r="V34" s="129"/>
      <c r="W34" s="128"/>
      <c r="X34" s="129"/>
      <c r="Y34" s="128"/>
      <c r="Z34" s="129"/>
      <c r="AA34" s="128"/>
      <c r="AB34" s="129"/>
      <c r="AC34" s="128"/>
      <c r="AD34" s="129"/>
      <c r="AE34" s="128"/>
      <c r="AF34" s="129"/>
      <c r="AG34" s="128"/>
      <c r="AH34" s="118"/>
    </row>
    <row r="35">
      <c r="A35" s="4">
        <v>5.0</v>
      </c>
      <c r="B35" s="4">
        <v>145.0</v>
      </c>
      <c r="C35" t="str">
        <f>'Mens JV Results'!F40</f>
        <v/>
      </c>
      <c r="D35">
        <f>'Mens JV Results'!C40</f>
        <v>6</v>
      </c>
      <c r="G35" s="130"/>
      <c r="H35" s="131"/>
      <c r="I35" s="132"/>
      <c r="J35" s="131"/>
      <c r="K35" s="132"/>
      <c r="L35" s="131"/>
      <c r="M35" s="132"/>
      <c r="N35" s="131"/>
      <c r="O35" s="132"/>
      <c r="P35" s="131"/>
      <c r="Q35" s="132"/>
      <c r="R35" s="131"/>
      <c r="S35" s="132"/>
      <c r="T35" s="131"/>
      <c r="U35" s="132"/>
      <c r="V35" s="131"/>
      <c r="W35" s="132"/>
      <c r="X35" s="131"/>
      <c r="Y35" s="132"/>
      <c r="Z35" s="131"/>
      <c r="AA35" s="132"/>
      <c r="AB35" s="131"/>
      <c r="AC35" s="132"/>
      <c r="AD35" s="131"/>
      <c r="AE35" s="132"/>
      <c r="AF35" s="131"/>
      <c r="AG35" s="132"/>
      <c r="AH35" s="133"/>
    </row>
    <row r="36">
      <c r="A36" s="4">
        <v>6.0</v>
      </c>
      <c r="B36" s="4">
        <v>145.0</v>
      </c>
      <c r="C36" t="str">
        <f>'Mens JV Results'!F41</f>
        <v/>
      </c>
      <c r="D36">
        <f>'Mens JV Results'!C41</f>
        <v>5</v>
      </c>
      <c r="G36" s="112"/>
      <c r="H36" s="129"/>
      <c r="I36" s="128"/>
      <c r="J36" s="129"/>
      <c r="K36" s="128"/>
      <c r="L36" s="129"/>
      <c r="M36" s="128"/>
      <c r="N36" s="129"/>
      <c r="O36" s="128"/>
      <c r="P36" s="129"/>
      <c r="Q36" s="128"/>
      <c r="R36" s="129"/>
      <c r="S36" s="128"/>
      <c r="T36" s="129"/>
      <c r="U36" s="128"/>
      <c r="V36" s="129"/>
      <c r="W36" s="128"/>
      <c r="X36" s="129"/>
      <c r="Y36" s="128"/>
      <c r="Z36" s="129"/>
      <c r="AA36" s="128"/>
      <c r="AB36" s="129"/>
      <c r="AC36" s="128"/>
      <c r="AD36" s="129"/>
      <c r="AE36" s="128"/>
      <c r="AF36" s="129"/>
      <c r="AG36" s="128"/>
      <c r="AH36" s="118"/>
    </row>
    <row r="37">
      <c r="A37" s="4">
        <v>7.0</v>
      </c>
      <c r="B37" s="4">
        <v>145.0</v>
      </c>
      <c r="C37" t="str">
        <f>'Mens JV Results'!F42</f>
        <v/>
      </c>
      <c r="D37">
        <f>'Mens JV Results'!C42</f>
        <v>4</v>
      </c>
      <c r="G37" s="130"/>
      <c r="H37" s="131"/>
      <c r="I37" s="132"/>
      <c r="J37" s="131"/>
      <c r="K37" s="132"/>
      <c r="L37" s="131"/>
      <c r="M37" s="132"/>
      <c r="N37" s="131"/>
      <c r="O37" s="132"/>
      <c r="P37" s="131"/>
      <c r="Q37" s="132"/>
      <c r="R37" s="131"/>
      <c r="S37" s="132"/>
      <c r="T37" s="131"/>
      <c r="U37" s="132"/>
      <c r="V37" s="131"/>
      <c r="W37" s="132"/>
      <c r="X37" s="131"/>
      <c r="Y37" s="132"/>
      <c r="Z37" s="131"/>
      <c r="AA37" s="132"/>
      <c r="AB37" s="131"/>
      <c r="AC37" s="132"/>
      <c r="AD37" s="131"/>
      <c r="AE37" s="132"/>
      <c r="AF37" s="131"/>
      <c r="AG37" s="132"/>
      <c r="AH37" s="133"/>
    </row>
    <row r="38">
      <c r="A38" s="4">
        <v>8.0</v>
      </c>
      <c r="B38" s="4">
        <v>145.0</v>
      </c>
      <c r="C38" t="str">
        <f>'Mens JV Results'!F43</f>
        <v/>
      </c>
      <c r="D38">
        <f>'Mens JV Results'!C43</f>
        <v>3</v>
      </c>
      <c r="G38" s="112"/>
      <c r="H38" s="129"/>
      <c r="I38" s="128"/>
      <c r="J38" s="129"/>
      <c r="K38" s="128"/>
      <c r="L38" s="129"/>
      <c r="M38" s="128"/>
      <c r="N38" s="129"/>
      <c r="O38" s="128"/>
      <c r="P38" s="129"/>
      <c r="Q38" s="128"/>
      <c r="R38" s="129"/>
      <c r="S38" s="128"/>
      <c r="T38" s="129"/>
      <c r="U38" s="128"/>
      <c r="V38" s="129"/>
      <c r="W38" s="128"/>
      <c r="X38" s="129"/>
      <c r="Y38" s="128"/>
      <c r="Z38" s="129"/>
      <c r="AA38" s="128"/>
      <c r="AB38" s="129"/>
      <c r="AC38" s="128"/>
      <c r="AD38" s="129"/>
      <c r="AE38" s="128"/>
      <c r="AF38" s="129"/>
      <c r="AG38" s="128"/>
      <c r="AH38" s="118"/>
    </row>
    <row r="39">
      <c r="A39" s="4">
        <v>9.0</v>
      </c>
      <c r="B39" s="4">
        <v>145.0</v>
      </c>
      <c r="C39" t="str">
        <f>'Mens JV Results'!F44</f>
        <v/>
      </c>
      <c r="D39">
        <f>'Mens JV Results'!C44</f>
        <v>2</v>
      </c>
      <c r="G39" s="130"/>
      <c r="H39" s="131"/>
      <c r="I39" s="132"/>
      <c r="J39" s="131"/>
      <c r="K39" s="132"/>
      <c r="L39" s="131"/>
      <c r="M39" s="132"/>
      <c r="N39" s="131"/>
      <c r="O39" s="132"/>
      <c r="P39" s="131"/>
      <c r="Q39" s="132"/>
      <c r="R39" s="131"/>
      <c r="S39" s="132"/>
      <c r="T39" s="131"/>
      <c r="U39" s="132"/>
      <c r="V39" s="131"/>
      <c r="W39" s="132"/>
      <c r="X39" s="131"/>
      <c r="Y39" s="132"/>
      <c r="Z39" s="131"/>
      <c r="AA39" s="132"/>
      <c r="AB39" s="131"/>
      <c r="AC39" s="132"/>
      <c r="AD39" s="131"/>
      <c r="AE39" s="132"/>
      <c r="AF39" s="131"/>
      <c r="AG39" s="132"/>
      <c r="AH39" s="133"/>
    </row>
    <row r="40">
      <c r="A40" s="4">
        <v>10.0</v>
      </c>
      <c r="B40" s="4">
        <v>145.0</v>
      </c>
      <c r="C40" t="str">
        <f>'Mens JV Results'!F45</f>
        <v/>
      </c>
      <c r="D40">
        <f>'Mens JV Results'!C45</f>
        <v>1</v>
      </c>
      <c r="G40" s="112"/>
      <c r="H40" s="129"/>
      <c r="I40" s="128"/>
      <c r="J40" s="129"/>
      <c r="K40" s="128"/>
      <c r="L40" s="129"/>
      <c r="M40" s="128"/>
      <c r="N40" s="129"/>
      <c r="O40" s="128"/>
      <c r="P40" s="129"/>
      <c r="Q40" s="128"/>
      <c r="R40" s="129"/>
      <c r="S40" s="128"/>
      <c r="T40" s="129"/>
      <c r="U40" s="128"/>
      <c r="V40" s="129"/>
      <c r="W40" s="128"/>
      <c r="X40" s="129"/>
      <c r="Y40" s="128"/>
      <c r="Z40" s="129"/>
      <c r="AA40" s="128"/>
      <c r="AB40" s="129"/>
      <c r="AC40" s="128"/>
      <c r="AD40" s="129"/>
      <c r="AE40" s="128"/>
      <c r="AF40" s="129"/>
      <c r="AG40" s="128"/>
      <c r="AH40" s="118"/>
    </row>
    <row r="41">
      <c r="A41" s="4">
        <v>1.0</v>
      </c>
      <c r="B41" s="4">
        <v>155.0</v>
      </c>
      <c r="C41" t="str">
        <f>'Mens JV Results'!F46</f>
        <v/>
      </c>
      <c r="D41">
        <f>'Mens JV Results'!C46</f>
        <v>12</v>
      </c>
      <c r="G41" s="130"/>
      <c r="H41" s="131"/>
      <c r="I41" s="132"/>
      <c r="J41" s="131"/>
      <c r="K41" s="132"/>
      <c r="L41" s="131"/>
      <c r="M41" s="132"/>
      <c r="N41" s="131"/>
      <c r="O41" s="132"/>
      <c r="P41" s="131"/>
      <c r="Q41" s="132"/>
      <c r="R41" s="131"/>
      <c r="S41" s="132"/>
      <c r="T41" s="131"/>
      <c r="U41" s="132"/>
      <c r="V41" s="131"/>
      <c r="W41" s="132"/>
      <c r="X41" s="131"/>
      <c r="Y41" s="132"/>
      <c r="Z41" s="131"/>
      <c r="AA41" s="132"/>
      <c r="AB41" s="131"/>
      <c r="AC41" s="132"/>
      <c r="AD41" s="131"/>
      <c r="AE41" s="132"/>
      <c r="AF41" s="131"/>
      <c r="AG41" s="132"/>
      <c r="AH41" s="133"/>
    </row>
    <row r="42">
      <c r="A42" s="4">
        <v>2.0</v>
      </c>
      <c r="B42" s="4">
        <v>155.0</v>
      </c>
      <c r="C42" t="str">
        <f>'Mens JV Results'!F47</f>
        <v/>
      </c>
      <c r="D42">
        <f>'Mens JV Results'!C47</f>
        <v>9</v>
      </c>
      <c r="G42" s="112"/>
      <c r="H42" s="129"/>
      <c r="I42" s="128"/>
      <c r="J42" s="129"/>
      <c r="K42" s="128"/>
      <c r="L42" s="129"/>
      <c r="M42" s="128"/>
      <c r="N42" s="129"/>
      <c r="O42" s="128"/>
      <c r="P42" s="129"/>
      <c r="Q42" s="128"/>
      <c r="R42" s="129"/>
      <c r="S42" s="128"/>
      <c r="T42" s="129"/>
      <c r="U42" s="128"/>
      <c r="V42" s="129"/>
      <c r="W42" s="128"/>
      <c r="X42" s="129"/>
      <c r="Y42" s="128"/>
      <c r="Z42" s="129"/>
      <c r="AA42" s="128"/>
      <c r="AB42" s="129"/>
      <c r="AC42" s="128"/>
      <c r="AD42" s="129"/>
      <c r="AE42" s="128"/>
      <c r="AF42" s="129"/>
      <c r="AG42" s="128"/>
      <c r="AH42" s="118"/>
    </row>
    <row r="43">
      <c r="A43" s="4">
        <v>3.0</v>
      </c>
      <c r="B43" s="4">
        <v>155.0</v>
      </c>
      <c r="C43" t="str">
        <f>'Mens JV Results'!F48</f>
        <v/>
      </c>
      <c r="D43">
        <f>'Mens JV Results'!C48</f>
        <v>8</v>
      </c>
      <c r="G43" s="130"/>
      <c r="H43" s="131"/>
      <c r="I43" s="132"/>
      <c r="J43" s="131"/>
      <c r="K43" s="132"/>
      <c r="L43" s="131"/>
      <c r="M43" s="132"/>
      <c r="N43" s="131"/>
      <c r="O43" s="132"/>
      <c r="P43" s="131"/>
      <c r="Q43" s="132"/>
      <c r="R43" s="131"/>
      <c r="S43" s="132"/>
      <c r="T43" s="131"/>
      <c r="U43" s="132"/>
      <c r="V43" s="131"/>
      <c r="W43" s="132"/>
      <c r="X43" s="131"/>
      <c r="Y43" s="132"/>
      <c r="Z43" s="131"/>
      <c r="AA43" s="132"/>
      <c r="AB43" s="131"/>
      <c r="AC43" s="132"/>
      <c r="AD43" s="131"/>
      <c r="AE43" s="132"/>
      <c r="AF43" s="131"/>
      <c r="AG43" s="132"/>
      <c r="AH43" s="133"/>
    </row>
    <row r="44">
      <c r="A44" s="4">
        <v>4.0</v>
      </c>
      <c r="B44" s="4">
        <v>155.0</v>
      </c>
      <c r="C44" t="str">
        <f>'Mens JV Results'!F49</f>
        <v/>
      </c>
      <c r="D44">
        <f>'Mens JV Results'!C49</f>
        <v>7</v>
      </c>
      <c r="G44" s="112"/>
      <c r="H44" s="129"/>
      <c r="I44" s="128"/>
      <c r="J44" s="129"/>
      <c r="K44" s="128"/>
      <c r="L44" s="129"/>
      <c r="M44" s="128"/>
      <c r="N44" s="129"/>
      <c r="O44" s="128"/>
      <c r="P44" s="129"/>
      <c r="Q44" s="128"/>
      <c r="R44" s="129"/>
      <c r="S44" s="128"/>
      <c r="T44" s="129"/>
      <c r="U44" s="128"/>
      <c r="V44" s="129"/>
      <c r="W44" s="128"/>
      <c r="X44" s="129"/>
      <c r="Y44" s="128"/>
      <c r="Z44" s="129"/>
      <c r="AA44" s="128"/>
      <c r="AB44" s="129"/>
      <c r="AC44" s="128"/>
      <c r="AD44" s="129"/>
      <c r="AE44" s="128"/>
      <c r="AF44" s="129"/>
      <c r="AG44" s="128"/>
      <c r="AH44" s="118"/>
    </row>
    <row r="45">
      <c r="A45" s="4">
        <v>5.0</v>
      </c>
      <c r="B45" s="4">
        <v>155.0</v>
      </c>
      <c r="C45" t="str">
        <f>'Mens JV Results'!F50</f>
        <v/>
      </c>
      <c r="D45">
        <f>'Mens JV Results'!C50</f>
        <v>6</v>
      </c>
      <c r="G45" s="130"/>
      <c r="H45" s="131"/>
      <c r="I45" s="132"/>
      <c r="J45" s="131"/>
      <c r="K45" s="132"/>
      <c r="L45" s="131"/>
      <c r="M45" s="132"/>
      <c r="N45" s="131"/>
      <c r="O45" s="132"/>
      <c r="P45" s="131"/>
      <c r="Q45" s="132"/>
      <c r="R45" s="131"/>
      <c r="S45" s="132"/>
      <c r="T45" s="131"/>
      <c r="U45" s="132"/>
      <c r="V45" s="131"/>
      <c r="W45" s="132"/>
      <c r="X45" s="131"/>
      <c r="Y45" s="132"/>
      <c r="Z45" s="131"/>
      <c r="AA45" s="132"/>
      <c r="AB45" s="131"/>
      <c r="AC45" s="132"/>
      <c r="AD45" s="131"/>
      <c r="AE45" s="132"/>
      <c r="AF45" s="131"/>
      <c r="AG45" s="132"/>
      <c r="AH45" s="133"/>
    </row>
    <row r="46">
      <c r="A46" s="4">
        <v>6.0</v>
      </c>
      <c r="B46" s="4">
        <v>155.0</v>
      </c>
      <c r="C46" t="str">
        <f>'Mens JV Results'!F51</f>
        <v/>
      </c>
      <c r="D46">
        <f>'Mens JV Results'!C51</f>
        <v>5</v>
      </c>
      <c r="G46" s="112"/>
      <c r="H46" s="129"/>
      <c r="I46" s="128"/>
      <c r="J46" s="129"/>
      <c r="K46" s="128"/>
      <c r="L46" s="129"/>
      <c r="M46" s="128"/>
      <c r="N46" s="129"/>
      <c r="O46" s="128"/>
      <c r="P46" s="129"/>
      <c r="Q46" s="128"/>
      <c r="R46" s="129"/>
      <c r="S46" s="128"/>
      <c r="T46" s="129"/>
      <c r="U46" s="128"/>
      <c r="V46" s="129"/>
      <c r="W46" s="128"/>
      <c r="X46" s="129"/>
      <c r="Y46" s="128"/>
      <c r="Z46" s="129"/>
      <c r="AA46" s="128"/>
      <c r="AB46" s="129"/>
      <c r="AC46" s="128"/>
      <c r="AD46" s="129"/>
      <c r="AE46" s="128"/>
      <c r="AF46" s="129"/>
      <c r="AG46" s="128"/>
      <c r="AH46" s="118"/>
    </row>
    <row r="47">
      <c r="A47" s="4">
        <v>7.0</v>
      </c>
      <c r="B47" s="4">
        <v>155.0</v>
      </c>
      <c r="C47" t="str">
        <f>'Mens JV Results'!F52</f>
        <v/>
      </c>
      <c r="D47">
        <f>'Mens JV Results'!C52</f>
        <v>4</v>
      </c>
      <c r="G47" s="130"/>
      <c r="H47" s="131"/>
      <c r="I47" s="132"/>
      <c r="J47" s="131"/>
      <c r="K47" s="132"/>
      <c r="L47" s="131"/>
      <c r="M47" s="132"/>
      <c r="N47" s="131"/>
      <c r="O47" s="132"/>
      <c r="P47" s="131"/>
      <c r="Q47" s="132"/>
      <c r="R47" s="131"/>
      <c r="S47" s="132"/>
      <c r="T47" s="131"/>
      <c r="U47" s="132"/>
      <c r="V47" s="131"/>
      <c r="W47" s="132"/>
      <c r="X47" s="131"/>
      <c r="Y47" s="132"/>
      <c r="Z47" s="131"/>
      <c r="AA47" s="132"/>
      <c r="AB47" s="131"/>
      <c r="AC47" s="132"/>
      <c r="AD47" s="131"/>
      <c r="AE47" s="132"/>
      <c r="AF47" s="131"/>
      <c r="AG47" s="132"/>
      <c r="AH47" s="133"/>
    </row>
    <row r="48">
      <c r="A48" s="4">
        <v>8.0</v>
      </c>
      <c r="B48" s="4">
        <v>155.0</v>
      </c>
      <c r="C48" t="str">
        <f>'Mens JV Results'!F53</f>
        <v/>
      </c>
      <c r="D48">
        <f>'Mens JV Results'!C53</f>
        <v>3</v>
      </c>
      <c r="G48" s="112"/>
      <c r="H48" s="129"/>
      <c r="I48" s="128"/>
      <c r="J48" s="129"/>
      <c r="K48" s="128"/>
      <c r="L48" s="129"/>
      <c r="M48" s="128"/>
      <c r="N48" s="129"/>
      <c r="O48" s="128"/>
      <c r="P48" s="129"/>
      <c r="Q48" s="128"/>
      <c r="R48" s="129"/>
      <c r="S48" s="128"/>
      <c r="T48" s="129"/>
      <c r="U48" s="128"/>
      <c r="V48" s="129"/>
      <c r="W48" s="128"/>
      <c r="X48" s="129"/>
      <c r="Y48" s="128"/>
      <c r="Z48" s="129"/>
      <c r="AA48" s="128"/>
      <c r="AB48" s="129"/>
      <c r="AC48" s="128"/>
      <c r="AD48" s="129"/>
      <c r="AE48" s="128"/>
      <c r="AF48" s="129"/>
      <c r="AG48" s="128"/>
      <c r="AH48" s="118"/>
    </row>
    <row r="49">
      <c r="A49" s="4">
        <v>9.0</v>
      </c>
      <c r="B49" s="4">
        <v>155.0</v>
      </c>
      <c r="C49" t="str">
        <f>'Mens JV Results'!F54</f>
        <v/>
      </c>
      <c r="D49">
        <f>'Mens JV Results'!C54</f>
        <v>2</v>
      </c>
      <c r="G49" s="130"/>
      <c r="H49" s="131"/>
      <c r="I49" s="132"/>
      <c r="J49" s="131"/>
      <c r="K49" s="132"/>
      <c r="L49" s="131"/>
      <c r="M49" s="132"/>
      <c r="N49" s="131"/>
      <c r="O49" s="132"/>
      <c r="P49" s="131"/>
      <c r="Q49" s="132"/>
      <c r="R49" s="131"/>
      <c r="S49" s="132"/>
      <c r="T49" s="131"/>
      <c r="U49" s="132"/>
      <c r="V49" s="131"/>
      <c r="W49" s="132"/>
      <c r="X49" s="131"/>
      <c r="Y49" s="132"/>
      <c r="Z49" s="131"/>
      <c r="AA49" s="132"/>
      <c r="AB49" s="131"/>
      <c r="AC49" s="132"/>
      <c r="AD49" s="131"/>
      <c r="AE49" s="132"/>
      <c r="AF49" s="131"/>
      <c r="AG49" s="132"/>
      <c r="AH49" s="133"/>
    </row>
    <row r="50">
      <c r="A50" s="4">
        <v>10.0</v>
      </c>
      <c r="B50" s="4">
        <v>155.0</v>
      </c>
      <c r="C50" t="str">
        <f>'Mens JV Results'!F55</f>
        <v/>
      </c>
      <c r="D50">
        <f>'Mens JV Results'!C55</f>
        <v>1</v>
      </c>
      <c r="G50" s="112"/>
      <c r="H50" s="129"/>
      <c r="I50" s="128"/>
      <c r="J50" s="129"/>
      <c r="K50" s="128"/>
      <c r="L50" s="129"/>
      <c r="M50" s="128"/>
      <c r="N50" s="129"/>
      <c r="O50" s="128"/>
      <c r="P50" s="129"/>
      <c r="Q50" s="128"/>
      <c r="R50" s="129"/>
      <c r="S50" s="128"/>
      <c r="T50" s="129"/>
      <c r="U50" s="128"/>
      <c r="V50" s="129"/>
      <c r="W50" s="128"/>
      <c r="X50" s="129"/>
      <c r="Y50" s="128"/>
      <c r="Z50" s="129"/>
      <c r="AA50" s="128"/>
      <c r="AB50" s="129"/>
      <c r="AC50" s="128"/>
      <c r="AD50" s="129"/>
      <c r="AE50" s="128"/>
      <c r="AF50" s="129"/>
      <c r="AG50" s="128"/>
      <c r="AH50" s="118"/>
    </row>
    <row r="51">
      <c r="A51" s="4">
        <v>1.0</v>
      </c>
      <c r="B51" s="4">
        <v>165.0</v>
      </c>
      <c r="C51" t="str">
        <f>'Mens JV Results'!F56</f>
        <v/>
      </c>
      <c r="D51">
        <f>'Mens JV Results'!C56</f>
        <v>12</v>
      </c>
      <c r="G51" s="130"/>
      <c r="H51" s="131"/>
      <c r="I51" s="132"/>
      <c r="J51" s="131"/>
      <c r="K51" s="132"/>
      <c r="L51" s="131"/>
      <c r="M51" s="132"/>
      <c r="N51" s="131"/>
      <c r="O51" s="132"/>
      <c r="P51" s="131"/>
      <c r="Q51" s="132"/>
      <c r="R51" s="131"/>
      <c r="S51" s="132"/>
      <c r="T51" s="131"/>
      <c r="U51" s="132"/>
      <c r="V51" s="131"/>
      <c r="W51" s="132"/>
      <c r="X51" s="131"/>
      <c r="Y51" s="132"/>
      <c r="Z51" s="131"/>
      <c r="AA51" s="132"/>
      <c r="AB51" s="131"/>
      <c r="AC51" s="132"/>
      <c r="AD51" s="131"/>
      <c r="AE51" s="132"/>
      <c r="AF51" s="131"/>
      <c r="AG51" s="132"/>
      <c r="AH51" s="133"/>
    </row>
    <row r="52">
      <c r="A52" s="4">
        <v>2.0</v>
      </c>
      <c r="B52" s="4">
        <v>165.0</v>
      </c>
      <c r="C52" t="str">
        <f>'Mens JV Results'!F57</f>
        <v/>
      </c>
      <c r="D52">
        <f>'Mens JV Results'!C57</f>
        <v>9</v>
      </c>
      <c r="G52" s="112"/>
      <c r="H52" s="129"/>
      <c r="I52" s="128"/>
      <c r="J52" s="129"/>
      <c r="K52" s="128"/>
      <c r="L52" s="129"/>
      <c r="M52" s="128"/>
      <c r="N52" s="129"/>
      <c r="O52" s="128"/>
      <c r="P52" s="129"/>
      <c r="Q52" s="128"/>
      <c r="R52" s="129"/>
      <c r="S52" s="128"/>
      <c r="T52" s="129"/>
      <c r="U52" s="128"/>
      <c r="V52" s="129"/>
      <c r="W52" s="128"/>
      <c r="X52" s="129"/>
      <c r="Y52" s="128"/>
      <c r="Z52" s="129"/>
      <c r="AA52" s="128"/>
      <c r="AB52" s="129"/>
      <c r="AC52" s="128"/>
      <c r="AD52" s="129"/>
      <c r="AE52" s="128"/>
      <c r="AF52" s="129"/>
      <c r="AG52" s="128"/>
      <c r="AH52" s="118"/>
    </row>
    <row r="53">
      <c r="A53" s="4">
        <v>3.0</v>
      </c>
      <c r="B53" s="4">
        <v>165.0</v>
      </c>
      <c r="C53" t="str">
        <f>'Mens JV Results'!F58</f>
        <v/>
      </c>
      <c r="D53">
        <f>'Mens JV Results'!C58</f>
        <v>8</v>
      </c>
      <c r="G53" s="130"/>
      <c r="H53" s="131"/>
      <c r="I53" s="132"/>
      <c r="J53" s="131"/>
      <c r="K53" s="132"/>
      <c r="L53" s="131"/>
      <c r="M53" s="132"/>
      <c r="N53" s="131"/>
      <c r="O53" s="132"/>
      <c r="P53" s="131"/>
      <c r="Q53" s="132"/>
      <c r="R53" s="131"/>
      <c r="S53" s="132"/>
      <c r="T53" s="131"/>
      <c r="U53" s="132"/>
      <c r="V53" s="131"/>
      <c r="W53" s="132"/>
      <c r="X53" s="131"/>
      <c r="Y53" s="132"/>
      <c r="Z53" s="131"/>
      <c r="AA53" s="132"/>
      <c r="AB53" s="131"/>
      <c r="AC53" s="132"/>
      <c r="AD53" s="131"/>
      <c r="AE53" s="132"/>
      <c r="AF53" s="131"/>
      <c r="AG53" s="132"/>
      <c r="AH53" s="133"/>
    </row>
    <row r="54">
      <c r="A54" s="4">
        <v>4.0</v>
      </c>
      <c r="B54" s="4">
        <v>165.0</v>
      </c>
      <c r="C54" t="str">
        <f>'Mens JV Results'!F59</f>
        <v/>
      </c>
      <c r="D54">
        <f>'Mens JV Results'!C59</f>
        <v>7</v>
      </c>
      <c r="G54" s="112"/>
      <c r="H54" s="129"/>
      <c r="I54" s="128"/>
      <c r="J54" s="129"/>
      <c r="K54" s="128"/>
      <c r="L54" s="129"/>
      <c r="M54" s="128"/>
      <c r="N54" s="129"/>
      <c r="O54" s="128"/>
      <c r="P54" s="129"/>
      <c r="Q54" s="128"/>
      <c r="R54" s="129"/>
      <c r="S54" s="128"/>
      <c r="T54" s="129"/>
      <c r="U54" s="128"/>
      <c r="V54" s="129"/>
      <c r="W54" s="128"/>
      <c r="X54" s="129"/>
      <c r="Y54" s="128"/>
      <c r="Z54" s="129"/>
      <c r="AA54" s="128"/>
      <c r="AB54" s="129"/>
      <c r="AC54" s="128"/>
      <c r="AD54" s="129"/>
      <c r="AE54" s="128"/>
      <c r="AF54" s="129"/>
      <c r="AG54" s="128"/>
      <c r="AH54" s="118"/>
    </row>
    <row r="55">
      <c r="A55" s="4">
        <v>5.0</v>
      </c>
      <c r="B55" s="4">
        <v>165.0</v>
      </c>
      <c r="C55" t="str">
        <f>'Mens JV Results'!F60</f>
        <v/>
      </c>
      <c r="D55">
        <f>'Mens JV Results'!C60</f>
        <v>6</v>
      </c>
      <c r="G55" s="130"/>
      <c r="H55" s="131"/>
      <c r="I55" s="132"/>
      <c r="J55" s="131"/>
      <c r="K55" s="132"/>
      <c r="L55" s="131"/>
      <c r="M55" s="132"/>
      <c r="N55" s="131"/>
      <c r="O55" s="132"/>
      <c r="P55" s="131"/>
      <c r="Q55" s="132"/>
      <c r="R55" s="131"/>
      <c r="S55" s="132"/>
      <c r="T55" s="131"/>
      <c r="U55" s="132"/>
      <c r="V55" s="131"/>
      <c r="W55" s="132"/>
      <c r="X55" s="131"/>
      <c r="Y55" s="132"/>
      <c r="Z55" s="131"/>
      <c r="AA55" s="132"/>
      <c r="AB55" s="131"/>
      <c r="AC55" s="132"/>
      <c r="AD55" s="131"/>
      <c r="AE55" s="132"/>
      <c r="AF55" s="131"/>
      <c r="AG55" s="132"/>
      <c r="AH55" s="133"/>
    </row>
    <row r="56">
      <c r="A56" s="4">
        <v>6.0</v>
      </c>
      <c r="B56" s="4">
        <v>165.0</v>
      </c>
      <c r="C56" t="str">
        <f>'Mens JV Results'!F61</f>
        <v/>
      </c>
      <c r="D56">
        <f>'Mens JV Results'!C61</f>
        <v>5</v>
      </c>
      <c r="G56" s="112"/>
      <c r="H56" s="129"/>
      <c r="I56" s="128"/>
      <c r="J56" s="129"/>
      <c r="K56" s="128"/>
      <c r="L56" s="129"/>
      <c r="M56" s="128"/>
      <c r="N56" s="129"/>
      <c r="O56" s="128"/>
      <c r="P56" s="129"/>
      <c r="Q56" s="128"/>
      <c r="R56" s="129"/>
      <c r="S56" s="128"/>
      <c r="T56" s="129"/>
      <c r="U56" s="128"/>
      <c r="V56" s="129"/>
      <c r="W56" s="128"/>
      <c r="X56" s="129"/>
      <c r="Y56" s="128"/>
      <c r="Z56" s="129"/>
      <c r="AA56" s="128"/>
      <c r="AB56" s="129"/>
      <c r="AC56" s="128"/>
      <c r="AD56" s="129"/>
      <c r="AE56" s="128"/>
      <c r="AF56" s="129"/>
      <c r="AG56" s="128"/>
      <c r="AH56" s="118"/>
    </row>
    <row r="57">
      <c r="A57" s="4">
        <v>7.0</v>
      </c>
      <c r="B57" s="4">
        <v>165.0</v>
      </c>
      <c r="C57" t="str">
        <f>'Mens JV Results'!F62</f>
        <v/>
      </c>
      <c r="D57">
        <f>'Mens JV Results'!C62</f>
        <v>4</v>
      </c>
      <c r="G57" s="130"/>
      <c r="H57" s="131"/>
      <c r="I57" s="132"/>
      <c r="J57" s="131"/>
      <c r="K57" s="132"/>
      <c r="L57" s="131"/>
      <c r="M57" s="132"/>
      <c r="N57" s="131"/>
      <c r="O57" s="132"/>
      <c r="P57" s="131"/>
      <c r="Q57" s="132"/>
      <c r="R57" s="131"/>
      <c r="S57" s="132"/>
      <c r="T57" s="131"/>
      <c r="U57" s="132"/>
      <c r="V57" s="131"/>
      <c r="W57" s="132"/>
      <c r="X57" s="131"/>
      <c r="Y57" s="132"/>
      <c r="Z57" s="131"/>
      <c r="AA57" s="132"/>
      <c r="AB57" s="131"/>
      <c r="AC57" s="132"/>
      <c r="AD57" s="131"/>
      <c r="AE57" s="132"/>
      <c r="AF57" s="131"/>
      <c r="AG57" s="132"/>
      <c r="AH57" s="133"/>
    </row>
    <row r="58">
      <c r="A58" s="4">
        <v>8.0</v>
      </c>
      <c r="B58" s="4">
        <v>165.0</v>
      </c>
      <c r="C58" t="str">
        <f>'Mens JV Results'!F63</f>
        <v/>
      </c>
      <c r="D58">
        <f>'Mens JV Results'!C63</f>
        <v>3</v>
      </c>
      <c r="G58" s="112"/>
      <c r="H58" s="129"/>
      <c r="I58" s="128"/>
      <c r="J58" s="129"/>
      <c r="K58" s="128"/>
      <c r="L58" s="129"/>
      <c r="M58" s="128"/>
      <c r="N58" s="129"/>
      <c r="O58" s="128"/>
      <c r="P58" s="129"/>
      <c r="Q58" s="128"/>
      <c r="R58" s="129"/>
      <c r="S58" s="128"/>
      <c r="T58" s="129"/>
      <c r="U58" s="128"/>
      <c r="V58" s="129"/>
      <c r="W58" s="128"/>
      <c r="X58" s="129"/>
      <c r="Y58" s="128"/>
      <c r="Z58" s="129"/>
      <c r="AA58" s="128"/>
      <c r="AB58" s="129"/>
      <c r="AC58" s="128"/>
      <c r="AD58" s="129"/>
      <c r="AE58" s="128"/>
      <c r="AF58" s="129"/>
      <c r="AG58" s="128"/>
      <c r="AH58" s="118"/>
    </row>
    <row r="59">
      <c r="A59" s="4">
        <v>9.0</v>
      </c>
      <c r="B59" s="4">
        <v>165.0</v>
      </c>
      <c r="C59" t="str">
        <f>'Mens JV Results'!F64</f>
        <v/>
      </c>
      <c r="D59">
        <f>'Mens JV Results'!C64</f>
        <v>2</v>
      </c>
      <c r="G59" s="130"/>
      <c r="H59" s="131"/>
      <c r="I59" s="132"/>
      <c r="J59" s="131"/>
      <c r="K59" s="132"/>
      <c r="L59" s="131"/>
      <c r="M59" s="132"/>
      <c r="N59" s="131"/>
      <c r="O59" s="132"/>
      <c r="P59" s="131"/>
      <c r="Q59" s="132"/>
      <c r="R59" s="131"/>
      <c r="S59" s="132"/>
      <c r="T59" s="131"/>
      <c r="U59" s="132"/>
      <c r="V59" s="131"/>
      <c r="W59" s="132"/>
      <c r="X59" s="131"/>
      <c r="Y59" s="132"/>
      <c r="Z59" s="131"/>
      <c r="AA59" s="132"/>
      <c r="AB59" s="131"/>
      <c r="AC59" s="132"/>
      <c r="AD59" s="131"/>
      <c r="AE59" s="132"/>
      <c r="AF59" s="131"/>
      <c r="AG59" s="132"/>
      <c r="AH59" s="133"/>
    </row>
    <row r="60">
      <c r="A60" s="4">
        <v>10.0</v>
      </c>
      <c r="B60" s="4">
        <v>165.0</v>
      </c>
      <c r="C60" t="str">
        <f>'Mens JV Results'!F65</f>
        <v/>
      </c>
      <c r="D60">
        <f>'Mens JV Results'!C65</f>
        <v>1</v>
      </c>
      <c r="G60" s="112"/>
      <c r="H60" s="129"/>
      <c r="I60" s="128"/>
      <c r="J60" s="129"/>
      <c r="K60" s="128"/>
      <c r="L60" s="129"/>
      <c r="M60" s="128"/>
      <c r="N60" s="129"/>
      <c r="O60" s="128"/>
      <c r="P60" s="129"/>
      <c r="Q60" s="128"/>
      <c r="R60" s="129"/>
      <c r="S60" s="128"/>
      <c r="T60" s="129"/>
      <c r="U60" s="128"/>
      <c r="V60" s="129"/>
      <c r="W60" s="128"/>
      <c r="X60" s="129"/>
      <c r="Y60" s="128"/>
      <c r="Z60" s="129"/>
      <c r="AA60" s="128"/>
      <c r="AB60" s="129"/>
      <c r="AC60" s="128"/>
      <c r="AD60" s="129"/>
      <c r="AE60" s="128"/>
      <c r="AF60" s="129"/>
      <c r="AG60" s="128"/>
      <c r="AH60" s="118"/>
    </row>
    <row r="61">
      <c r="A61" s="4">
        <v>1.0</v>
      </c>
      <c r="B61" s="4">
        <v>181.0</v>
      </c>
      <c r="C61" t="str">
        <f>'Mens JV Results'!F66</f>
        <v/>
      </c>
      <c r="D61">
        <f>'Mens JV Results'!C66</f>
        <v>12</v>
      </c>
      <c r="G61" s="130"/>
      <c r="H61" s="131"/>
      <c r="I61" s="132"/>
      <c r="J61" s="131"/>
      <c r="K61" s="132"/>
      <c r="L61" s="131"/>
      <c r="M61" s="132"/>
      <c r="N61" s="131"/>
      <c r="O61" s="132"/>
      <c r="P61" s="131"/>
      <c r="Q61" s="132"/>
      <c r="R61" s="131"/>
      <c r="S61" s="132"/>
      <c r="T61" s="131"/>
      <c r="U61" s="132"/>
      <c r="V61" s="131"/>
      <c r="W61" s="132"/>
      <c r="X61" s="131"/>
      <c r="Y61" s="132"/>
      <c r="Z61" s="131"/>
      <c r="AA61" s="132"/>
      <c r="AB61" s="131"/>
      <c r="AC61" s="132"/>
      <c r="AD61" s="131"/>
      <c r="AE61" s="132"/>
      <c r="AF61" s="131"/>
      <c r="AG61" s="132"/>
      <c r="AH61" s="133"/>
    </row>
    <row r="62">
      <c r="A62" s="4">
        <v>2.0</v>
      </c>
      <c r="B62" s="4">
        <v>181.0</v>
      </c>
      <c r="C62" t="str">
        <f>'Mens JV Results'!F67</f>
        <v/>
      </c>
      <c r="D62">
        <f>'Mens JV Results'!C67</f>
        <v>9</v>
      </c>
      <c r="G62" s="112"/>
      <c r="H62" s="129"/>
      <c r="I62" s="128"/>
      <c r="J62" s="129"/>
      <c r="K62" s="128"/>
      <c r="L62" s="129"/>
      <c r="M62" s="128"/>
      <c r="N62" s="129"/>
      <c r="O62" s="128"/>
      <c r="P62" s="129"/>
      <c r="Q62" s="128"/>
      <c r="R62" s="129"/>
      <c r="S62" s="128"/>
      <c r="T62" s="129"/>
      <c r="U62" s="128"/>
      <c r="V62" s="129"/>
      <c r="W62" s="128"/>
      <c r="X62" s="129"/>
      <c r="Y62" s="128"/>
      <c r="Z62" s="129"/>
      <c r="AA62" s="128"/>
      <c r="AB62" s="129"/>
      <c r="AC62" s="128"/>
      <c r="AD62" s="129"/>
      <c r="AE62" s="128"/>
      <c r="AF62" s="129"/>
      <c r="AG62" s="128"/>
      <c r="AH62" s="118"/>
    </row>
    <row r="63">
      <c r="A63" s="4">
        <v>3.0</v>
      </c>
      <c r="B63" s="4">
        <v>181.0</v>
      </c>
      <c r="C63" t="str">
        <f>'Mens JV Results'!F68</f>
        <v/>
      </c>
      <c r="D63">
        <f>'Mens JV Results'!C68</f>
        <v>8</v>
      </c>
      <c r="G63" s="130"/>
      <c r="H63" s="131"/>
      <c r="I63" s="132"/>
      <c r="J63" s="131"/>
      <c r="K63" s="132"/>
      <c r="L63" s="131"/>
      <c r="M63" s="132"/>
      <c r="N63" s="131"/>
      <c r="O63" s="132"/>
      <c r="P63" s="131"/>
      <c r="Q63" s="132"/>
      <c r="R63" s="131"/>
      <c r="S63" s="132"/>
      <c r="T63" s="131"/>
      <c r="U63" s="132"/>
      <c r="V63" s="131"/>
      <c r="W63" s="132"/>
      <c r="X63" s="131"/>
      <c r="Y63" s="132"/>
      <c r="Z63" s="131"/>
      <c r="AA63" s="132"/>
      <c r="AB63" s="131"/>
      <c r="AC63" s="132"/>
      <c r="AD63" s="131"/>
      <c r="AE63" s="132"/>
      <c r="AF63" s="131"/>
      <c r="AG63" s="132"/>
      <c r="AH63" s="133"/>
    </row>
    <row r="64">
      <c r="A64" s="4">
        <v>4.0</v>
      </c>
      <c r="B64" s="4">
        <v>181.0</v>
      </c>
      <c r="C64" t="str">
        <f>'Mens JV Results'!F69</f>
        <v/>
      </c>
      <c r="D64">
        <f>'Mens JV Results'!C69</f>
        <v>7</v>
      </c>
      <c r="G64" s="112"/>
      <c r="H64" s="129"/>
      <c r="I64" s="128"/>
      <c r="J64" s="129"/>
      <c r="K64" s="128"/>
      <c r="L64" s="129"/>
      <c r="M64" s="128"/>
      <c r="N64" s="129"/>
      <c r="O64" s="128"/>
      <c r="P64" s="129"/>
      <c r="Q64" s="128"/>
      <c r="R64" s="129"/>
      <c r="S64" s="128"/>
      <c r="T64" s="129"/>
      <c r="U64" s="128"/>
      <c r="V64" s="129"/>
      <c r="W64" s="128"/>
      <c r="X64" s="129"/>
      <c r="Y64" s="128"/>
      <c r="Z64" s="129"/>
      <c r="AA64" s="128"/>
      <c r="AB64" s="129"/>
      <c r="AC64" s="128"/>
      <c r="AD64" s="129"/>
      <c r="AE64" s="128"/>
      <c r="AF64" s="129"/>
      <c r="AG64" s="128"/>
      <c r="AH64" s="118"/>
    </row>
    <row r="65">
      <c r="A65" s="4">
        <v>5.0</v>
      </c>
      <c r="B65" s="4">
        <v>181.0</v>
      </c>
      <c r="C65" t="str">
        <f>'Mens JV Results'!F70</f>
        <v/>
      </c>
      <c r="D65">
        <f>'Mens JV Results'!C70</f>
        <v>6</v>
      </c>
      <c r="G65" s="130"/>
      <c r="H65" s="131"/>
      <c r="I65" s="132"/>
      <c r="J65" s="131"/>
      <c r="K65" s="132"/>
      <c r="L65" s="131"/>
      <c r="M65" s="132"/>
      <c r="N65" s="131"/>
      <c r="O65" s="132"/>
      <c r="P65" s="131"/>
      <c r="Q65" s="132"/>
      <c r="R65" s="131"/>
      <c r="S65" s="132"/>
      <c r="T65" s="131"/>
      <c r="U65" s="132"/>
      <c r="V65" s="131"/>
      <c r="W65" s="132"/>
      <c r="X65" s="131"/>
      <c r="Y65" s="132"/>
      <c r="Z65" s="131"/>
      <c r="AA65" s="132"/>
      <c r="AB65" s="131"/>
      <c r="AC65" s="132"/>
      <c r="AD65" s="131"/>
      <c r="AE65" s="132"/>
      <c r="AF65" s="131"/>
      <c r="AG65" s="132"/>
      <c r="AH65" s="133"/>
    </row>
    <row r="66">
      <c r="A66" s="4">
        <v>6.0</v>
      </c>
      <c r="B66" s="4">
        <v>181.0</v>
      </c>
      <c r="C66" t="str">
        <f>'Mens JV Results'!F71</f>
        <v/>
      </c>
      <c r="D66">
        <f>'Mens JV Results'!C71</f>
        <v>5</v>
      </c>
      <c r="G66" s="112"/>
      <c r="H66" s="129"/>
      <c r="I66" s="128"/>
      <c r="J66" s="129"/>
      <c r="K66" s="128"/>
      <c r="L66" s="129"/>
      <c r="M66" s="128"/>
      <c r="N66" s="129"/>
      <c r="O66" s="128"/>
      <c r="P66" s="129"/>
      <c r="Q66" s="128"/>
      <c r="R66" s="129"/>
      <c r="S66" s="128"/>
      <c r="T66" s="129"/>
      <c r="U66" s="128"/>
      <c r="V66" s="129"/>
      <c r="W66" s="128"/>
      <c r="X66" s="129"/>
      <c r="Y66" s="128"/>
      <c r="Z66" s="129"/>
      <c r="AA66" s="128"/>
      <c r="AB66" s="129"/>
      <c r="AC66" s="128"/>
      <c r="AD66" s="129"/>
      <c r="AE66" s="128"/>
      <c r="AF66" s="129"/>
      <c r="AG66" s="128"/>
      <c r="AH66" s="118"/>
    </row>
    <row r="67">
      <c r="A67" s="4">
        <v>7.0</v>
      </c>
      <c r="B67" s="4">
        <v>181.0</v>
      </c>
      <c r="C67" t="str">
        <f>'Mens JV Results'!F72</f>
        <v/>
      </c>
      <c r="D67">
        <f>'Mens JV Results'!C72</f>
        <v>4</v>
      </c>
      <c r="G67" s="130"/>
      <c r="H67" s="131"/>
      <c r="I67" s="132"/>
      <c r="J67" s="131"/>
      <c r="K67" s="132"/>
      <c r="L67" s="131"/>
      <c r="M67" s="132"/>
      <c r="N67" s="131"/>
      <c r="O67" s="132"/>
      <c r="P67" s="131"/>
      <c r="Q67" s="132"/>
      <c r="R67" s="131"/>
      <c r="S67" s="132"/>
      <c r="T67" s="131"/>
      <c r="U67" s="132"/>
      <c r="V67" s="131"/>
      <c r="W67" s="132"/>
      <c r="X67" s="131"/>
      <c r="Y67" s="132"/>
      <c r="Z67" s="131"/>
      <c r="AA67" s="132"/>
      <c r="AB67" s="131"/>
      <c r="AC67" s="132"/>
      <c r="AD67" s="131"/>
      <c r="AE67" s="132"/>
      <c r="AF67" s="131"/>
      <c r="AG67" s="132"/>
      <c r="AH67" s="133"/>
    </row>
    <row r="68">
      <c r="A68" s="4">
        <v>8.0</v>
      </c>
      <c r="B68" s="4">
        <v>181.0</v>
      </c>
      <c r="C68" t="str">
        <f>'Mens JV Results'!F73</f>
        <v/>
      </c>
      <c r="D68">
        <f>'Mens JV Results'!C73</f>
        <v>3</v>
      </c>
      <c r="G68" s="112"/>
      <c r="H68" s="129"/>
      <c r="I68" s="128"/>
      <c r="J68" s="129"/>
      <c r="K68" s="128"/>
      <c r="L68" s="129"/>
      <c r="M68" s="128"/>
      <c r="N68" s="129"/>
      <c r="O68" s="128"/>
      <c r="P68" s="129"/>
      <c r="Q68" s="128"/>
      <c r="R68" s="129"/>
      <c r="S68" s="128"/>
      <c r="T68" s="129"/>
      <c r="U68" s="128"/>
      <c r="V68" s="129"/>
      <c r="W68" s="128"/>
      <c r="X68" s="129"/>
      <c r="Y68" s="128"/>
      <c r="Z68" s="129"/>
      <c r="AA68" s="128"/>
      <c r="AB68" s="129"/>
      <c r="AC68" s="128"/>
      <c r="AD68" s="129"/>
      <c r="AE68" s="128"/>
      <c r="AF68" s="129"/>
      <c r="AG68" s="128"/>
      <c r="AH68" s="118"/>
    </row>
    <row r="69">
      <c r="A69" s="4">
        <v>9.0</v>
      </c>
      <c r="B69" s="4">
        <v>181.0</v>
      </c>
      <c r="C69" t="str">
        <f>'Mens JV Results'!F74</f>
        <v/>
      </c>
      <c r="D69">
        <f>'Mens JV Results'!C74</f>
        <v>2</v>
      </c>
      <c r="G69" s="130"/>
      <c r="H69" s="131"/>
      <c r="I69" s="132"/>
      <c r="J69" s="131"/>
      <c r="K69" s="132"/>
      <c r="L69" s="131"/>
      <c r="M69" s="132"/>
      <c r="N69" s="131"/>
      <c r="O69" s="132"/>
      <c r="P69" s="131"/>
      <c r="Q69" s="132"/>
      <c r="R69" s="131"/>
      <c r="S69" s="132"/>
      <c r="T69" s="131"/>
      <c r="U69" s="132"/>
      <c r="V69" s="131"/>
      <c r="W69" s="132"/>
      <c r="X69" s="131"/>
      <c r="Y69" s="132"/>
      <c r="Z69" s="131"/>
      <c r="AA69" s="132"/>
      <c r="AB69" s="131"/>
      <c r="AC69" s="132"/>
      <c r="AD69" s="131"/>
      <c r="AE69" s="132"/>
      <c r="AF69" s="131"/>
      <c r="AG69" s="132"/>
      <c r="AH69" s="133"/>
    </row>
    <row r="70">
      <c r="A70" s="4">
        <v>10.0</v>
      </c>
      <c r="B70" s="4">
        <v>181.0</v>
      </c>
      <c r="C70" t="str">
        <f>'Mens JV Results'!F75</f>
        <v/>
      </c>
      <c r="D70">
        <f>'Mens JV Results'!C75</f>
        <v>1</v>
      </c>
      <c r="G70" s="112"/>
      <c r="H70" s="129"/>
      <c r="I70" s="128"/>
      <c r="J70" s="129"/>
      <c r="K70" s="128"/>
      <c r="L70" s="129"/>
      <c r="M70" s="128"/>
      <c r="N70" s="129"/>
      <c r="O70" s="128"/>
      <c r="P70" s="129"/>
      <c r="Q70" s="128"/>
      <c r="R70" s="129"/>
      <c r="S70" s="128"/>
      <c r="T70" s="129"/>
      <c r="U70" s="128"/>
      <c r="V70" s="129"/>
      <c r="W70" s="128"/>
      <c r="X70" s="129"/>
      <c r="Y70" s="128"/>
      <c r="Z70" s="129"/>
      <c r="AA70" s="128"/>
      <c r="AB70" s="129"/>
      <c r="AC70" s="128"/>
      <c r="AD70" s="129"/>
      <c r="AE70" s="128"/>
      <c r="AF70" s="129"/>
      <c r="AG70" s="128"/>
      <c r="AH70" s="118"/>
    </row>
    <row r="71">
      <c r="A71" s="4">
        <v>1.0</v>
      </c>
      <c r="B71" s="4">
        <v>194.0</v>
      </c>
      <c r="C71" t="str">
        <f>'Mens JV Results'!F76</f>
        <v/>
      </c>
      <c r="D71">
        <f>'Mens JV Results'!C76</f>
        <v>12</v>
      </c>
      <c r="G71" s="130"/>
      <c r="H71" s="131"/>
      <c r="I71" s="132"/>
      <c r="J71" s="131"/>
      <c r="K71" s="132"/>
      <c r="L71" s="131"/>
      <c r="M71" s="132"/>
      <c r="N71" s="131"/>
      <c r="O71" s="132"/>
      <c r="P71" s="131"/>
      <c r="Q71" s="132"/>
      <c r="R71" s="131"/>
      <c r="S71" s="132"/>
      <c r="T71" s="131"/>
      <c r="U71" s="132"/>
      <c r="V71" s="131"/>
      <c r="W71" s="132"/>
      <c r="X71" s="131"/>
      <c r="Y71" s="132"/>
      <c r="Z71" s="131"/>
      <c r="AA71" s="132"/>
      <c r="AB71" s="131"/>
      <c r="AC71" s="132"/>
      <c r="AD71" s="131"/>
      <c r="AE71" s="132"/>
      <c r="AF71" s="131"/>
      <c r="AG71" s="132"/>
      <c r="AH71" s="133"/>
    </row>
    <row r="72">
      <c r="A72" s="4">
        <v>2.0</v>
      </c>
      <c r="B72" s="4">
        <v>194.0</v>
      </c>
      <c r="C72" t="str">
        <f>'Mens JV Results'!F77</f>
        <v/>
      </c>
      <c r="D72">
        <f>'Mens JV Results'!C77</f>
        <v>9</v>
      </c>
      <c r="G72" s="112"/>
      <c r="H72" s="129"/>
      <c r="I72" s="128"/>
      <c r="J72" s="129"/>
      <c r="K72" s="128"/>
      <c r="L72" s="129"/>
      <c r="M72" s="128"/>
      <c r="N72" s="129"/>
      <c r="O72" s="128"/>
      <c r="P72" s="129"/>
      <c r="Q72" s="128"/>
      <c r="R72" s="129"/>
      <c r="S72" s="128"/>
      <c r="T72" s="129"/>
      <c r="U72" s="128"/>
      <c r="V72" s="129"/>
      <c r="W72" s="128"/>
      <c r="X72" s="129"/>
      <c r="Y72" s="128"/>
      <c r="Z72" s="129"/>
      <c r="AA72" s="128"/>
      <c r="AB72" s="129"/>
      <c r="AC72" s="128"/>
      <c r="AD72" s="129"/>
      <c r="AE72" s="128"/>
      <c r="AF72" s="129"/>
      <c r="AG72" s="128"/>
      <c r="AH72" s="118"/>
    </row>
    <row r="73">
      <c r="A73" s="4">
        <v>3.0</v>
      </c>
      <c r="B73" s="4">
        <v>194.0</v>
      </c>
      <c r="C73" t="str">
        <f>'Mens JV Results'!F78</f>
        <v/>
      </c>
      <c r="D73">
        <f>'Mens JV Results'!C78</f>
        <v>8</v>
      </c>
      <c r="G73" s="130"/>
      <c r="H73" s="131"/>
      <c r="I73" s="132"/>
      <c r="J73" s="131"/>
      <c r="K73" s="132"/>
      <c r="L73" s="131"/>
      <c r="M73" s="132"/>
      <c r="N73" s="131"/>
      <c r="O73" s="132"/>
      <c r="P73" s="131"/>
      <c r="Q73" s="132"/>
      <c r="R73" s="131"/>
      <c r="S73" s="132"/>
      <c r="T73" s="131"/>
      <c r="U73" s="132"/>
      <c r="V73" s="131"/>
      <c r="W73" s="132"/>
      <c r="X73" s="131"/>
      <c r="Y73" s="132"/>
      <c r="Z73" s="131"/>
      <c r="AA73" s="132"/>
      <c r="AB73" s="131"/>
      <c r="AC73" s="132"/>
      <c r="AD73" s="131"/>
      <c r="AE73" s="132"/>
      <c r="AF73" s="131"/>
      <c r="AG73" s="132"/>
      <c r="AH73" s="133"/>
    </row>
    <row r="74">
      <c r="A74" s="4">
        <v>4.0</v>
      </c>
      <c r="B74" s="4">
        <v>194.0</v>
      </c>
      <c r="C74" t="str">
        <f>'Mens JV Results'!F79</f>
        <v/>
      </c>
      <c r="D74">
        <f>'Mens JV Results'!C79</f>
        <v>7</v>
      </c>
      <c r="G74" s="112"/>
      <c r="H74" s="129"/>
      <c r="I74" s="128"/>
      <c r="J74" s="129"/>
      <c r="K74" s="128"/>
      <c r="L74" s="129"/>
      <c r="M74" s="128"/>
      <c r="N74" s="129"/>
      <c r="O74" s="128"/>
      <c r="P74" s="129"/>
      <c r="Q74" s="128"/>
      <c r="R74" s="129"/>
      <c r="S74" s="128"/>
      <c r="T74" s="129"/>
      <c r="U74" s="128"/>
      <c r="V74" s="129"/>
      <c r="W74" s="128"/>
      <c r="X74" s="129"/>
      <c r="Y74" s="128"/>
      <c r="Z74" s="129"/>
      <c r="AA74" s="128"/>
      <c r="AB74" s="129"/>
      <c r="AC74" s="128"/>
      <c r="AD74" s="129"/>
      <c r="AE74" s="128"/>
      <c r="AF74" s="129"/>
      <c r="AG74" s="128"/>
      <c r="AH74" s="118"/>
    </row>
    <row r="75">
      <c r="A75" s="4">
        <v>5.0</v>
      </c>
      <c r="B75" s="4">
        <v>194.0</v>
      </c>
      <c r="C75" t="str">
        <f>'Mens JV Results'!F80</f>
        <v/>
      </c>
      <c r="D75">
        <f>'Mens JV Results'!C80</f>
        <v>6</v>
      </c>
      <c r="G75" s="130"/>
      <c r="H75" s="131"/>
      <c r="I75" s="132"/>
      <c r="J75" s="131"/>
      <c r="K75" s="132"/>
      <c r="L75" s="131"/>
      <c r="M75" s="132"/>
      <c r="N75" s="131"/>
      <c r="O75" s="132"/>
      <c r="P75" s="131"/>
      <c r="Q75" s="132"/>
      <c r="R75" s="131"/>
      <c r="S75" s="132"/>
      <c r="T75" s="131"/>
      <c r="U75" s="132"/>
      <c r="V75" s="131"/>
      <c r="W75" s="132"/>
      <c r="X75" s="131"/>
      <c r="Y75" s="132"/>
      <c r="Z75" s="131"/>
      <c r="AA75" s="132"/>
      <c r="AB75" s="131"/>
      <c r="AC75" s="132"/>
      <c r="AD75" s="131"/>
      <c r="AE75" s="132"/>
      <c r="AF75" s="131"/>
      <c r="AG75" s="132"/>
      <c r="AH75" s="133"/>
    </row>
    <row r="76">
      <c r="A76" s="4">
        <v>6.0</v>
      </c>
      <c r="B76" s="4">
        <v>194.0</v>
      </c>
      <c r="C76" t="str">
        <f>'Mens JV Results'!F81</f>
        <v/>
      </c>
      <c r="D76">
        <f>'Mens JV Results'!C81</f>
        <v>5</v>
      </c>
      <c r="G76" s="112"/>
      <c r="H76" s="129"/>
      <c r="I76" s="128"/>
      <c r="J76" s="129"/>
      <c r="K76" s="128"/>
      <c r="L76" s="129"/>
      <c r="M76" s="128"/>
      <c r="N76" s="129"/>
      <c r="O76" s="128"/>
      <c r="P76" s="129"/>
      <c r="Q76" s="128"/>
      <c r="R76" s="129"/>
      <c r="S76" s="128"/>
      <c r="T76" s="129"/>
      <c r="U76" s="128"/>
      <c r="V76" s="129"/>
      <c r="W76" s="128"/>
      <c r="X76" s="129"/>
      <c r="Y76" s="128"/>
      <c r="Z76" s="129"/>
      <c r="AA76" s="128"/>
      <c r="AB76" s="129"/>
      <c r="AC76" s="128"/>
      <c r="AD76" s="129"/>
      <c r="AE76" s="128"/>
      <c r="AF76" s="129"/>
      <c r="AG76" s="128"/>
      <c r="AH76" s="118"/>
    </row>
    <row r="77">
      <c r="A77" s="4">
        <v>7.0</v>
      </c>
      <c r="B77" s="4">
        <v>194.0</v>
      </c>
      <c r="C77" t="str">
        <f>'Mens JV Results'!F82</f>
        <v/>
      </c>
      <c r="D77">
        <f>'Mens JV Results'!C82</f>
        <v>4</v>
      </c>
      <c r="G77" s="130"/>
      <c r="H77" s="131"/>
      <c r="I77" s="132"/>
      <c r="J77" s="131"/>
      <c r="K77" s="132"/>
      <c r="L77" s="131"/>
      <c r="M77" s="132"/>
      <c r="N77" s="131"/>
      <c r="O77" s="132"/>
      <c r="P77" s="131"/>
      <c r="Q77" s="132"/>
      <c r="R77" s="131"/>
      <c r="S77" s="132"/>
      <c r="T77" s="131"/>
      <c r="U77" s="132"/>
      <c r="V77" s="131"/>
      <c r="W77" s="132"/>
      <c r="X77" s="131"/>
      <c r="Y77" s="132"/>
      <c r="Z77" s="131"/>
      <c r="AA77" s="132"/>
      <c r="AB77" s="131"/>
      <c r="AC77" s="132"/>
      <c r="AD77" s="131"/>
      <c r="AE77" s="132"/>
      <c r="AF77" s="131"/>
      <c r="AG77" s="132"/>
      <c r="AH77" s="133"/>
    </row>
    <row r="78">
      <c r="A78" s="4">
        <v>8.0</v>
      </c>
      <c r="B78" s="4">
        <v>194.0</v>
      </c>
      <c r="C78" t="str">
        <f>'Mens JV Results'!F83</f>
        <v/>
      </c>
      <c r="D78">
        <f>'Mens JV Results'!C83</f>
        <v>3</v>
      </c>
      <c r="G78" s="112"/>
      <c r="H78" s="129"/>
      <c r="I78" s="128"/>
      <c r="J78" s="129"/>
      <c r="K78" s="128"/>
      <c r="L78" s="129"/>
      <c r="M78" s="128"/>
      <c r="N78" s="129"/>
      <c r="O78" s="128"/>
      <c r="P78" s="129"/>
      <c r="Q78" s="128"/>
      <c r="R78" s="129"/>
      <c r="S78" s="128"/>
      <c r="T78" s="129"/>
      <c r="U78" s="128"/>
      <c r="V78" s="129"/>
      <c r="W78" s="128"/>
      <c r="X78" s="129"/>
      <c r="Y78" s="128"/>
      <c r="Z78" s="129"/>
      <c r="AA78" s="128"/>
      <c r="AB78" s="129"/>
      <c r="AC78" s="128"/>
      <c r="AD78" s="129"/>
      <c r="AE78" s="128"/>
      <c r="AF78" s="129"/>
      <c r="AG78" s="128"/>
      <c r="AH78" s="118"/>
    </row>
    <row r="79">
      <c r="A79" s="4">
        <v>9.0</v>
      </c>
      <c r="B79" s="4">
        <v>194.0</v>
      </c>
      <c r="C79" t="str">
        <f>'Mens JV Results'!F84</f>
        <v/>
      </c>
      <c r="D79">
        <f>'Mens JV Results'!C84</f>
        <v>2</v>
      </c>
      <c r="G79" s="130"/>
      <c r="H79" s="131"/>
      <c r="I79" s="132"/>
      <c r="J79" s="131"/>
      <c r="K79" s="132"/>
      <c r="L79" s="131"/>
      <c r="M79" s="132"/>
      <c r="N79" s="131"/>
      <c r="O79" s="132"/>
      <c r="P79" s="131"/>
      <c r="Q79" s="132"/>
      <c r="R79" s="131"/>
      <c r="S79" s="132"/>
      <c r="T79" s="131"/>
      <c r="U79" s="132"/>
      <c r="V79" s="131"/>
      <c r="W79" s="132"/>
      <c r="X79" s="131"/>
      <c r="Y79" s="132"/>
      <c r="Z79" s="131"/>
      <c r="AA79" s="132"/>
      <c r="AB79" s="131"/>
      <c r="AC79" s="132"/>
      <c r="AD79" s="131"/>
      <c r="AE79" s="132"/>
      <c r="AF79" s="131"/>
      <c r="AG79" s="132"/>
      <c r="AH79" s="133"/>
    </row>
    <row r="80">
      <c r="A80" s="4">
        <v>10.0</v>
      </c>
      <c r="B80" s="4">
        <v>194.0</v>
      </c>
      <c r="C80" t="str">
        <f>'Mens JV Results'!F85</f>
        <v/>
      </c>
      <c r="D80">
        <f>'Mens JV Results'!C85</f>
        <v>1</v>
      </c>
      <c r="G80" s="112"/>
      <c r="H80" s="129"/>
      <c r="I80" s="128"/>
      <c r="J80" s="129"/>
      <c r="K80" s="128"/>
      <c r="L80" s="129"/>
      <c r="M80" s="128"/>
      <c r="N80" s="129"/>
      <c r="O80" s="128"/>
      <c r="P80" s="129"/>
      <c r="Q80" s="128"/>
      <c r="R80" s="129"/>
      <c r="S80" s="128"/>
      <c r="T80" s="129"/>
      <c r="U80" s="128"/>
      <c r="V80" s="129"/>
      <c r="W80" s="128"/>
      <c r="X80" s="129"/>
      <c r="Y80" s="128"/>
      <c r="Z80" s="129"/>
      <c r="AA80" s="128"/>
      <c r="AB80" s="129"/>
      <c r="AC80" s="128"/>
      <c r="AD80" s="129"/>
      <c r="AE80" s="128"/>
      <c r="AF80" s="129"/>
      <c r="AG80" s="128"/>
      <c r="AH80" s="118"/>
    </row>
    <row r="81">
      <c r="A81" s="4">
        <v>1.0</v>
      </c>
      <c r="B81" s="4">
        <v>207.0</v>
      </c>
      <c r="C81" t="str">
        <f>'Mens JV Results'!F86</f>
        <v/>
      </c>
      <c r="D81">
        <f>'Mens JV Results'!C86</f>
        <v>12</v>
      </c>
      <c r="G81" s="130"/>
      <c r="H81" s="131"/>
      <c r="I81" s="132"/>
      <c r="J81" s="131"/>
      <c r="K81" s="132"/>
      <c r="L81" s="131"/>
      <c r="M81" s="132"/>
      <c r="N81" s="131"/>
      <c r="O81" s="132"/>
      <c r="P81" s="131"/>
      <c r="Q81" s="132"/>
      <c r="R81" s="131"/>
      <c r="S81" s="132"/>
      <c r="T81" s="131"/>
      <c r="U81" s="132"/>
      <c r="V81" s="131"/>
      <c r="W81" s="132"/>
      <c r="X81" s="131"/>
      <c r="Y81" s="132"/>
      <c r="Z81" s="131"/>
      <c r="AA81" s="132"/>
      <c r="AB81" s="131"/>
      <c r="AC81" s="132"/>
      <c r="AD81" s="131"/>
      <c r="AE81" s="132"/>
      <c r="AF81" s="131"/>
      <c r="AG81" s="132"/>
      <c r="AH81" s="133"/>
    </row>
    <row r="82">
      <c r="A82" s="4">
        <v>2.0</v>
      </c>
      <c r="B82" s="4">
        <v>207.0</v>
      </c>
      <c r="C82" t="str">
        <f>'Mens JV Results'!F87</f>
        <v/>
      </c>
      <c r="D82">
        <f>'Mens JV Results'!C87</f>
        <v>9</v>
      </c>
      <c r="G82" s="112"/>
      <c r="H82" s="129"/>
      <c r="I82" s="128"/>
      <c r="J82" s="129"/>
      <c r="K82" s="128"/>
      <c r="L82" s="129"/>
      <c r="M82" s="128"/>
      <c r="N82" s="129"/>
      <c r="O82" s="128"/>
      <c r="P82" s="129"/>
      <c r="Q82" s="128"/>
      <c r="R82" s="129"/>
      <c r="S82" s="128"/>
      <c r="T82" s="129"/>
      <c r="U82" s="128"/>
      <c r="V82" s="129"/>
      <c r="W82" s="128"/>
      <c r="X82" s="129"/>
      <c r="Y82" s="128"/>
      <c r="Z82" s="129"/>
      <c r="AA82" s="128"/>
      <c r="AB82" s="129"/>
      <c r="AC82" s="128"/>
      <c r="AD82" s="129"/>
      <c r="AE82" s="128"/>
      <c r="AF82" s="129"/>
      <c r="AG82" s="128"/>
      <c r="AH82" s="118"/>
    </row>
    <row r="83">
      <c r="A83" s="4">
        <v>3.0</v>
      </c>
      <c r="B83" s="4">
        <v>207.0</v>
      </c>
      <c r="C83" t="str">
        <f>'Mens JV Results'!F88</f>
        <v/>
      </c>
      <c r="D83">
        <f>'Mens JV Results'!C88</f>
        <v>8</v>
      </c>
      <c r="G83" s="130"/>
      <c r="H83" s="131"/>
      <c r="I83" s="132"/>
      <c r="J83" s="131"/>
      <c r="K83" s="132"/>
      <c r="L83" s="131"/>
      <c r="M83" s="132"/>
      <c r="N83" s="131"/>
      <c r="O83" s="132"/>
      <c r="P83" s="131"/>
      <c r="Q83" s="132"/>
      <c r="R83" s="131"/>
      <c r="S83" s="132"/>
      <c r="T83" s="131"/>
      <c r="U83" s="132"/>
      <c r="V83" s="131"/>
      <c r="W83" s="132"/>
      <c r="X83" s="131"/>
      <c r="Y83" s="132"/>
      <c r="Z83" s="131"/>
      <c r="AA83" s="132"/>
      <c r="AB83" s="131"/>
      <c r="AC83" s="132"/>
      <c r="AD83" s="131"/>
      <c r="AE83" s="132"/>
      <c r="AF83" s="131"/>
      <c r="AG83" s="132"/>
      <c r="AH83" s="133"/>
    </row>
    <row r="84">
      <c r="A84" s="4">
        <v>4.0</v>
      </c>
      <c r="B84" s="4">
        <v>207.0</v>
      </c>
      <c r="C84" t="str">
        <f>'Mens JV Results'!F89</f>
        <v/>
      </c>
      <c r="D84">
        <f>'Mens JV Results'!C89</f>
        <v>7</v>
      </c>
      <c r="G84" s="112"/>
      <c r="H84" s="129"/>
      <c r="I84" s="128"/>
      <c r="J84" s="129"/>
      <c r="K84" s="128"/>
      <c r="L84" s="129"/>
      <c r="M84" s="128"/>
      <c r="N84" s="129"/>
      <c r="O84" s="128"/>
      <c r="P84" s="129"/>
      <c r="Q84" s="128"/>
      <c r="R84" s="129"/>
      <c r="S84" s="128"/>
      <c r="T84" s="129"/>
      <c r="U84" s="128"/>
      <c r="V84" s="129"/>
      <c r="W84" s="128"/>
      <c r="X84" s="129"/>
      <c r="Y84" s="128"/>
      <c r="Z84" s="129"/>
      <c r="AA84" s="128"/>
      <c r="AB84" s="129"/>
      <c r="AC84" s="128"/>
      <c r="AD84" s="129"/>
      <c r="AE84" s="128"/>
      <c r="AF84" s="129"/>
      <c r="AG84" s="128"/>
      <c r="AH84" s="118"/>
    </row>
    <row r="85">
      <c r="A85" s="4">
        <v>5.0</v>
      </c>
      <c r="B85" s="4">
        <v>207.0</v>
      </c>
      <c r="C85" t="str">
        <f>'Mens JV Results'!F90</f>
        <v/>
      </c>
      <c r="D85">
        <f>'Mens JV Results'!C90</f>
        <v>6</v>
      </c>
      <c r="G85" s="130"/>
      <c r="H85" s="131"/>
      <c r="I85" s="132"/>
      <c r="J85" s="131"/>
      <c r="K85" s="132"/>
      <c r="L85" s="131"/>
      <c r="M85" s="132"/>
      <c r="N85" s="131"/>
      <c r="O85" s="132"/>
      <c r="P85" s="131"/>
      <c r="Q85" s="132"/>
      <c r="R85" s="131"/>
      <c r="S85" s="132"/>
      <c r="T85" s="131"/>
      <c r="U85" s="132"/>
      <c r="V85" s="131"/>
      <c r="W85" s="132"/>
      <c r="X85" s="131"/>
      <c r="Y85" s="132"/>
      <c r="Z85" s="131"/>
      <c r="AA85" s="132"/>
      <c r="AB85" s="131"/>
      <c r="AC85" s="132"/>
      <c r="AD85" s="131"/>
      <c r="AE85" s="132"/>
      <c r="AF85" s="131"/>
      <c r="AG85" s="132"/>
      <c r="AH85" s="133"/>
    </row>
    <row r="86">
      <c r="A86" s="4">
        <v>6.0</v>
      </c>
      <c r="B86" s="4">
        <v>207.0</v>
      </c>
      <c r="C86" t="str">
        <f>'Mens JV Results'!F91</f>
        <v/>
      </c>
      <c r="D86">
        <f>'Mens JV Results'!C91</f>
        <v>5</v>
      </c>
      <c r="G86" s="112"/>
      <c r="H86" s="129"/>
      <c r="I86" s="128"/>
      <c r="J86" s="129"/>
      <c r="K86" s="128"/>
      <c r="L86" s="129"/>
      <c r="M86" s="128"/>
      <c r="N86" s="129"/>
      <c r="O86" s="128"/>
      <c r="P86" s="129"/>
      <c r="Q86" s="128"/>
      <c r="R86" s="129"/>
      <c r="S86" s="128"/>
      <c r="T86" s="129"/>
      <c r="U86" s="128"/>
      <c r="V86" s="129"/>
      <c r="W86" s="128"/>
      <c r="X86" s="129"/>
      <c r="Y86" s="128"/>
      <c r="Z86" s="129"/>
      <c r="AA86" s="128"/>
      <c r="AB86" s="129"/>
      <c r="AC86" s="128"/>
      <c r="AD86" s="129"/>
      <c r="AE86" s="128"/>
      <c r="AF86" s="129"/>
      <c r="AG86" s="128"/>
      <c r="AH86" s="118"/>
    </row>
    <row r="87">
      <c r="A87" s="4">
        <v>7.0</v>
      </c>
      <c r="B87" s="4">
        <v>207.0</v>
      </c>
      <c r="C87" t="str">
        <f>'Mens JV Results'!F92</f>
        <v/>
      </c>
      <c r="D87">
        <f>'Mens JV Results'!C92</f>
        <v>4</v>
      </c>
      <c r="G87" s="130"/>
      <c r="H87" s="131"/>
      <c r="I87" s="132"/>
      <c r="J87" s="131"/>
      <c r="K87" s="132"/>
      <c r="L87" s="131"/>
      <c r="M87" s="132"/>
      <c r="N87" s="131"/>
      <c r="O87" s="132"/>
      <c r="P87" s="131"/>
      <c r="Q87" s="132"/>
      <c r="R87" s="131"/>
      <c r="S87" s="132"/>
      <c r="T87" s="131"/>
      <c r="U87" s="132"/>
      <c r="V87" s="131"/>
      <c r="W87" s="132"/>
      <c r="X87" s="131"/>
      <c r="Y87" s="132"/>
      <c r="Z87" s="131"/>
      <c r="AA87" s="132"/>
      <c r="AB87" s="131"/>
      <c r="AC87" s="132"/>
      <c r="AD87" s="131"/>
      <c r="AE87" s="132"/>
      <c r="AF87" s="131"/>
      <c r="AG87" s="132"/>
      <c r="AH87" s="133"/>
    </row>
    <row r="88">
      <c r="A88" s="4">
        <v>8.0</v>
      </c>
      <c r="B88" s="4">
        <v>207.0</v>
      </c>
      <c r="C88" t="str">
        <f>'Mens JV Results'!F93</f>
        <v/>
      </c>
      <c r="D88">
        <f>'Mens JV Results'!C93</f>
        <v>3</v>
      </c>
      <c r="G88" s="112"/>
      <c r="H88" s="129"/>
      <c r="I88" s="128"/>
      <c r="J88" s="129"/>
      <c r="K88" s="128"/>
      <c r="L88" s="129"/>
      <c r="M88" s="128"/>
      <c r="N88" s="129"/>
      <c r="O88" s="128"/>
      <c r="P88" s="129"/>
      <c r="Q88" s="128"/>
      <c r="R88" s="129"/>
      <c r="S88" s="128"/>
      <c r="T88" s="129"/>
      <c r="U88" s="128"/>
      <c r="V88" s="129"/>
      <c r="W88" s="128"/>
      <c r="X88" s="129"/>
      <c r="Y88" s="128"/>
      <c r="Z88" s="129"/>
      <c r="AA88" s="128"/>
      <c r="AB88" s="129"/>
      <c r="AC88" s="128"/>
      <c r="AD88" s="129"/>
      <c r="AE88" s="128"/>
      <c r="AF88" s="129"/>
      <c r="AG88" s="128"/>
      <c r="AH88" s="118"/>
    </row>
    <row r="89">
      <c r="A89" s="4">
        <v>9.0</v>
      </c>
      <c r="B89" s="4">
        <v>207.0</v>
      </c>
      <c r="C89" t="str">
        <f>'Mens JV Results'!F94</f>
        <v/>
      </c>
      <c r="D89">
        <f>'Mens JV Results'!C94</f>
        <v>2</v>
      </c>
      <c r="G89" s="130"/>
      <c r="H89" s="131"/>
      <c r="I89" s="132"/>
      <c r="J89" s="131"/>
      <c r="K89" s="132"/>
      <c r="L89" s="131"/>
      <c r="M89" s="132"/>
      <c r="N89" s="131"/>
      <c r="O89" s="132"/>
      <c r="P89" s="131"/>
      <c r="Q89" s="132"/>
      <c r="R89" s="131"/>
      <c r="S89" s="132"/>
      <c r="T89" s="131"/>
      <c r="U89" s="132"/>
      <c r="V89" s="131"/>
      <c r="W89" s="132"/>
      <c r="X89" s="131"/>
      <c r="Y89" s="132"/>
      <c r="Z89" s="131"/>
      <c r="AA89" s="132"/>
      <c r="AB89" s="131"/>
      <c r="AC89" s="132"/>
      <c r="AD89" s="131"/>
      <c r="AE89" s="132"/>
      <c r="AF89" s="131"/>
      <c r="AG89" s="132"/>
      <c r="AH89" s="133"/>
    </row>
    <row r="90">
      <c r="A90" s="4">
        <v>10.0</v>
      </c>
      <c r="B90" s="4">
        <v>207.0</v>
      </c>
      <c r="C90" t="str">
        <f>'Mens JV Results'!F95</f>
        <v/>
      </c>
      <c r="D90">
        <f>'Mens JV Results'!C95</f>
        <v>1</v>
      </c>
      <c r="G90" s="112"/>
      <c r="H90" s="129"/>
      <c r="I90" s="128"/>
      <c r="J90" s="129"/>
      <c r="K90" s="128"/>
      <c r="L90" s="129"/>
      <c r="M90" s="128"/>
      <c r="N90" s="129"/>
      <c r="O90" s="128"/>
      <c r="P90" s="129"/>
      <c r="Q90" s="128"/>
      <c r="R90" s="129"/>
      <c r="S90" s="128"/>
      <c r="T90" s="129"/>
      <c r="U90" s="128"/>
      <c r="V90" s="129"/>
      <c r="W90" s="128"/>
      <c r="X90" s="129"/>
      <c r="Y90" s="128"/>
      <c r="Z90" s="129"/>
      <c r="AA90" s="128"/>
      <c r="AB90" s="129"/>
      <c r="AC90" s="128"/>
      <c r="AD90" s="129"/>
      <c r="AE90" s="128"/>
      <c r="AF90" s="129"/>
      <c r="AG90" s="128"/>
      <c r="AH90" s="118"/>
    </row>
    <row r="91">
      <c r="A91" s="4">
        <v>1.0</v>
      </c>
      <c r="B91" s="4">
        <v>220.0</v>
      </c>
      <c r="C91" t="str">
        <f>'Mens JV Results'!F96</f>
        <v/>
      </c>
      <c r="D91">
        <f>'Mens JV Results'!C96</f>
        <v>12</v>
      </c>
      <c r="G91" s="130"/>
      <c r="H91" s="131"/>
      <c r="I91" s="132"/>
      <c r="J91" s="131"/>
      <c r="K91" s="132"/>
      <c r="L91" s="131"/>
      <c r="M91" s="132"/>
      <c r="N91" s="131"/>
      <c r="O91" s="132"/>
      <c r="P91" s="131"/>
      <c r="Q91" s="132"/>
      <c r="R91" s="131"/>
      <c r="S91" s="132"/>
      <c r="T91" s="131"/>
      <c r="U91" s="132"/>
      <c r="V91" s="131"/>
      <c r="W91" s="132"/>
      <c r="X91" s="131"/>
      <c r="Y91" s="132"/>
      <c r="Z91" s="131"/>
      <c r="AA91" s="132"/>
      <c r="AB91" s="131"/>
      <c r="AC91" s="132"/>
      <c r="AD91" s="131"/>
      <c r="AE91" s="132"/>
      <c r="AF91" s="131"/>
      <c r="AG91" s="132"/>
      <c r="AH91" s="133"/>
    </row>
    <row r="92">
      <c r="A92" s="4">
        <v>2.0</v>
      </c>
      <c r="B92" s="4">
        <v>220.0</v>
      </c>
      <c r="C92" t="str">
        <f>'Mens JV Results'!F97</f>
        <v/>
      </c>
      <c r="D92">
        <f>'Mens JV Results'!C97</f>
        <v>9</v>
      </c>
      <c r="G92" s="112"/>
      <c r="H92" s="129"/>
      <c r="I92" s="128"/>
      <c r="J92" s="129"/>
      <c r="K92" s="128"/>
      <c r="L92" s="129"/>
      <c r="M92" s="128"/>
      <c r="N92" s="129"/>
      <c r="O92" s="128"/>
      <c r="P92" s="129"/>
      <c r="Q92" s="128"/>
      <c r="R92" s="129"/>
      <c r="S92" s="128"/>
      <c r="T92" s="129"/>
      <c r="U92" s="128"/>
      <c r="V92" s="129"/>
      <c r="W92" s="128"/>
      <c r="X92" s="129"/>
      <c r="Y92" s="128"/>
      <c r="Z92" s="129"/>
      <c r="AA92" s="128"/>
      <c r="AB92" s="129"/>
      <c r="AC92" s="128"/>
      <c r="AD92" s="129"/>
      <c r="AE92" s="128"/>
      <c r="AF92" s="129"/>
      <c r="AG92" s="128"/>
      <c r="AH92" s="118"/>
    </row>
    <row r="93">
      <c r="A93" s="4">
        <v>3.0</v>
      </c>
      <c r="B93" s="4">
        <v>220.0</v>
      </c>
      <c r="C93" t="str">
        <f>'Mens JV Results'!F98</f>
        <v/>
      </c>
      <c r="D93">
        <f>'Mens JV Results'!C98</f>
        <v>8</v>
      </c>
      <c r="G93" s="130"/>
      <c r="H93" s="131"/>
      <c r="I93" s="132"/>
      <c r="J93" s="131"/>
      <c r="K93" s="132"/>
      <c r="L93" s="131"/>
      <c r="M93" s="132"/>
      <c r="N93" s="131"/>
      <c r="O93" s="132"/>
      <c r="P93" s="131"/>
      <c r="Q93" s="132"/>
      <c r="R93" s="131"/>
      <c r="S93" s="132"/>
      <c r="T93" s="131"/>
      <c r="U93" s="132"/>
      <c r="V93" s="131"/>
      <c r="W93" s="132"/>
      <c r="X93" s="131"/>
      <c r="Y93" s="132"/>
      <c r="Z93" s="131"/>
      <c r="AA93" s="132"/>
      <c r="AB93" s="131"/>
      <c r="AC93" s="132"/>
      <c r="AD93" s="131"/>
      <c r="AE93" s="132"/>
      <c r="AF93" s="131"/>
      <c r="AG93" s="132"/>
      <c r="AH93" s="133"/>
    </row>
    <row r="94">
      <c r="A94" s="4">
        <v>4.0</v>
      </c>
      <c r="B94" s="4">
        <v>220.0</v>
      </c>
      <c r="C94" t="str">
        <f>'Mens JV Results'!F99</f>
        <v/>
      </c>
      <c r="D94">
        <f>'Mens JV Results'!C99</f>
        <v>7</v>
      </c>
      <c r="G94" s="112"/>
      <c r="H94" s="129"/>
      <c r="I94" s="128"/>
      <c r="J94" s="129"/>
      <c r="K94" s="128"/>
      <c r="L94" s="129"/>
      <c r="M94" s="128"/>
      <c r="N94" s="129"/>
      <c r="O94" s="128"/>
      <c r="P94" s="129"/>
      <c r="Q94" s="128"/>
      <c r="R94" s="129"/>
      <c r="S94" s="128"/>
      <c r="T94" s="129"/>
      <c r="U94" s="128"/>
      <c r="V94" s="129"/>
      <c r="W94" s="128"/>
      <c r="X94" s="129"/>
      <c r="Y94" s="128"/>
      <c r="Z94" s="129"/>
      <c r="AA94" s="128"/>
      <c r="AB94" s="129"/>
      <c r="AC94" s="128"/>
      <c r="AD94" s="129"/>
      <c r="AE94" s="128"/>
      <c r="AF94" s="129"/>
      <c r="AG94" s="128"/>
      <c r="AH94" s="118"/>
    </row>
    <row r="95">
      <c r="A95" s="4">
        <v>5.0</v>
      </c>
      <c r="B95" s="4">
        <v>220.0</v>
      </c>
      <c r="C95" t="str">
        <f>'Mens JV Results'!F100</f>
        <v/>
      </c>
      <c r="D95">
        <f>'Mens JV Results'!C100</f>
        <v>6</v>
      </c>
      <c r="G95" s="130"/>
      <c r="H95" s="131"/>
      <c r="I95" s="132"/>
      <c r="J95" s="131"/>
      <c r="K95" s="132"/>
      <c r="L95" s="131"/>
      <c r="M95" s="132"/>
      <c r="N95" s="131"/>
      <c r="O95" s="132"/>
      <c r="P95" s="131"/>
      <c r="Q95" s="132"/>
      <c r="R95" s="131"/>
      <c r="S95" s="132"/>
      <c r="T95" s="131"/>
      <c r="U95" s="132"/>
      <c r="V95" s="131"/>
      <c r="W95" s="132"/>
      <c r="X95" s="131"/>
      <c r="Y95" s="132"/>
      <c r="Z95" s="131"/>
      <c r="AA95" s="132"/>
      <c r="AB95" s="131"/>
      <c r="AC95" s="132"/>
      <c r="AD95" s="131"/>
      <c r="AE95" s="132"/>
      <c r="AF95" s="131"/>
      <c r="AG95" s="132"/>
      <c r="AH95" s="133"/>
    </row>
    <row r="96">
      <c r="A96" s="4">
        <v>6.0</v>
      </c>
      <c r="B96" s="4">
        <v>220.0</v>
      </c>
      <c r="C96" t="str">
        <f>'Mens JV Results'!F101</f>
        <v/>
      </c>
      <c r="D96">
        <f>'Mens JV Results'!C101</f>
        <v>5</v>
      </c>
      <c r="G96" s="112"/>
      <c r="H96" s="129"/>
      <c r="I96" s="128"/>
      <c r="J96" s="129"/>
      <c r="K96" s="128"/>
      <c r="L96" s="129"/>
      <c r="M96" s="128"/>
      <c r="N96" s="129"/>
      <c r="O96" s="128"/>
      <c r="P96" s="129"/>
      <c r="Q96" s="128"/>
      <c r="R96" s="129"/>
      <c r="S96" s="128"/>
      <c r="T96" s="129"/>
      <c r="U96" s="128"/>
      <c r="V96" s="129"/>
      <c r="W96" s="128"/>
      <c r="X96" s="129"/>
      <c r="Y96" s="128"/>
      <c r="Z96" s="129"/>
      <c r="AA96" s="128"/>
      <c r="AB96" s="129"/>
      <c r="AC96" s="128"/>
      <c r="AD96" s="129"/>
      <c r="AE96" s="128"/>
      <c r="AF96" s="129"/>
      <c r="AG96" s="128"/>
      <c r="AH96" s="118"/>
    </row>
    <row r="97">
      <c r="A97" s="4">
        <v>7.0</v>
      </c>
      <c r="B97" s="4">
        <v>220.0</v>
      </c>
      <c r="C97" t="str">
        <f>'Mens JV Results'!F102</f>
        <v/>
      </c>
      <c r="D97">
        <f>'Mens JV Results'!C102</f>
        <v>4</v>
      </c>
      <c r="G97" s="130"/>
      <c r="H97" s="131"/>
      <c r="I97" s="132"/>
      <c r="J97" s="131"/>
      <c r="K97" s="132"/>
      <c r="L97" s="131"/>
      <c r="M97" s="132"/>
      <c r="N97" s="131"/>
      <c r="O97" s="132"/>
      <c r="P97" s="131"/>
      <c r="Q97" s="132"/>
      <c r="R97" s="131"/>
      <c r="S97" s="132"/>
      <c r="T97" s="131"/>
      <c r="U97" s="132"/>
      <c r="V97" s="131"/>
      <c r="W97" s="132"/>
      <c r="X97" s="131"/>
      <c r="Y97" s="132"/>
      <c r="Z97" s="131"/>
      <c r="AA97" s="132"/>
      <c r="AB97" s="131"/>
      <c r="AC97" s="132"/>
      <c r="AD97" s="131"/>
      <c r="AE97" s="132"/>
      <c r="AF97" s="131"/>
      <c r="AG97" s="132"/>
      <c r="AH97" s="133"/>
    </row>
    <row r="98">
      <c r="A98" s="4">
        <v>8.0</v>
      </c>
      <c r="B98" s="4">
        <v>220.0</v>
      </c>
      <c r="C98" t="str">
        <f>'Mens JV Results'!F103</f>
        <v/>
      </c>
      <c r="D98">
        <f>'Mens JV Results'!C103</f>
        <v>3</v>
      </c>
      <c r="G98" s="112"/>
      <c r="H98" s="129"/>
      <c r="I98" s="128"/>
      <c r="J98" s="129"/>
      <c r="K98" s="128"/>
      <c r="L98" s="129"/>
      <c r="M98" s="128"/>
      <c r="N98" s="129"/>
      <c r="O98" s="128"/>
      <c r="P98" s="129"/>
      <c r="Q98" s="128"/>
      <c r="R98" s="129"/>
      <c r="S98" s="128"/>
      <c r="T98" s="129"/>
      <c r="U98" s="128"/>
      <c r="V98" s="129"/>
      <c r="W98" s="128"/>
      <c r="X98" s="129"/>
      <c r="Y98" s="128"/>
      <c r="Z98" s="129"/>
      <c r="AA98" s="128"/>
      <c r="AB98" s="129"/>
      <c r="AC98" s="128"/>
      <c r="AD98" s="129"/>
      <c r="AE98" s="128"/>
      <c r="AF98" s="129"/>
      <c r="AG98" s="128"/>
      <c r="AH98" s="118"/>
    </row>
    <row r="99">
      <c r="A99" s="4">
        <v>9.0</v>
      </c>
      <c r="B99" s="4">
        <v>220.0</v>
      </c>
      <c r="C99" t="str">
        <f>'Mens JV Results'!F104</f>
        <v/>
      </c>
      <c r="D99">
        <f>'Mens JV Results'!C104</f>
        <v>2</v>
      </c>
      <c r="G99" s="130"/>
      <c r="H99" s="131"/>
      <c r="I99" s="132"/>
      <c r="J99" s="131"/>
      <c r="K99" s="132"/>
      <c r="L99" s="131"/>
      <c r="M99" s="132"/>
      <c r="N99" s="131"/>
      <c r="O99" s="132"/>
      <c r="P99" s="131"/>
      <c r="Q99" s="132"/>
      <c r="R99" s="131"/>
      <c r="S99" s="132"/>
      <c r="T99" s="131"/>
      <c r="U99" s="132"/>
      <c r="V99" s="131"/>
      <c r="W99" s="132"/>
      <c r="X99" s="131"/>
      <c r="Y99" s="132"/>
      <c r="Z99" s="131"/>
      <c r="AA99" s="132"/>
      <c r="AB99" s="131"/>
      <c r="AC99" s="132"/>
      <c r="AD99" s="131"/>
      <c r="AE99" s="132"/>
      <c r="AF99" s="131"/>
      <c r="AG99" s="132"/>
      <c r="AH99" s="133"/>
    </row>
    <row r="100">
      <c r="A100" s="4">
        <v>10.0</v>
      </c>
      <c r="B100" s="4">
        <v>220.0</v>
      </c>
      <c r="C100" t="str">
        <f>'Mens JV Results'!F105</f>
        <v/>
      </c>
      <c r="D100">
        <f>'Mens JV Results'!C105</f>
        <v>1</v>
      </c>
      <c r="G100" s="112"/>
      <c r="H100" s="129"/>
      <c r="I100" s="128"/>
      <c r="J100" s="129"/>
      <c r="K100" s="128"/>
      <c r="L100" s="129"/>
      <c r="M100" s="128"/>
      <c r="N100" s="129"/>
      <c r="O100" s="128"/>
      <c r="P100" s="129"/>
      <c r="Q100" s="128"/>
      <c r="R100" s="129"/>
      <c r="S100" s="128"/>
      <c r="T100" s="129"/>
      <c r="U100" s="128"/>
      <c r="V100" s="129"/>
      <c r="W100" s="128"/>
      <c r="X100" s="129"/>
      <c r="Y100" s="128"/>
      <c r="Z100" s="129"/>
      <c r="AA100" s="128"/>
      <c r="AB100" s="129"/>
      <c r="AC100" s="128"/>
      <c r="AD100" s="129"/>
      <c r="AE100" s="128"/>
      <c r="AF100" s="129"/>
      <c r="AG100" s="128"/>
      <c r="AH100" s="118"/>
    </row>
    <row r="101">
      <c r="A101" s="4">
        <v>1.0</v>
      </c>
      <c r="B101" s="4">
        <v>242.0</v>
      </c>
      <c r="C101" t="str">
        <f>'Mens JV Results'!F106</f>
        <v/>
      </c>
      <c r="D101">
        <f>'Mens JV Results'!C106</f>
        <v>12</v>
      </c>
      <c r="G101" s="130"/>
      <c r="H101" s="131"/>
      <c r="I101" s="132"/>
      <c r="J101" s="131"/>
      <c r="K101" s="132"/>
      <c r="L101" s="131"/>
      <c r="M101" s="132"/>
      <c r="N101" s="131"/>
      <c r="O101" s="132"/>
      <c r="P101" s="131"/>
      <c r="Q101" s="132"/>
      <c r="R101" s="131"/>
      <c r="S101" s="132"/>
      <c r="T101" s="131"/>
      <c r="U101" s="132"/>
      <c r="V101" s="131"/>
      <c r="W101" s="132"/>
      <c r="X101" s="131"/>
      <c r="Y101" s="132"/>
      <c r="Z101" s="131"/>
      <c r="AA101" s="132"/>
      <c r="AB101" s="131"/>
      <c r="AC101" s="132"/>
      <c r="AD101" s="131"/>
      <c r="AE101" s="132"/>
      <c r="AF101" s="131"/>
      <c r="AG101" s="132"/>
      <c r="AH101" s="133"/>
    </row>
    <row r="102">
      <c r="A102" s="4">
        <v>2.0</v>
      </c>
      <c r="B102" s="4">
        <v>242.0</v>
      </c>
      <c r="C102" t="str">
        <f>'Mens JV Results'!F107</f>
        <v/>
      </c>
      <c r="D102">
        <f>'Mens JV Results'!C107</f>
        <v>9</v>
      </c>
      <c r="G102" s="112"/>
      <c r="H102" s="129"/>
      <c r="I102" s="128"/>
      <c r="J102" s="129"/>
      <c r="K102" s="128"/>
      <c r="L102" s="129"/>
      <c r="M102" s="128"/>
      <c r="N102" s="129"/>
      <c r="O102" s="128"/>
      <c r="P102" s="129"/>
      <c r="Q102" s="128"/>
      <c r="R102" s="129"/>
      <c r="S102" s="128"/>
      <c r="T102" s="129"/>
      <c r="U102" s="128"/>
      <c r="V102" s="129"/>
      <c r="W102" s="128"/>
      <c r="X102" s="129"/>
      <c r="Y102" s="128"/>
      <c r="Z102" s="129"/>
      <c r="AA102" s="128"/>
      <c r="AB102" s="129"/>
      <c r="AC102" s="128"/>
      <c r="AD102" s="129"/>
      <c r="AE102" s="128"/>
      <c r="AF102" s="129"/>
      <c r="AG102" s="128"/>
      <c r="AH102" s="118"/>
    </row>
    <row r="103">
      <c r="A103" s="4">
        <v>3.0</v>
      </c>
      <c r="B103" s="4">
        <v>242.0</v>
      </c>
      <c r="C103" t="str">
        <f>'Mens JV Results'!F108</f>
        <v/>
      </c>
      <c r="D103">
        <f>'Mens JV Results'!C108</f>
        <v>8</v>
      </c>
      <c r="G103" s="130"/>
      <c r="H103" s="131"/>
      <c r="I103" s="132"/>
      <c r="J103" s="131"/>
      <c r="K103" s="132"/>
      <c r="L103" s="131"/>
      <c r="M103" s="132"/>
      <c r="N103" s="131"/>
      <c r="O103" s="132"/>
      <c r="P103" s="131"/>
      <c r="Q103" s="132"/>
      <c r="R103" s="131"/>
      <c r="S103" s="132"/>
      <c r="T103" s="131"/>
      <c r="U103" s="132"/>
      <c r="V103" s="131"/>
      <c r="W103" s="132"/>
      <c r="X103" s="131"/>
      <c r="Y103" s="132"/>
      <c r="Z103" s="131"/>
      <c r="AA103" s="132"/>
      <c r="AB103" s="131"/>
      <c r="AC103" s="132"/>
      <c r="AD103" s="131"/>
      <c r="AE103" s="132"/>
      <c r="AF103" s="131"/>
      <c r="AG103" s="132"/>
      <c r="AH103" s="133"/>
    </row>
    <row r="104">
      <c r="A104" s="4">
        <v>4.0</v>
      </c>
      <c r="B104" s="4">
        <v>242.0</v>
      </c>
      <c r="C104" t="str">
        <f>'Mens JV Results'!F109</f>
        <v/>
      </c>
      <c r="D104">
        <f>'Mens JV Results'!C109</f>
        <v>7</v>
      </c>
      <c r="G104" s="112"/>
      <c r="H104" s="129"/>
      <c r="I104" s="128"/>
      <c r="J104" s="129"/>
      <c r="K104" s="128"/>
      <c r="L104" s="129"/>
      <c r="M104" s="128"/>
      <c r="N104" s="129"/>
      <c r="O104" s="128"/>
      <c r="P104" s="129"/>
      <c r="Q104" s="128"/>
      <c r="R104" s="129"/>
      <c r="S104" s="128"/>
      <c r="T104" s="129"/>
      <c r="U104" s="128"/>
      <c r="V104" s="129"/>
      <c r="W104" s="128"/>
      <c r="X104" s="129"/>
      <c r="Y104" s="128"/>
      <c r="Z104" s="129"/>
      <c r="AA104" s="128"/>
      <c r="AB104" s="129"/>
      <c r="AC104" s="128"/>
      <c r="AD104" s="129"/>
      <c r="AE104" s="128"/>
      <c r="AF104" s="129"/>
      <c r="AG104" s="128"/>
      <c r="AH104" s="118"/>
    </row>
    <row r="105">
      <c r="A105" s="4">
        <v>5.0</v>
      </c>
      <c r="B105" s="4">
        <v>242.0</v>
      </c>
      <c r="C105" t="str">
        <f>'Mens JV Results'!F110</f>
        <v/>
      </c>
      <c r="D105">
        <f>'Mens JV Results'!C110</f>
        <v>6</v>
      </c>
      <c r="G105" s="130"/>
      <c r="H105" s="131"/>
      <c r="I105" s="132"/>
      <c r="J105" s="131"/>
      <c r="K105" s="132"/>
      <c r="L105" s="131"/>
      <c r="M105" s="132"/>
      <c r="N105" s="131"/>
      <c r="O105" s="132"/>
      <c r="P105" s="131"/>
      <c r="Q105" s="132"/>
      <c r="R105" s="131"/>
      <c r="S105" s="132"/>
      <c r="T105" s="131"/>
      <c r="U105" s="132"/>
      <c r="V105" s="131"/>
      <c r="W105" s="132"/>
      <c r="X105" s="131"/>
      <c r="Y105" s="132"/>
      <c r="Z105" s="131"/>
      <c r="AA105" s="132"/>
      <c r="AB105" s="131"/>
      <c r="AC105" s="132"/>
      <c r="AD105" s="131"/>
      <c r="AE105" s="132"/>
      <c r="AF105" s="131"/>
      <c r="AG105" s="132"/>
      <c r="AH105" s="133"/>
    </row>
    <row r="106">
      <c r="A106" s="4">
        <v>6.0</v>
      </c>
      <c r="B106" s="4">
        <v>242.0</v>
      </c>
      <c r="C106" t="str">
        <f>'Mens JV Results'!F111</f>
        <v/>
      </c>
      <c r="D106">
        <f>'Mens JV Results'!C111</f>
        <v>5</v>
      </c>
      <c r="G106" s="112"/>
      <c r="H106" s="129"/>
      <c r="I106" s="128"/>
      <c r="J106" s="129"/>
      <c r="K106" s="128"/>
      <c r="L106" s="129"/>
      <c r="M106" s="128"/>
      <c r="N106" s="129"/>
      <c r="O106" s="128"/>
      <c r="P106" s="129"/>
      <c r="Q106" s="128"/>
      <c r="R106" s="129"/>
      <c r="S106" s="128"/>
      <c r="T106" s="129"/>
      <c r="U106" s="128"/>
      <c r="V106" s="129"/>
      <c r="W106" s="128"/>
      <c r="X106" s="129"/>
      <c r="Y106" s="128"/>
      <c r="Z106" s="129"/>
      <c r="AA106" s="128"/>
      <c r="AB106" s="129"/>
      <c r="AC106" s="128"/>
      <c r="AD106" s="129"/>
      <c r="AE106" s="128"/>
      <c r="AF106" s="129"/>
      <c r="AG106" s="128"/>
      <c r="AH106" s="118"/>
    </row>
    <row r="107">
      <c r="A107" s="4">
        <v>7.0</v>
      </c>
      <c r="B107" s="4">
        <v>242.0</v>
      </c>
      <c r="C107" t="str">
        <f>'Mens JV Results'!F112</f>
        <v/>
      </c>
      <c r="D107">
        <f>'Mens JV Results'!C112</f>
        <v>4</v>
      </c>
      <c r="G107" s="130"/>
      <c r="H107" s="131"/>
      <c r="I107" s="132"/>
      <c r="J107" s="131"/>
      <c r="K107" s="132"/>
      <c r="L107" s="131"/>
      <c r="M107" s="132"/>
      <c r="N107" s="131"/>
      <c r="O107" s="132"/>
      <c r="P107" s="131"/>
      <c r="Q107" s="132"/>
      <c r="R107" s="131"/>
      <c r="S107" s="132"/>
      <c r="T107" s="131"/>
      <c r="U107" s="132"/>
      <c r="V107" s="131"/>
      <c r="W107" s="132"/>
      <c r="X107" s="131"/>
      <c r="Y107" s="132"/>
      <c r="Z107" s="131"/>
      <c r="AA107" s="132"/>
      <c r="AB107" s="131"/>
      <c r="AC107" s="132"/>
      <c r="AD107" s="131"/>
      <c r="AE107" s="132"/>
      <c r="AF107" s="131"/>
      <c r="AG107" s="132"/>
      <c r="AH107" s="133"/>
    </row>
    <row r="108">
      <c r="A108" s="4">
        <v>8.0</v>
      </c>
      <c r="B108" s="4">
        <v>242.0</v>
      </c>
      <c r="C108" t="str">
        <f>'Mens JV Results'!F113</f>
        <v/>
      </c>
      <c r="D108">
        <f>'Mens JV Results'!C113</f>
        <v>3</v>
      </c>
      <c r="G108" s="112"/>
      <c r="H108" s="129"/>
      <c r="I108" s="128"/>
      <c r="J108" s="129"/>
      <c r="K108" s="128"/>
      <c r="L108" s="129"/>
      <c r="M108" s="128"/>
      <c r="N108" s="129"/>
      <c r="O108" s="128"/>
      <c r="P108" s="129"/>
      <c r="Q108" s="128"/>
      <c r="R108" s="129"/>
      <c r="S108" s="128"/>
      <c r="T108" s="129"/>
      <c r="U108" s="128"/>
      <c r="V108" s="129"/>
      <c r="W108" s="128"/>
      <c r="X108" s="129"/>
      <c r="Y108" s="128"/>
      <c r="Z108" s="129"/>
      <c r="AA108" s="128"/>
      <c r="AB108" s="129"/>
      <c r="AC108" s="128"/>
      <c r="AD108" s="129"/>
      <c r="AE108" s="128"/>
      <c r="AF108" s="129"/>
      <c r="AG108" s="128"/>
      <c r="AH108" s="118"/>
    </row>
    <row r="109">
      <c r="A109" s="4">
        <v>9.0</v>
      </c>
      <c r="B109" s="4">
        <v>242.0</v>
      </c>
      <c r="C109" t="str">
        <f>'Mens JV Results'!F114</f>
        <v/>
      </c>
      <c r="D109">
        <f>'Mens JV Results'!C114</f>
        <v>2</v>
      </c>
      <c r="G109" s="130"/>
      <c r="H109" s="131"/>
      <c r="I109" s="132"/>
      <c r="J109" s="131"/>
      <c r="K109" s="132"/>
      <c r="L109" s="131"/>
      <c r="M109" s="132"/>
      <c r="N109" s="131"/>
      <c r="O109" s="132"/>
      <c r="P109" s="131"/>
      <c r="Q109" s="132"/>
      <c r="R109" s="131"/>
      <c r="S109" s="132"/>
      <c r="T109" s="131"/>
      <c r="U109" s="132"/>
      <c r="V109" s="131"/>
      <c r="W109" s="132"/>
      <c r="X109" s="131"/>
      <c r="Y109" s="132"/>
      <c r="Z109" s="131"/>
      <c r="AA109" s="132"/>
      <c r="AB109" s="131"/>
      <c r="AC109" s="132"/>
      <c r="AD109" s="131"/>
      <c r="AE109" s="132"/>
      <c r="AF109" s="131"/>
      <c r="AG109" s="132"/>
      <c r="AH109" s="133"/>
    </row>
    <row r="110">
      <c r="A110" s="4">
        <v>10.0</v>
      </c>
      <c r="B110" s="4">
        <v>242.0</v>
      </c>
      <c r="C110" t="str">
        <f>'Mens JV Results'!F115</f>
        <v/>
      </c>
      <c r="D110">
        <f>'Mens JV Results'!C115</f>
        <v>1</v>
      </c>
      <c r="G110" s="112"/>
      <c r="H110" s="129"/>
      <c r="I110" s="128"/>
      <c r="J110" s="129"/>
      <c r="K110" s="128"/>
      <c r="L110" s="129"/>
      <c r="M110" s="128"/>
      <c r="N110" s="129"/>
      <c r="O110" s="128"/>
      <c r="P110" s="129"/>
      <c r="Q110" s="128"/>
      <c r="R110" s="129"/>
      <c r="S110" s="128"/>
      <c r="T110" s="129"/>
      <c r="U110" s="128"/>
      <c r="V110" s="129"/>
      <c r="W110" s="128"/>
      <c r="X110" s="129"/>
      <c r="Y110" s="128"/>
      <c r="Z110" s="129"/>
      <c r="AA110" s="128"/>
      <c r="AB110" s="129"/>
      <c r="AC110" s="128"/>
      <c r="AD110" s="129"/>
      <c r="AE110" s="128"/>
      <c r="AF110" s="129"/>
      <c r="AG110" s="128"/>
      <c r="AH110" s="118"/>
    </row>
    <row r="111">
      <c r="A111" s="4">
        <v>1.0</v>
      </c>
      <c r="B111" s="4">
        <v>275.0</v>
      </c>
      <c r="C111" t="str">
        <f>'Mens JV Results'!F116</f>
        <v/>
      </c>
      <c r="D111">
        <f>'Mens JV Results'!C116</f>
        <v>12</v>
      </c>
      <c r="G111" s="130"/>
      <c r="H111" s="131"/>
      <c r="I111" s="132"/>
      <c r="J111" s="131"/>
      <c r="K111" s="132"/>
      <c r="L111" s="131"/>
      <c r="M111" s="132"/>
      <c r="N111" s="131"/>
      <c r="O111" s="132"/>
      <c r="P111" s="131"/>
      <c r="Q111" s="132"/>
      <c r="R111" s="131"/>
      <c r="S111" s="132"/>
      <c r="T111" s="131"/>
      <c r="U111" s="132"/>
      <c r="V111" s="131"/>
      <c r="W111" s="132"/>
      <c r="X111" s="131"/>
      <c r="Y111" s="132"/>
      <c r="Z111" s="131"/>
      <c r="AA111" s="132"/>
      <c r="AB111" s="131"/>
      <c r="AC111" s="132"/>
      <c r="AD111" s="131"/>
      <c r="AE111" s="132"/>
      <c r="AF111" s="131"/>
      <c r="AG111" s="132"/>
      <c r="AH111" s="133"/>
    </row>
    <row r="112">
      <c r="A112" s="4">
        <v>2.0</v>
      </c>
      <c r="B112" s="4">
        <v>275.0</v>
      </c>
      <c r="C112" t="str">
        <f>'Mens JV Results'!F117</f>
        <v/>
      </c>
      <c r="D112">
        <f>'Mens JV Results'!C117</f>
        <v>9</v>
      </c>
      <c r="G112" s="112"/>
      <c r="H112" s="129"/>
      <c r="I112" s="128"/>
      <c r="J112" s="129"/>
      <c r="K112" s="128"/>
      <c r="L112" s="129"/>
      <c r="M112" s="128"/>
      <c r="N112" s="129"/>
      <c r="O112" s="128"/>
      <c r="P112" s="129"/>
      <c r="Q112" s="128"/>
      <c r="R112" s="129"/>
      <c r="S112" s="128"/>
      <c r="T112" s="129"/>
      <c r="U112" s="128"/>
      <c r="V112" s="129"/>
      <c r="W112" s="128"/>
      <c r="X112" s="129"/>
      <c r="Y112" s="128"/>
      <c r="Z112" s="129"/>
      <c r="AA112" s="128"/>
      <c r="AB112" s="129"/>
      <c r="AC112" s="128"/>
      <c r="AD112" s="129"/>
      <c r="AE112" s="128"/>
      <c r="AF112" s="129"/>
      <c r="AG112" s="128"/>
      <c r="AH112" s="118"/>
    </row>
    <row r="113">
      <c r="A113" s="4">
        <v>3.0</v>
      </c>
      <c r="B113" s="4">
        <v>275.0</v>
      </c>
      <c r="C113" t="str">
        <f>'Mens JV Results'!F118</f>
        <v/>
      </c>
      <c r="D113">
        <f>'Mens JV Results'!C118</f>
        <v>8</v>
      </c>
      <c r="G113" s="130"/>
      <c r="H113" s="131"/>
      <c r="I113" s="132"/>
      <c r="J113" s="131"/>
      <c r="K113" s="132"/>
      <c r="L113" s="131"/>
      <c r="M113" s="132"/>
      <c r="N113" s="131"/>
      <c r="O113" s="132"/>
      <c r="P113" s="131"/>
      <c r="Q113" s="132"/>
      <c r="R113" s="131"/>
      <c r="S113" s="132"/>
      <c r="T113" s="131"/>
      <c r="U113" s="132"/>
      <c r="V113" s="131"/>
      <c r="W113" s="132"/>
      <c r="X113" s="131"/>
      <c r="Y113" s="132"/>
      <c r="Z113" s="131"/>
      <c r="AA113" s="132"/>
      <c r="AB113" s="131"/>
      <c r="AC113" s="132"/>
      <c r="AD113" s="131"/>
      <c r="AE113" s="132"/>
      <c r="AF113" s="131"/>
      <c r="AG113" s="132"/>
      <c r="AH113" s="133"/>
    </row>
    <row r="114">
      <c r="A114" s="4">
        <v>4.0</v>
      </c>
      <c r="B114" s="4">
        <v>275.0</v>
      </c>
      <c r="C114" t="str">
        <f>'Mens JV Results'!F119</f>
        <v/>
      </c>
      <c r="D114">
        <f>'Mens JV Results'!C119</f>
        <v>7</v>
      </c>
      <c r="G114" s="112"/>
      <c r="H114" s="129"/>
      <c r="I114" s="128"/>
      <c r="J114" s="129"/>
      <c r="K114" s="128"/>
      <c r="L114" s="129"/>
      <c r="M114" s="128"/>
      <c r="N114" s="129"/>
      <c r="O114" s="128"/>
      <c r="P114" s="129"/>
      <c r="Q114" s="128"/>
      <c r="R114" s="129"/>
      <c r="S114" s="128"/>
      <c r="T114" s="129"/>
      <c r="U114" s="128"/>
      <c r="V114" s="129"/>
      <c r="W114" s="128"/>
      <c r="X114" s="129"/>
      <c r="Y114" s="128"/>
      <c r="Z114" s="129"/>
      <c r="AA114" s="128"/>
      <c r="AB114" s="129"/>
      <c r="AC114" s="128"/>
      <c r="AD114" s="129"/>
      <c r="AE114" s="128"/>
      <c r="AF114" s="129"/>
      <c r="AG114" s="128"/>
      <c r="AH114" s="118"/>
    </row>
    <row r="115">
      <c r="A115" s="4">
        <v>5.0</v>
      </c>
      <c r="B115" s="4">
        <v>275.0</v>
      </c>
      <c r="C115" t="str">
        <f>'Mens JV Results'!F120</f>
        <v/>
      </c>
      <c r="D115">
        <f>'Mens JV Results'!C120</f>
        <v>6</v>
      </c>
      <c r="G115" s="130"/>
      <c r="H115" s="131"/>
      <c r="I115" s="132"/>
      <c r="J115" s="131"/>
      <c r="K115" s="132"/>
      <c r="L115" s="131"/>
      <c r="M115" s="132"/>
      <c r="N115" s="131"/>
      <c r="O115" s="132"/>
      <c r="P115" s="131"/>
      <c r="Q115" s="132"/>
      <c r="R115" s="131"/>
      <c r="S115" s="132"/>
      <c r="T115" s="131"/>
      <c r="U115" s="132"/>
      <c r="V115" s="131"/>
      <c r="W115" s="132"/>
      <c r="X115" s="131"/>
      <c r="Y115" s="132"/>
      <c r="Z115" s="131"/>
      <c r="AA115" s="132"/>
      <c r="AB115" s="131"/>
      <c r="AC115" s="132"/>
      <c r="AD115" s="131"/>
      <c r="AE115" s="132"/>
      <c r="AF115" s="131"/>
      <c r="AG115" s="132"/>
      <c r="AH115" s="133"/>
    </row>
    <row r="116">
      <c r="A116" s="4">
        <v>6.0</v>
      </c>
      <c r="B116" s="4">
        <v>275.0</v>
      </c>
      <c r="C116" t="str">
        <f>'Mens JV Results'!F121</f>
        <v/>
      </c>
      <c r="D116">
        <f>'Mens JV Results'!C121</f>
        <v>5</v>
      </c>
      <c r="G116" s="112"/>
      <c r="H116" s="129"/>
      <c r="I116" s="128"/>
      <c r="J116" s="129"/>
      <c r="K116" s="128"/>
      <c r="L116" s="129"/>
      <c r="M116" s="128"/>
      <c r="N116" s="129"/>
      <c r="O116" s="128"/>
      <c r="P116" s="129"/>
      <c r="Q116" s="128"/>
      <c r="R116" s="129"/>
      <c r="S116" s="128"/>
      <c r="T116" s="129"/>
      <c r="U116" s="128"/>
      <c r="V116" s="129"/>
      <c r="W116" s="128"/>
      <c r="X116" s="129"/>
      <c r="Y116" s="128"/>
      <c r="Z116" s="129"/>
      <c r="AA116" s="128"/>
      <c r="AB116" s="129"/>
      <c r="AC116" s="128"/>
      <c r="AD116" s="129"/>
      <c r="AE116" s="128"/>
      <c r="AF116" s="129"/>
      <c r="AG116" s="128"/>
      <c r="AH116" s="118"/>
    </row>
    <row r="117">
      <c r="A117" s="4">
        <v>7.0</v>
      </c>
      <c r="B117" s="4">
        <v>275.0</v>
      </c>
      <c r="C117" t="str">
        <f>'Mens JV Results'!F122</f>
        <v/>
      </c>
      <c r="D117">
        <f>'Mens JV Results'!C122</f>
        <v>4</v>
      </c>
      <c r="G117" s="130"/>
      <c r="H117" s="131"/>
      <c r="I117" s="132"/>
      <c r="J117" s="131"/>
      <c r="K117" s="132"/>
      <c r="L117" s="131"/>
      <c r="M117" s="132"/>
      <c r="N117" s="131"/>
      <c r="O117" s="132"/>
      <c r="P117" s="131"/>
      <c r="Q117" s="132"/>
      <c r="R117" s="131"/>
      <c r="S117" s="132"/>
      <c r="T117" s="131"/>
      <c r="U117" s="132"/>
      <c r="V117" s="131"/>
      <c r="W117" s="132"/>
      <c r="X117" s="131"/>
      <c r="Y117" s="132"/>
      <c r="Z117" s="131"/>
      <c r="AA117" s="132"/>
      <c r="AB117" s="131"/>
      <c r="AC117" s="132"/>
      <c r="AD117" s="131"/>
      <c r="AE117" s="132"/>
      <c r="AF117" s="131"/>
      <c r="AG117" s="132"/>
      <c r="AH117" s="133"/>
    </row>
    <row r="118">
      <c r="A118" s="4">
        <v>8.0</v>
      </c>
      <c r="B118" s="4">
        <v>275.0</v>
      </c>
      <c r="C118" t="str">
        <f>'Mens JV Results'!F123</f>
        <v/>
      </c>
      <c r="D118">
        <f>'Mens JV Results'!C123</f>
        <v>3</v>
      </c>
      <c r="G118" s="112"/>
      <c r="H118" s="129"/>
      <c r="I118" s="128"/>
      <c r="J118" s="129"/>
      <c r="K118" s="128"/>
      <c r="L118" s="129"/>
      <c r="M118" s="128"/>
      <c r="N118" s="129"/>
      <c r="O118" s="128"/>
      <c r="P118" s="129"/>
      <c r="Q118" s="128"/>
      <c r="R118" s="129"/>
      <c r="S118" s="128"/>
      <c r="T118" s="129"/>
      <c r="U118" s="128"/>
      <c r="V118" s="129"/>
      <c r="W118" s="128"/>
      <c r="X118" s="129"/>
      <c r="Y118" s="128"/>
      <c r="Z118" s="129"/>
      <c r="AA118" s="128"/>
      <c r="AB118" s="129"/>
      <c r="AC118" s="128"/>
      <c r="AD118" s="129"/>
      <c r="AE118" s="128"/>
      <c r="AF118" s="129"/>
      <c r="AG118" s="128"/>
      <c r="AH118" s="118"/>
    </row>
    <row r="119">
      <c r="A119" s="4">
        <v>9.0</v>
      </c>
      <c r="B119" s="4">
        <v>275.0</v>
      </c>
      <c r="C119" t="str">
        <f>'Mens JV Results'!F124</f>
        <v/>
      </c>
      <c r="D119">
        <f>'Mens JV Results'!C124</f>
        <v>2</v>
      </c>
      <c r="G119" s="130"/>
      <c r="H119" s="131"/>
      <c r="I119" s="132"/>
      <c r="J119" s="131"/>
      <c r="K119" s="132"/>
      <c r="L119" s="131"/>
      <c r="M119" s="132"/>
      <c r="N119" s="131"/>
      <c r="O119" s="132"/>
      <c r="P119" s="131"/>
      <c r="Q119" s="132"/>
      <c r="R119" s="131"/>
      <c r="S119" s="132"/>
      <c r="T119" s="131"/>
      <c r="U119" s="132"/>
      <c r="V119" s="131"/>
      <c r="W119" s="132"/>
      <c r="X119" s="131"/>
      <c r="Y119" s="132"/>
      <c r="Z119" s="131"/>
      <c r="AA119" s="132"/>
      <c r="AB119" s="131"/>
      <c r="AC119" s="132"/>
      <c r="AD119" s="131"/>
      <c r="AE119" s="132"/>
      <c r="AF119" s="131"/>
      <c r="AG119" s="132"/>
      <c r="AH119" s="133"/>
    </row>
    <row r="120">
      <c r="A120" s="4">
        <v>10.0</v>
      </c>
      <c r="B120" s="4">
        <v>275.0</v>
      </c>
      <c r="C120" t="str">
        <f>'Mens JV Results'!F125</f>
        <v/>
      </c>
      <c r="D120">
        <f>'Mens JV Results'!C125</f>
        <v>1</v>
      </c>
      <c r="G120" s="112"/>
      <c r="H120" s="129"/>
      <c r="I120" s="128"/>
      <c r="J120" s="129"/>
      <c r="K120" s="128"/>
      <c r="L120" s="129"/>
      <c r="M120" s="128"/>
      <c r="N120" s="129"/>
      <c r="O120" s="128"/>
      <c r="P120" s="129"/>
      <c r="Q120" s="128"/>
      <c r="R120" s="129"/>
      <c r="S120" s="128"/>
      <c r="T120" s="129"/>
      <c r="U120" s="128"/>
      <c r="V120" s="129"/>
      <c r="W120" s="128"/>
      <c r="X120" s="129"/>
      <c r="Y120" s="128"/>
      <c r="Z120" s="129"/>
      <c r="AA120" s="128"/>
      <c r="AB120" s="129"/>
      <c r="AC120" s="128"/>
      <c r="AD120" s="129"/>
      <c r="AE120" s="128"/>
      <c r="AF120" s="129"/>
      <c r="AG120" s="128"/>
      <c r="AH120" s="118"/>
    </row>
    <row r="121">
      <c r="A121" s="4">
        <v>1.0</v>
      </c>
      <c r="B121" s="4" t="s">
        <v>130</v>
      </c>
      <c r="C121" t="str">
        <f>'Mens JV Results'!F126</f>
        <v/>
      </c>
      <c r="D121">
        <f>'Mens JV Results'!C126</f>
        <v>12</v>
      </c>
      <c r="G121" s="130"/>
      <c r="H121" s="131"/>
      <c r="I121" s="132"/>
      <c r="J121" s="131"/>
      <c r="K121" s="132"/>
      <c r="L121" s="131"/>
      <c r="M121" s="132"/>
      <c r="N121" s="131"/>
      <c r="O121" s="132"/>
      <c r="P121" s="131"/>
      <c r="Q121" s="132"/>
      <c r="R121" s="131"/>
      <c r="S121" s="132"/>
      <c r="T121" s="131"/>
      <c r="U121" s="132"/>
      <c r="V121" s="131"/>
      <c r="W121" s="132"/>
      <c r="X121" s="131"/>
      <c r="Y121" s="132"/>
      <c r="Z121" s="131"/>
      <c r="AA121" s="132"/>
      <c r="AB121" s="131"/>
      <c r="AC121" s="132"/>
      <c r="AD121" s="131"/>
      <c r="AE121" s="132"/>
      <c r="AF121" s="131"/>
      <c r="AG121" s="132"/>
      <c r="AH121" s="133"/>
    </row>
    <row r="122">
      <c r="A122" s="4">
        <v>2.0</v>
      </c>
      <c r="B122" s="4" t="s">
        <v>130</v>
      </c>
      <c r="C122" t="str">
        <f>'Mens JV Results'!F127</f>
        <v/>
      </c>
      <c r="D122">
        <f>'Mens JV Results'!C127</f>
        <v>9</v>
      </c>
      <c r="G122" s="112"/>
      <c r="H122" s="129"/>
      <c r="I122" s="128"/>
      <c r="J122" s="129"/>
      <c r="K122" s="128"/>
      <c r="L122" s="129"/>
      <c r="M122" s="128"/>
      <c r="N122" s="129"/>
      <c r="O122" s="128"/>
      <c r="P122" s="129"/>
      <c r="Q122" s="128"/>
      <c r="R122" s="129"/>
      <c r="S122" s="128"/>
      <c r="T122" s="129"/>
      <c r="U122" s="128"/>
      <c r="V122" s="129"/>
      <c r="W122" s="128"/>
      <c r="X122" s="129"/>
      <c r="Y122" s="128"/>
      <c r="Z122" s="129"/>
      <c r="AA122" s="128"/>
      <c r="AB122" s="129"/>
      <c r="AC122" s="128"/>
      <c r="AD122" s="129"/>
      <c r="AE122" s="128"/>
      <c r="AF122" s="129"/>
      <c r="AG122" s="128"/>
      <c r="AH122" s="118"/>
    </row>
    <row r="123">
      <c r="A123" s="4">
        <v>3.0</v>
      </c>
      <c r="B123" s="4" t="s">
        <v>130</v>
      </c>
      <c r="C123" t="str">
        <f>'Mens JV Results'!F128</f>
        <v/>
      </c>
      <c r="D123">
        <f>'Mens JV Results'!C128</f>
        <v>8</v>
      </c>
      <c r="G123" s="130"/>
      <c r="H123" s="131"/>
      <c r="I123" s="132"/>
      <c r="J123" s="131"/>
      <c r="K123" s="132"/>
      <c r="L123" s="131"/>
      <c r="M123" s="132"/>
      <c r="N123" s="131"/>
      <c r="O123" s="132"/>
      <c r="P123" s="131"/>
      <c r="Q123" s="132"/>
      <c r="R123" s="131"/>
      <c r="S123" s="132"/>
      <c r="T123" s="131"/>
      <c r="U123" s="132"/>
      <c r="V123" s="131"/>
      <c r="W123" s="132"/>
      <c r="X123" s="131"/>
      <c r="Y123" s="132"/>
      <c r="Z123" s="131"/>
      <c r="AA123" s="132"/>
      <c r="AB123" s="131"/>
      <c r="AC123" s="132"/>
      <c r="AD123" s="131"/>
      <c r="AE123" s="132"/>
      <c r="AF123" s="131"/>
      <c r="AG123" s="132"/>
      <c r="AH123" s="133"/>
    </row>
    <row r="124">
      <c r="A124" s="4">
        <v>4.0</v>
      </c>
      <c r="B124" s="4" t="s">
        <v>130</v>
      </c>
      <c r="C124" t="str">
        <f>'Mens JV Results'!F129</f>
        <v/>
      </c>
      <c r="D124">
        <f>'Mens JV Results'!C129</f>
        <v>7</v>
      </c>
      <c r="G124" s="112"/>
      <c r="H124" s="129"/>
      <c r="I124" s="128"/>
      <c r="J124" s="129"/>
      <c r="K124" s="128"/>
      <c r="L124" s="129"/>
      <c r="M124" s="128"/>
      <c r="N124" s="129"/>
      <c r="O124" s="128"/>
      <c r="P124" s="129"/>
      <c r="Q124" s="128"/>
      <c r="R124" s="129"/>
      <c r="S124" s="128"/>
      <c r="T124" s="129"/>
      <c r="U124" s="128"/>
      <c r="V124" s="129"/>
      <c r="W124" s="128"/>
      <c r="X124" s="129"/>
      <c r="Y124" s="128"/>
      <c r="Z124" s="129"/>
      <c r="AA124" s="128"/>
      <c r="AB124" s="129"/>
      <c r="AC124" s="128"/>
      <c r="AD124" s="129"/>
      <c r="AE124" s="128"/>
      <c r="AF124" s="129"/>
      <c r="AG124" s="128"/>
      <c r="AH124" s="118"/>
    </row>
    <row r="125">
      <c r="A125" s="4">
        <v>5.0</v>
      </c>
      <c r="B125" s="4" t="s">
        <v>130</v>
      </c>
      <c r="C125" t="str">
        <f>'Mens JV Results'!F130</f>
        <v/>
      </c>
      <c r="D125">
        <f>'Mens JV Results'!C130</f>
        <v>6</v>
      </c>
      <c r="G125" s="130"/>
      <c r="H125" s="131"/>
      <c r="I125" s="132"/>
      <c r="J125" s="131"/>
      <c r="K125" s="132"/>
      <c r="L125" s="131"/>
      <c r="M125" s="132"/>
      <c r="N125" s="131"/>
      <c r="O125" s="132"/>
      <c r="P125" s="131"/>
      <c r="Q125" s="132"/>
      <c r="R125" s="131"/>
      <c r="S125" s="132"/>
      <c r="T125" s="131"/>
      <c r="U125" s="132"/>
      <c r="V125" s="131"/>
      <c r="W125" s="132"/>
      <c r="X125" s="131"/>
      <c r="Y125" s="132"/>
      <c r="Z125" s="131"/>
      <c r="AA125" s="132"/>
      <c r="AB125" s="131"/>
      <c r="AC125" s="132"/>
      <c r="AD125" s="131"/>
      <c r="AE125" s="132"/>
      <c r="AF125" s="131"/>
      <c r="AG125" s="132"/>
      <c r="AH125" s="133"/>
    </row>
    <row r="126">
      <c r="A126" s="4">
        <v>6.0</v>
      </c>
      <c r="B126" s="4" t="s">
        <v>130</v>
      </c>
      <c r="C126" t="str">
        <f>'Mens JV Results'!F131</f>
        <v/>
      </c>
      <c r="D126">
        <f>'Mens JV Results'!C131</f>
        <v>5</v>
      </c>
      <c r="G126" s="112"/>
      <c r="H126" s="129"/>
      <c r="I126" s="128"/>
      <c r="J126" s="129"/>
      <c r="K126" s="128"/>
      <c r="L126" s="129"/>
      <c r="M126" s="128"/>
      <c r="N126" s="129"/>
      <c r="O126" s="128"/>
      <c r="P126" s="129"/>
      <c r="Q126" s="128"/>
      <c r="R126" s="129"/>
      <c r="S126" s="128"/>
      <c r="T126" s="129"/>
      <c r="U126" s="128"/>
      <c r="V126" s="129"/>
      <c r="W126" s="128"/>
      <c r="X126" s="129"/>
      <c r="Y126" s="128"/>
      <c r="Z126" s="129"/>
      <c r="AA126" s="128"/>
      <c r="AB126" s="129"/>
      <c r="AC126" s="128"/>
      <c r="AD126" s="129"/>
      <c r="AE126" s="128"/>
      <c r="AF126" s="129"/>
      <c r="AG126" s="128"/>
      <c r="AH126" s="118"/>
    </row>
    <row r="127">
      <c r="A127" s="4">
        <v>7.0</v>
      </c>
      <c r="B127" s="4" t="s">
        <v>130</v>
      </c>
      <c r="C127" t="str">
        <f>'Mens JV Results'!F132</f>
        <v/>
      </c>
      <c r="D127">
        <f>'Mens JV Results'!C132</f>
        <v>4</v>
      </c>
      <c r="G127" s="130"/>
      <c r="H127" s="131"/>
      <c r="I127" s="132"/>
      <c r="J127" s="131"/>
      <c r="K127" s="132"/>
      <c r="L127" s="131"/>
      <c r="M127" s="132"/>
      <c r="N127" s="131"/>
      <c r="O127" s="132"/>
      <c r="P127" s="131"/>
      <c r="Q127" s="132"/>
      <c r="R127" s="131"/>
      <c r="S127" s="132"/>
      <c r="T127" s="131"/>
      <c r="U127" s="132"/>
      <c r="V127" s="131"/>
      <c r="W127" s="132"/>
      <c r="X127" s="131"/>
      <c r="Y127" s="132"/>
      <c r="Z127" s="131"/>
      <c r="AA127" s="132"/>
      <c r="AB127" s="131"/>
      <c r="AC127" s="132"/>
      <c r="AD127" s="131"/>
      <c r="AE127" s="132"/>
      <c r="AF127" s="131"/>
      <c r="AG127" s="132"/>
      <c r="AH127" s="133"/>
    </row>
    <row r="128">
      <c r="A128" s="4">
        <v>8.0</v>
      </c>
      <c r="B128" s="4" t="s">
        <v>130</v>
      </c>
      <c r="C128" t="str">
        <f>'Mens JV Results'!F133</f>
        <v/>
      </c>
      <c r="D128">
        <f>'Mens JV Results'!C133</f>
        <v>3</v>
      </c>
      <c r="G128" s="112"/>
      <c r="H128" s="129"/>
      <c r="I128" s="128"/>
      <c r="J128" s="129"/>
      <c r="K128" s="128"/>
      <c r="L128" s="129"/>
      <c r="M128" s="128"/>
      <c r="N128" s="129"/>
      <c r="O128" s="128"/>
      <c r="P128" s="129"/>
      <c r="Q128" s="128"/>
      <c r="R128" s="129"/>
      <c r="S128" s="128"/>
      <c r="T128" s="129"/>
      <c r="U128" s="128"/>
      <c r="V128" s="129"/>
      <c r="W128" s="128"/>
      <c r="X128" s="129"/>
      <c r="Y128" s="128"/>
      <c r="Z128" s="129"/>
      <c r="AA128" s="128"/>
      <c r="AB128" s="129"/>
      <c r="AC128" s="128"/>
      <c r="AD128" s="129"/>
      <c r="AE128" s="128"/>
      <c r="AF128" s="129"/>
      <c r="AG128" s="128"/>
      <c r="AH128" s="118"/>
    </row>
    <row r="129">
      <c r="A129" s="4">
        <v>9.0</v>
      </c>
      <c r="B129" s="4" t="s">
        <v>130</v>
      </c>
      <c r="C129" t="str">
        <f>'Mens JV Results'!F134</f>
        <v/>
      </c>
      <c r="D129">
        <f>'Mens JV Results'!C134</f>
        <v>2</v>
      </c>
      <c r="G129" s="130"/>
      <c r="H129" s="131"/>
      <c r="I129" s="132"/>
      <c r="J129" s="131"/>
      <c r="K129" s="132"/>
      <c r="L129" s="131"/>
      <c r="M129" s="132"/>
      <c r="N129" s="131"/>
      <c r="O129" s="132"/>
      <c r="P129" s="131"/>
      <c r="Q129" s="132"/>
      <c r="R129" s="131"/>
      <c r="S129" s="132"/>
      <c r="T129" s="131"/>
      <c r="U129" s="132"/>
      <c r="V129" s="131"/>
      <c r="W129" s="132"/>
      <c r="X129" s="131"/>
      <c r="Y129" s="132"/>
      <c r="Z129" s="131"/>
      <c r="AA129" s="132"/>
      <c r="AB129" s="131"/>
      <c r="AC129" s="132"/>
      <c r="AD129" s="131"/>
      <c r="AE129" s="132"/>
      <c r="AF129" s="131"/>
      <c r="AG129" s="132"/>
      <c r="AH129" s="133"/>
    </row>
    <row r="130">
      <c r="A130" s="4">
        <v>10.0</v>
      </c>
      <c r="B130" s="4" t="s">
        <v>130</v>
      </c>
      <c r="C130" t="str">
        <f>'Mens JV Results'!F135</f>
        <v/>
      </c>
      <c r="D130">
        <f>'Mens JV Results'!C135</f>
        <v>1</v>
      </c>
      <c r="G130" s="112"/>
      <c r="H130" s="129"/>
      <c r="I130" s="128"/>
      <c r="J130" s="129"/>
      <c r="K130" s="128"/>
      <c r="L130" s="129"/>
      <c r="M130" s="128"/>
      <c r="N130" s="129"/>
      <c r="O130" s="128"/>
      <c r="P130" s="129"/>
      <c r="Q130" s="128"/>
      <c r="R130" s="129"/>
      <c r="S130" s="128"/>
      <c r="T130" s="129"/>
      <c r="U130" s="128"/>
      <c r="V130" s="129"/>
      <c r="W130" s="128"/>
      <c r="X130" s="129"/>
      <c r="Y130" s="128"/>
      <c r="Z130" s="129"/>
      <c r="AA130" s="128"/>
      <c r="AB130" s="129"/>
      <c r="AC130" s="128"/>
      <c r="AD130" s="129"/>
      <c r="AE130" s="128"/>
      <c r="AF130" s="129"/>
      <c r="AG130" s="128"/>
      <c r="AH130" s="118"/>
    </row>
    <row r="131">
      <c r="G131" s="134"/>
      <c r="H131" s="135"/>
      <c r="I131" s="136"/>
      <c r="J131" s="135"/>
      <c r="K131" s="136"/>
      <c r="L131" s="135"/>
      <c r="M131" s="136"/>
      <c r="N131" s="135"/>
      <c r="O131" s="136"/>
      <c r="P131" s="135"/>
      <c r="Q131" s="136"/>
      <c r="R131" s="135"/>
      <c r="S131" s="136"/>
      <c r="T131" s="137"/>
      <c r="U131" s="136"/>
      <c r="V131" s="135"/>
      <c r="W131" s="136"/>
      <c r="X131" s="135"/>
      <c r="Y131" s="136"/>
      <c r="Z131" s="135"/>
      <c r="AA131" s="136"/>
      <c r="AB131" s="135"/>
      <c r="AC131" s="136"/>
      <c r="AD131" s="135"/>
      <c r="AE131" s="136"/>
      <c r="AF131" s="135"/>
      <c r="AG131" s="136"/>
      <c r="AH131" s="138"/>
    </row>
    <row r="132" hidden="1">
      <c r="H132" s="139">
        <v>114.0</v>
      </c>
      <c r="J132" s="139">
        <v>123.0</v>
      </c>
      <c r="L132" s="139">
        <v>132.0</v>
      </c>
      <c r="N132" s="139">
        <v>145.0</v>
      </c>
      <c r="P132" s="139">
        <v>155.0</v>
      </c>
      <c r="R132" s="139">
        <v>165.0</v>
      </c>
      <c r="T132" s="139">
        <v>181.0</v>
      </c>
      <c r="V132" s="139">
        <v>194.0</v>
      </c>
      <c r="X132" s="139">
        <v>207.0</v>
      </c>
      <c r="Z132" s="139">
        <v>220.0</v>
      </c>
      <c r="AB132" s="139">
        <v>242.0</v>
      </c>
      <c r="AD132" s="139">
        <v>275.0</v>
      </c>
      <c r="AF132" s="139" t="s">
        <v>130</v>
      </c>
      <c r="AH132" s="140" t="s">
        <v>118</v>
      </c>
    </row>
    <row r="133" hidden="1">
      <c r="F133" s="4">
        <v>1.0</v>
      </c>
      <c r="G133" t="str">
        <f>IFERROR(__xludf.DUMMYFUNCTION("unique(C:C)"),"")</f>
        <v/>
      </c>
      <c r="H133" t="str">
        <f t="shared" ref="H133:H270" si="1">IFERROR(__xludf.DUMMYFUNCTION("if(isblank($G133),, if(iserror(index(filter($C$1:$D$10,$C$1:$C$10=$G133),1,2)),,index(filter($C$1:$D$10,$C$1:$C$10=$G133),1,2)))"),"")</f>
        <v/>
      </c>
      <c r="I133" t="str">
        <f t="shared" ref="I133:I270" si="2">IFERROR(__xludf.DUMMYFUNCTION("if(isblank($G133),, if(iserror(index(filter($C$1:$D$10,$C$1:$C$10=$G133),2,2)),,index(filter($C$1:$D$10,$C$1:$C$10=$G133),2,2)))"),"")</f>
        <v/>
      </c>
      <c r="J133" t="str">
        <f t="shared" ref="J133:J270" si="3">IFERROR(__xludf.DUMMYFUNCTION("if(isblank($G133),, if(iserror(index(filter($C$11:$D$20,$C$11:$C$20=$G133),1,2)),,index(filter($C$11:$D$20,$C$11:$C$20=$G133),1,2)))"),"")</f>
        <v/>
      </c>
      <c r="K133" t="str">
        <f t="shared" ref="K133:K270" si="4">IFERROR(__xludf.DUMMYFUNCTION("if(isblank($G133),, if(iserror(index(filter($C$11:$D$20,$C$11:$C$20=$G133),2,2)),,index(filter($C$11:$D$20,$C$11:$C$20=$G133),2,2)))"),"")</f>
        <v/>
      </c>
      <c r="L133" t="str">
        <f t="shared" ref="L133:L270" si="5">IFERROR(__xludf.DUMMYFUNCTION("if(isblank($G133),, if(iserror(index(filter($C$21:$D$30,$C$21:$C$30=$G133),1,2)),,index(filter($C$21:$D$30,$C$21:$C$30=$G133),1,2)))"),"")</f>
        <v/>
      </c>
      <c r="M133" t="str">
        <f t="shared" ref="M133:M270" si="6">IFERROR(__xludf.DUMMYFUNCTION("if(isblank($G133),, if(iserror(index(filter($C$21:$D$30,$C$21:$C$30=$G133),2,2)),,index(filter($C$21:$D$30,$C$21:$C$30=$G133),2,2)))"),"")</f>
        <v/>
      </c>
      <c r="N133" t="str">
        <f t="shared" ref="N133:N270" si="7">IFERROR(__xludf.DUMMYFUNCTION("if(isblank($G133),, if(iserror(index(filter($C$31:$D$40,$C$31:$C$40=$G133),1,2)),,index(filter($C$31:$D$40,$C$31:$C$40=$G133),1,2)))"),"")</f>
        <v/>
      </c>
      <c r="O133" t="str">
        <f t="shared" ref="O133:O270" si="8">IFERROR(__xludf.DUMMYFUNCTION("if(isblank($G133),, if(iserror(index(filter($C$31:$D$40,$C$31:$C$40=$G133),2,2)),,index(filter($C$31:$D$40,$C$31:$C$40=$G133),2,2)))"),"")</f>
        <v/>
      </c>
      <c r="P133" t="str">
        <f t="shared" ref="P133:P270" si="9">IFERROR(__xludf.DUMMYFUNCTION("if(isblank($G133),, if(iserror(index(filter($C$41:$D$50,$C$41:$C$50=$G133),1,2)),,index(filter($C$41:$D$50,$C$41:$C$50=$G133),1,2)))"),"")</f>
        <v/>
      </c>
      <c r="Q133" t="str">
        <f t="shared" ref="Q133:Q270" si="10">IFERROR(__xludf.DUMMYFUNCTION("if(isblank($G133),, if(iserror(index(filter($C$41:$D$50,$C$41:$C$50=$G133),2,2)),,index(filter($C$41:$D$50,$C$41:$C$50=$G133),2,2)))"),"")</f>
        <v/>
      </c>
      <c r="R133" t="str">
        <f t="shared" ref="R133:R270" si="11">IFERROR(__xludf.DUMMYFUNCTION("if(isblank($G133),, if(iserror(index(filter($C$51:$D$60,$C$51:$C$60=$G133),1,2)),,index(filter($C$51:$D$60,$C$51:$C$60=$G133),1,2)))"),"")</f>
        <v/>
      </c>
      <c r="S133" t="str">
        <f t="shared" ref="S133:S270" si="12">IFERROR(__xludf.DUMMYFUNCTION("if(isblank($G133),, if(iserror(index(filter($C$51:$D$60,$C$51:$C$60=$G133),2,2)),,index(filter($C$51:$D$60,$C$51:$C$60=$G133),2,2)))"),"")</f>
        <v/>
      </c>
      <c r="T133" t="str">
        <f t="shared" ref="T133:T270" si="13">IFERROR(__xludf.DUMMYFUNCTION("if(isblank($G133),, if(iserror(index(filter($C$61:$D$70,$C$61:$C$70=$G133),1,2)),,index(filter($C$61:$D$70,$C$61:$C$70=$G133),1,2)))"),"")</f>
        <v/>
      </c>
      <c r="U133" t="str">
        <f t="shared" ref="U133:U270" si="14">IFERROR(__xludf.DUMMYFUNCTION("if(isblank($G133),, if(iserror(index(filter($C$61:$D$70,$C$61:$C$70=$G133),2,2)),,index(filter($C$61:$D$70,$C$61:$C$70=$G133),2,2)))"),"")</f>
        <v/>
      </c>
      <c r="V133" t="str">
        <f t="shared" ref="V133:V270" si="15">IFERROR(__xludf.DUMMYFUNCTION("if(isblank($G133),, if(iserror(index(filter($C$71:$D$80,$C$71:$C$80=$G133),1,2)),,index(filter($C$71:$D$80,$C$71:$C$80=$G133),1,2)))"),"")</f>
        <v/>
      </c>
      <c r="W133" t="str">
        <f t="shared" ref="W133:W270" si="16">IFERROR(__xludf.DUMMYFUNCTION("if(isblank($G133),, if(iserror(index(filter($C$71:$D$80,$C$71:$C$80=$G133),2,2)),,index(filter($C$71:$D$80,$C$71:$C$80=$G133),2,2)))"),"")</f>
        <v/>
      </c>
      <c r="X133" t="str">
        <f t="shared" ref="X133:X270" si="17">IFERROR(__xludf.DUMMYFUNCTION("if(isblank($G133),, if(iserror(index(filter($C$81:$D$90,$C$81:$C$90=$G133),1,2)),,index(filter($C$81:$D$90,$C$81:$C$90=$G133),1,2)))"),"")</f>
        <v/>
      </c>
      <c r="Y133" t="str">
        <f t="shared" ref="Y133:Y270" si="18">IFERROR(__xludf.DUMMYFUNCTION("if(isblank($G133),, if(iserror(index(filter($C$81:$D$90,$C$81:$C$90=$G133),2,2)),,index(filter($C$81:$D$90,$C$81:$C$90=$G133),2,2)))"),"")</f>
        <v/>
      </c>
      <c r="Z133" t="str">
        <f t="shared" ref="Z133:Z270" si="19">IFERROR(__xludf.DUMMYFUNCTION("if(isblank($G133),, if(iserror(index(filter($C$91:$D$100,$C$91:$C$100=$G133),1,2)),,index(filter($C$91:$D$100,$C$91:$C$100=$G133),1,2)))"),"")</f>
        <v/>
      </c>
      <c r="AA133" t="str">
        <f t="shared" ref="AA133:AA270" si="20">IFERROR(__xludf.DUMMYFUNCTION("if(isblank($G133),, if(iserror(index(filter($C$91:$D$100,$C$91:$C$100=$G133),2,2)),,index(filter($C$91:$D$100,$C$91:$C$100=$G133),2,2)))"),"")</f>
        <v/>
      </c>
      <c r="AB133" t="str">
        <f t="shared" ref="AB133:AB270" si="21">IFERROR(__xludf.DUMMYFUNCTION("if(isblank($G133),, if(iserror(index(filter($C$101:$D$110,$C$101:$C$110=$G133),1,2)),,index(filter($C$101:$D$110,$C$101:$C$110=$G133),1,2)))"),"")</f>
        <v/>
      </c>
      <c r="AC133" t="str">
        <f t="shared" ref="AC133:AC270" si="22">IFERROR(__xludf.DUMMYFUNCTION("if(isblank($G133),, if(iserror(index(filter($C$101:$D$110,$C$101:$C$110=$G133),2,2)),,index(filter($C$101:$D$110,$C$101:$C$110=$G133),2,2)))"),"")</f>
        <v/>
      </c>
      <c r="AD133" t="str">
        <f t="shared" ref="AD133:AD270" si="23">IFERROR(__xludf.DUMMYFUNCTION("if(isblank($G133),, if(iserror(index(filter($C$111:$D$120,$C$111:$C$120=$G133),1,2)),,index(filter($C$111:$D$120,$C$111:$C$120=$G133),1,2)))"),"")</f>
        <v/>
      </c>
      <c r="AE133" t="str">
        <f t="shared" ref="AE133:AE270" si="24">IFERROR(__xludf.DUMMYFUNCTION("if(isblank($G133),, if(iserror(index(filter($C$111:$D$120,$C$111:$C$120=$G133),2,2)),,index(filter($C$111:$D$120,$C$111:$C$120=$G133),2,2)))"),"")</f>
        <v/>
      </c>
      <c r="AF133" t="str">
        <f t="shared" ref="AF133:AF270" si="25">IFERROR(__xludf.DUMMYFUNCTION("if(isblank($G133),, if(iserror(index(filter($C$121:$D$130,$C$121:$C$130=$G133),1,2)),,index(filter($C$121:$D$130,$C$121:$C$130=$G133),1,2)))"),"")</f>
        <v/>
      </c>
      <c r="AG133" t="str">
        <f t="shared" ref="AG133:AG270" si="26">IFERROR(__xludf.DUMMYFUNCTION("if(isblank($G133),, if(iserror(index(filter($C$121:$D$130,$C$121:$C$130=$G133),2,2)),,index(filter($C$121:$D$130,$C$121:$C$130=$G133),2,2)))"),"")</f>
        <v/>
      </c>
      <c r="AH133" s="65" t="str">
        <f t="array" ref="AH133">if(sum(H133:AG133)=0,,sum(sort(TRANSPOSE(H133:AG133),1,false)))</f>
        <v/>
      </c>
    </row>
    <row r="134" hidden="1">
      <c r="F134" s="4">
        <v>2.0</v>
      </c>
      <c r="H134" t="str">
        <f t="shared" si="1"/>
        <v/>
      </c>
      <c r="I134" t="str">
        <f t="shared" si="2"/>
        <v/>
      </c>
      <c r="J134" t="str">
        <f t="shared" si="3"/>
        <v/>
      </c>
      <c r="K134" t="str">
        <f t="shared" si="4"/>
        <v/>
      </c>
      <c r="L134" t="str">
        <f t="shared" si="5"/>
        <v/>
      </c>
      <c r="M134" t="str">
        <f t="shared" si="6"/>
        <v/>
      </c>
      <c r="N134" t="str">
        <f t="shared" si="7"/>
        <v/>
      </c>
      <c r="O134" t="str">
        <f t="shared" si="8"/>
        <v/>
      </c>
      <c r="P134" t="str">
        <f t="shared" si="9"/>
        <v/>
      </c>
      <c r="Q134" t="str">
        <f t="shared" si="10"/>
        <v/>
      </c>
      <c r="R134" t="str">
        <f t="shared" si="11"/>
        <v/>
      </c>
      <c r="S134" t="str">
        <f t="shared" si="12"/>
        <v/>
      </c>
      <c r="T134" t="str">
        <f t="shared" si="13"/>
        <v/>
      </c>
      <c r="U134" t="str">
        <f t="shared" si="14"/>
        <v/>
      </c>
      <c r="V134" t="str">
        <f t="shared" si="15"/>
        <v/>
      </c>
      <c r="W134" t="str">
        <f t="shared" si="16"/>
        <v/>
      </c>
      <c r="X134" t="str">
        <f t="shared" si="17"/>
        <v/>
      </c>
      <c r="Y134" t="str">
        <f t="shared" si="18"/>
        <v/>
      </c>
      <c r="Z134" t="str">
        <f t="shared" si="19"/>
        <v/>
      </c>
      <c r="AA134" t="str">
        <f t="shared" si="20"/>
        <v/>
      </c>
      <c r="AB134" t="str">
        <f t="shared" si="21"/>
        <v/>
      </c>
      <c r="AC134" t="str">
        <f t="shared" si="22"/>
        <v/>
      </c>
      <c r="AD134" t="str">
        <f t="shared" si="23"/>
        <v/>
      </c>
      <c r="AE134" t="str">
        <f t="shared" si="24"/>
        <v/>
      </c>
      <c r="AF134" t="str">
        <f t="shared" si="25"/>
        <v/>
      </c>
      <c r="AG134" t="str">
        <f t="shared" si="26"/>
        <v/>
      </c>
      <c r="AH134" s="65" t="str">
        <f t="array" ref="AH134">if(sum(H134:AG134)=0,,sum(sort(TRANSPOSE(H134:AG134),1,false)))</f>
        <v/>
      </c>
    </row>
    <row r="135" hidden="1">
      <c r="F135" s="4">
        <v>3.0</v>
      </c>
      <c r="G135" s="141"/>
      <c r="H135" t="str">
        <f t="shared" si="1"/>
        <v/>
      </c>
      <c r="I135" t="str">
        <f t="shared" si="2"/>
        <v/>
      </c>
      <c r="J135" t="str">
        <f t="shared" si="3"/>
        <v/>
      </c>
      <c r="K135" t="str">
        <f t="shared" si="4"/>
        <v/>
      </c>
      <c r="L135" t="str">
        <f t="shared" si="5"/>
        <v/>
      </c>
      <c r="M135" t="str">
        <f t="shared" si="6"/>
        <v/>
      </c>
      <c r="N135" t="str">
        <f t="shared" si="7"/>
        <v/>
      </c>
      <c r="O135" t="str">
        <f t="shared" si="8"/>
        <v/>
      </c>
      <c r="P135" t="str">
        <f t="shared" si="9"/>
        <v/>
      </c>
      <c r="Q135" t="str">
        <f t="shared" si="10"/>
        <v/>
      </c>
      <c r="R135" t="str">
        <f t="shared" si="11"/>
        <v/>
      </c>
      <c r="S135" t="str">
        <f t="shared" si="12"/>
        <v/>
      </c>
      <c r="T135" t="str">
        <f t="shared" si="13"/>
        <v/>
      </c>
      <c r="U135" t="str">
        <f t="shared" si="14"/>
        <v/>
      </c>
      <c r="V135" t="str">
        <f t="shared" si="15"/>
        <v/>
      </c>
      <c r="W135" t="str">
        <f t="shared" si="16"/>
        <v/>
      </c>
      <c r="X135" t="str">
        <f t="shared" si="17"/>
        <v/>
      </c>
      <c r="Y135" t="str">
        <f t="shared" si="18"/>
        <v/>
      </c>
      <c r="Z135" t="str">
        <f t="shared" si="19"/>
        <v/>
      </c>
      <c r="AA135" t="str">
        <f t="shared" si="20"/>
        <v/>
      </c>
      <c r="AB135" t="str">
        <f t="shared" si="21"/>
        <v/>
      </c>
      <c r="AC135" t="str">
        <f t="shared" si="22"/>
        <v/>
      </c>
      <c r="AD135" t="str">
        <f t="shared" si="23"/>
        <v/>
      </c>
      <c r="AE135" t="str">
        <f t="shared" si="24"/>
        <v/>
      </c>
      <c r="AF135" t="str">
        <f t="shared" si="25"/>
        <v/>
      </c>
      <c r="AG135" t="str">
        <f t="shared" si="26"/>
        <v/>
      </c>
      <c r="AH135" s="65" t="str">
        <f t="array" ref="AH135">if(sum(H135:AG135)=0,,sum(sort(TRANSPOSE(H135:AG135),1,false)))</f>
        <v/>
      </c>
    </row>
    <row r="136" hidden="1">
      <c r="F136" s="4">
        <v>4.0</v>
      </c>
      <c r="G136" s="141"/>
      <c r="H136" t="str">
        <f t="shared" si="1"/>
        <v/>
      </c>
      <c r="I136" t="str">
        <f t="shared" si="2"/>
        <v/>
      </c>
      <c r="J136" t="str">
        <f t="shared" si="3"/>
        <v/>
      </c>
      <c r="K136" t="str">
        <f t="shared" si="4"/>
        <v/>
      </c>
      <c r="L136" t="str">
        <f t="shared" si="5"/>
        <v/>
      </c>
      <c r="M136" t="str">
        <f t="shared" si="6"/>
        <v/>
      </c>
      <c r="N136" t="str">
        <f t="shared" si="7"/>
        <v/>
      </c>
      <c r="O136" t="str">
        <f t="shared" si="8"/>
        <v/>
      </c>
      <c r="P136" t="str">
        <f t="shared" si="9"/>
        <v/>
      </c>
      <c r="Q136" t="str">
        <f t="shared" si="10"/>
        <v/>
      </c>
      <c r="R136" t="str">
        <f t="shared" si="11"/>
        <v/>
      </c>
      <c r="S136" t="str">
        <f t="shared" si="12"/>
        <v/>
      </c>
      <c r="T136" t="str">
        <f t="shared" si="13"/>
        <v/>
      </c>
      <c r="U136" t="str">
        <f t="shared" si="14"/>
        <v/>
      </c>
      <c r="V136" t="str">
        <f t="shared" si="15"/>
        <v/>
      </c>
      <c r="W136" t="str">
        <f t="shared" si="16"/>
        <v/>
      </c>
      <c r="X136" t="str">
        <f t="shared" si="17"/>
        <v/>
      </c>
      <c r="Y136" t="str">
        <f t="shared" si="18"/>
        <v/>
      </c>
      <c r="Z136" t="str">
        <f t="shared" si="19"/>
        <v/>
      </c>
      <c r="AA136" t="str">
        <f t="shared" si="20"/>
        <v/>
      </c>
      <c r="AB136" t="str">
        <f t="shared" si="21"/>
        <v/>
      </c>
      <c r="AC136" t="str">
        <f t="shared" si="22"/>
        <v/>
      </c>
      <c r="AD136" t="str">
        <f t="shared" si="23"/>
        <v/>
      </c>
      <c r="AE136" t="str">
        <f t="shared" si="24"/>
        <v/>
      </c>
      <c r="AF136" t="str">
        <f t="shared" si="25"/>
        <v/>
      </c>
      <c r="AG136" t="str">
        <f t="shared" si="26"/>
        <v/>
      </c>
      <c r="AH136" s="65" t="str">
        <f t="array" ref="AH136">if(sum(H136:AG136)=0,,sum(sort(TRANSPOSE(H136:AG136),1,false)))</f>
        <v/>
      </c>
    </row>
    <row r="137" hidden="1">
      <c r="F137" s="4">
        <v>5.0</v>
      </c>
      <c r="G137" s="141"/>
      <c r="H137" t="str">
        <f t="shared" si="1"/>
        <v/>
      </c>
      <c r="I137" t="str">
        <f t="shared" si="2"/>
        <v/>
      </c>
      <c r="J137" t="str">
        <f t="shared" si="3"/>
        <v/>
      </c>
      <c r="K137" t="str">
        <f t="shared" si="4"/>
        <v/>
      </c>
      <c r="L137" t="str">
        <f t="shared" si="5"/>
        <v/>
      </c>
      <c r="M137" t="str">
        <f t="shared" si="6"/>
        <v/>
      </c>
      <c r="N137" t="str">
        <f t="shared" si="7"/>
        <v/>
      </c>
      <c r="O137" t="str">
        <f t="shared" si="8"/>
        <v/>
      </c>
      <c r="P137" t="str">
        <f t="shared" si="9"/>
        <v/>
      </c>
      <c r="Q137" t="str">
        <f t="shared" si="10"/>
        <v/>
      </c>
      <c r="R137" t="str">
        <f t="shared" si="11"/>
        <v/>
      </c>
      <c r="S137" t="str">
        <f t="shared" si="12"/>
        <v/>
      </c>
      <c r="T137" t="str">
        <f t="shared" si="13"/>
        <v/>
      </c>
      <c r="U137" t="str">
        <f t="shared" si="14"/>
        <v/>
      </c>
      <c r="V137" t="str">
        <f t="shared" si="15"/>
        <v/>
      </c>
      <c r="W137" t="str">
        <f t="shared" si="16"/>
        <v/>
      </c>
      <c r="X137" t="str">
        <f t="shared" si="17"/>
        <v/>
      </c>
      <c r="Y137" t="str">
        <f t="shared" si="18"/>
        <v/>
      </c>
      <c r="Z137" t="str">
        <f t="shared" si="19"/>
        <v/>
      </c>
      <c r="AA137" t="str">
        <f t="shared" si="20"/>
        <v/>
      </c>
      <c r="AB137" t="str">
        <f t="shared" si="21"/>
        <v/>
      </c>
      <c r="AC137" t="str">
        <f t="shared" si="22"/>
        <v/>
      </c>
      <c r="AD137" t="str">
        <f t="shared" si="23"/>
        <v/>
      </c>
      <c r="AE137" t="str">
        <f t="shared" si="24"/>
        <v/>
      </c>
      <c r="AF137" t="str">
        <f t="shared" si="25"/>
        <v/>
      </c>
      <c r="AG137" t="str">
        <f t="shared" si="26"/>
        <v/>
      </c>
      <c r="AH137" s="65" t="str">
        <f t="array" ref="AH137">if(sum(H137:AG137)=0,,sum(sort(TRANSPOSE(H137:AG137),1,false)))</f>
        <v/>
      </c>
    </row>
    <row r="138" hidden="1">
      <c r="F138" s="4">
        <v>6.0</v>
      </c>
      <c r="G138" s="141"/>
      <c r="H138" t="str">
        <f t="shared" si="1"/>
        <v/>
      </c>
      <c r="I138" t="str">
        <f t="shared" si="2"/>
        <v/>
      </c>
      <c r="J138" t="str">
        <f t="shared" si="3"/>
        <v/>
      </c>
      <c r="K138" t="str">
        <f t="shared" si="4"/>
        <v/>
      </c>
      <c r="L138" t="str">
        <f t="shared" si="5"/>
        <v/>
      </c>
      <c r="M138" t="str">
        <f t="shared" si="6"/>
        <v/>
      </c>
      <c r="N138" t="str">
        <f t="shared" si="7"/>
        <v/>
      </c>
      <c r="O138" t="str">
        <f t="shared" si="8"/>
        <v/>
      </c>
      <c r="P138" t="str">
        <f t="shared" si="9"/>
        <v/>
      </c>
      <c r="Q138" t="str">
        <f t="shared" si="10"/>
        <v/>
      </c>
      <c r="R138" t="str">
        <f t="shared" si="11"/>
        <v/>
      </c>
      <c r="S138" t="str">
        <f t="shared" si="12"/>
        <v/>
      </c>
      <c r="T138" t="str">
        <f t="shared" si="13"/>
        <v/>
      </c>
      <c r="U138" t="str">
        <f t="shared" si="14"/>
        <v/>
      </c>
      <c r="V138" t="str">
        <f t="shared" si="15"/>
        <v/>
      </c>
      <c r="W138" t="str">
        <f t="shared" si="16"/>
        <v/>
      </c>
      <c r="X138" t="str">
        <f t="shared" si="17"/>
        <v/>
      </c>
      <c r="Y138" t="str">
        <f t="shared" si="18"/>
        <v/>
      </c>
      <c r="Z138" t="str">
        <f t="shared" si="19"/>
        <v/>
      </c>
      <c r="AA138" t="str">
        <f t="shared" si="20"/>
        <v/>
      </c>
      <c r="AB138" t="str">
        <f t="shared" si="21"/>
        <v/>
      </c>
      <c r="AC138" t="str">
        <f t="shared" si="22"/>
        <v/>
      </c>
      <c r="AD138" t="str">
        <f t="shared" si="23"/>
        <v/>
      </c>
      <c r="AE138" t="str">
        <f t="shared" si="24"/>
        <v/>
      </c>
      <c r="AF138" t="str">
        <f t="shared" si="25"/>
        <v/>
      </c>
      <c r="AG138" t="str">
        <f t="shared" si="26"/>
        <v/>
      </c>
      <c r="AH138" s="65" t="str">
        <f t="array" ref="AH138">if(sum(H138:AG138)=0,,sum(sort(TRANSPOSE(H138:AG138),1,false)))</f>
        <v/>
      </c>
    </row>
    <row r="139" hidden="1">
      <c r="F139" s="4">
        <v>7.0</v>
      </c>
      <c r="G139" s="141"/>
      <c r="H139" t="str">
        <f t="shared" si="1"/>
        <v/>
      </c>
      <c r="I139" t="str">
        <f t="shared" si="2"/>
        <v/>
      </c>
      <c r="J139" t="str">
        <f t="shared" si="3"/>
        <v/>
      </c>
      <c r="K139" t="str">
        <f t="shared" si="4"/>
        <v/>
      </c>
      <c r="L139" t="str">
        <f t="shared" si="5"/>
        <v/>
      </c>
      <c r="M139" t="str">
        <f t="shared" si="6"/>
        <v/>
      </c>
      <c r="N139" t="str">
        <f t="shared" si="7"/>
        <v/>
      </c>
      <c r="O139" t="str">
        <f t="shared" si="8"/>
        <v/>
      </c>
      <c r="P139" t="str">
        <f t="shared" si="9"/>
        <v/>
      </c>
      <c r="Q139" t="str">
        <f t="shared" si="10"/>
        <v/>
      </c>
      <c r="R139" t="str">
        <f t="shared" si="11"/>
        <v/>
      </c>
      <c r="S139" t="str">
        <f t="shared" si="12"/>
        <v/>
      </c>
      <c r="T139" t="str">
        <f t="shared" si="13"/>
        <v/>
      </c>
      <c r="U139" t="str">
        <f t="shared" si="14"/>
        <v/>
      </c>
      <c r="V139" t="str">
        <f t="shared" si="15"/>
        <v/>
      </c>
      <c r="W139" t="str">
        <f t="shared" si="16"/>
        <v/>
      </c>
      <c r="X139" t="str">
        <f t="shared" si="17"/>
        <v/>
      </c>
      <c r="Y139" t="str">
        <f t="shared" si="18"/>
        <v/>
      </c>
      <c r="Z139" t="str">
        <f t="shared" si="19"/>
        <v/>
      </c>
      <c r="AA139" t="str">
        <f t="shared" si="20"/>
        <v/>
      </c>
      <c r="AB139" t="str">
        <f t="shared" si="21"/>
        <v/>
      </c>
      <c r="AC139" t="str">
        <f t="shared" si="22"/>
        <v/>
      </c>
      <c r="AD139" t="str">
        <f t="shared" si="23"/>
        <v/>
      </c>
      <c r="AE139" t="str">
        <f t="shared" si="24"/>
        <v/>
      </c>
      <c r="AF139" t="str">
        <f t="shared" si="25"/>
        <v/>
      </c>
      <c r="AG139" t="str">
        <f t="shared" si="26"/>
        <v/>
      </c>
      <c r="AH139" s="65" t="str">
        <f t="array" ref="AH139">if(sum(H139:AG139)=0,,sum(sort(TRANSPOSE(H139:AG139),1,false)))</f>
        <v/>
      </c>
    </row>
    <row r="140" hidden="1">
      <c r="F140" s="4">
        <v>8.0</v>
      </c>
      <c r="G140" s="141"/>
      <c r="H140" t="str">
        <f t="shared" si="1"/>
        <v/>
      </c>
      <c r="I140" t="str">
        <f t="shared" si="2"/>
        <v/>
      </c>
      <c r="J140" t="str">
        <f t="shared" si="3"/>
        <v/>
      </c>
      <c r="K140" t="str">
        <f t="shared" si="4"/>
        <v/>
      </c>
      <c r="L140" t="str">
        <f t="shared" si="5"/>
        <v/>
      </c>
      <c r="M140" t="str">
        <f t="shared" si="6"/>
        <v/>
      </c>
      <c r="N140" t="str">
        <f t="shared" si="7"/>
        <v/>
      </c>
      <c r="O140" t="str">
        <f t="shared" si="8"/>
        <v/>
      </c>
      <c r="P140" t="str">
        <f t="shared" si="9"/>
        <v/>
      </c>
      <c r="Q140" t="str">
        <f t="shared" si="10"/>
        <v/>
      </c>
      <c r="R140" t="str">
        <f t="shared" si="11"/>
        <v/>
      </c>
      <c r="S140" t="str">
        <f t="shared" si="12"/>
        <v/>
      </c>
      <c r="T140" t="str">
        <f t="shared" si="13"/>
        <v/>
      </c>
      <c r="U140" t="str">
        <f t="shared" si="14"/>
        <v/>
      </c>
      <c r="V140" t="str">
        <f t="shared" si="15"/>
        <v/>
      </c>
      <c r="W140" t="str">
        <f t="shared" si="16"/>
        <v/>
      </c>
      <c r="X140" t="str">
        <f t="shared" si="17"/>
        <v/>
      </c>
      <c r="Y140" t="str">
        <f t="shared" si="18"/>
        <v/>
      </c>
      <c r="Z140" t="str">
        <f t="shared" si="19"/>
        <v/>
      </c>
      <c r="AA140" t="str">
        <f t="shared" si="20"/>
        <v/>
      </c>
      <c r="AB140" t="str">
        <f t="shared" si="21"/>
        <v/>
      </c>
      <c r="AC140" t="str">
        <f t="shared" si="22"/>
        <v/>
      </c>
      <c r="AD140" t="str">
        <f t="shared" si="23"/>
        <v/>
      </c>
      <c r="AE140" t="str">
        <f t="shared" si="24"/>
        <v/>
      </c>
      <c r="AF140" t="str">
        <f t="shared" si="25"/>
        <v/>
      </c>
      <c r="AG140" t="str">
        <f t="shared" si="26"/>
        <v/>
      </c>
      <c r="AH140" s="65" t="str">
        <f t="array" ref="AH140">if(sum(H140:AG140)=0,,sum(sort(TRANSPOSE(H140:AG140),1,false)))</f>
        <v/>
      </c>
    </row>
    <row r="141" hidden="1">
      <c r="F141" s="4">
        <v>9.0</v>
      </c>
      <c r="G141" s="141"/>
      <c r="H141" t="str">
        <f t="shared" si="1"/>
        <v/>
      </c>
      <c r="I141" t="str">
        <f t="shared" si="2"/>
        <v/>
      </c>
      <c r="J141" t="str">
        <f t="shared" si="3"/>
        <v/>
      </c>
      <c r="K141" t="str">
        <f t="shared" si="4"/>
        <v/>
      </c>
      <c r="L141" t="str">
        <f t="shared" si="5"/>
        <v/>
      </c>
      <c r="M141" t="str">
        <f t="shared" si="6"/>
        <v/>
      </c>
      <c r="N141" t="str">
        <f t="shared" si="7"/>
        <v/>
      </c>
      <c r="O141" t="str">
        <f t="shared" si="8"/>
        <v/>
      </c>
      <c r="P141" t="str">
        <f t="shared" si="9"/>
        <v/>
      </c>
      <c r="Q141" t="str">
        <f t="shared" si="10"/>
        <v/>
      </c>
      <c r="R141" t="str">
        <f t="shared" si="11"/>
        <v/>
      </c>
      <c r="S141" t="str">
        <f t="shared" si="12"/>
        <v/>
      </c>
      <c r="T141" t="str">
        <f t="shared" si="13"/>
        <v/>
      </c>
      <c r="U141" t="str">
        <f t="shared" si="14"/>
        <v/>
      </c>
      <c r="V141" t="str">
        <f t="shared" si="15"/>
        <v/>
      </c>
      <c r="W141" t="str">
        <f t="shared" si="16"/>
        <v/>
      </c>
      <c r="X141" t="str">
        <f t="shared" si="17"/>
        <v/>
      </c>
      <c r="Y141" t="str">
        <f t="shared" si="18"/>
        <v/>
      </c>
      <c r="Z141" t="str">
        <f t="shared" si="19"/>
        <v/>
      </c>
      <c r="AA141" t="str">
        <f t="shared" si="20"/>
        <v/>
      </c>
      <c r="AB141" t="str">
        <f t="shared" si="21"/>
        <v/>
      </c>
      <c r="AC141" t="str">
        <f t="shared" si="22"/>
        <v/>
      </c>
      <c r="AD141" t="str">
        <f t="shared" si="23"/>
        <v/>
      </c>
      <c r="AE141" t="str">
        <f t="shared" si="24"/>
        <v/>
      </c>
      <c r="AF141" t="str">
        <f t="shared" si="25"/>
        <v/>
      </c>
      <c r="AG141" t="str">
        <f t="shared" si="26"/>
        <v/>
      </c>
      <c r="AH141" s="65" t="str">
        <f t="array" ref="AH141">if(sum(H141:AG141)=0,,sum(sort(TRANSPOSE(H141:AG141),1,false)))</f>
        <v/>
      </c>
    </row>
    <row r="142" hidden="1">
      <c r="F142" s="4">
        <v>10.0</v>
      </c>
      <c r="G142" s="141"/>
      <c r="H142" t="str">
        <f t="shared" si="1"/>
        <v/>
      </c>
      <c r="I142" t="str">
        <f t="shared" si="2"/>
        <v/>
      </c>
      <c r="J142" t="str">
        <f t="shared" si="3"/>
        <v/>
      </c>
      <c r="K142" t="str">
        <f t="shared" si="4"/>
        <v/>
      </c>
      <c r="L142" t="str">
        <f t="shared" si="5"/>
        <v/>
      </c>
      <c r="M142" t="str">
        <f t="shared" si="6"/>
        <v/>
      </c>
      <c r="N142" t="str">
        <f t="shared" si="7"/>
        <v/>
      </c>
      <c r="O142" t="str">
        <f t="shared" si="8"/>
        <v/>
      </c>
      <c r="P142" t="str">
        <f t="shared" si="9"/>
        <v/>
      </c>
      <c r="Q142" t="str">
        <f t="shared" si="10"/>
        <v/>
      </c>
      <c r="R142" t="str">
        <f t="shared" si="11"/>
        <v/>
      </c>
      <c r="S142" t="str">
        <f t="shared" si="12"/>
        <v/>
      </c>
      <c r="T142" t="str">
        <f t="shared" si="13"/>
        <v/>
      </c>
      <c r="U142" t="str">
        <f t="shared" si="14"/>
        <v/>
      </c>
      <c r="V142" t="str">
        <f t="shared" si="15"/>
        <v/>
      </c>
      <c r="W142" t="str">
        <f t="shared" si="16"/>
        <v/>
      </c>
      <c r="X142" t="str">
        <f t="shared" si="17"/>
        <v/>
      </c>
      <c r="Y142" t="str">
        <f t="shared" si="18"/>
        <v/>
      </c>
      <c r="Z142" t="str">
        <f t="shared" si="19"/>
        <v/>
      </c>
      <c r="AA142" t="str">
        <f t="shared" si="20"/>
        <v/>
      </c>
      <c r="AB142" t="str">
        <f t="shared" si="21"/>
        <v/>
      </c>
      <c r="AC142" t="str">
        <f t="shared" si="22"/>
        <v/>
      </c>
      <c r="AD142" t="str">
        <f t="shared" si="23"/>
        <v/>
      </c>
      <c r="AE142" t="str">
        <f t="shared" si="24"/>
        <v/>
      </c>
      <c r="AF142" t="str">
        <f t="shared" si="25"/>
        <v/>
      </c>
      <c r="AG142" t="str">
        <f t="shared" si="26"/>
        <v/>
      </c>
      <c r="AH142" s="65" t="str">
        <f t="array" ref="AH142">if(sum(H142:AG142)=0,,sum(sort(TRANSPOSE(H142:AG142),1,false)))</f>
        <v/>
      </c>
    </row>
    <row r="143" hidden="1">
      <c r="F143" s="4">
        <v>11.0</v>
      </c>
      <c r="G143" s="141"/>
      <c r="H143" t="str">
        <f t="shared" si="1"/>
        <v/>
      </c>
      <c r="I143" t="str">
        <f t="shared" si="2"/>
        <v/>
      </c>
      <c r="J143" t="str">
        <f t="shared" si="3"/>
        <v/>
      </c>
      <c r="K143" t="str">
        <f t="shared" si="4"/>
        <v/>
      </c>
      <c r="L143" t="str">
        <f t="shared" si="5"/>
        <v/>
      </c>
      <c r="M143" t="str">
        <f t="shared" si="6"/>
        <v/>
      </c>
      <c r="N143" t="str">
        <f t="shared" si="7"/>
        <v/>
      </c>
      <c r="O143" t="str">
        <f t="shared" si="8"/>
        <v/>
      </c>
      <c r="P143" t="str">
        <f t="shared" si="9"/>
        <v/>
      </c>
      <c r="Q143" t="str">
        <f t="shared" si="10"/>
        <v/>
      </c>
      <c r="R143" t="str">
        <f t="shared" si="11"/>
        <v/>
      </c>
      <c r="S143" t="str">
        <f t="shared" si="12"/>
        <v/>
      </c>
      <c r="T143" t="str">
        <f t="shared" si="13"/>
        <v/>
      </c>
      <c r="U143" t="str">
        <f t="shared" si="14"/>
        <v/>
      </c>
      <c r="V143" t="str">
        <f t="shared" si="15"/>
        <v/>
      </c>
      <c r="W143" t="str">
        <f t="shared" si="16"/>
        <v/>
      </c>
      <c r="X143" t="str">
        <f t="shared" si="17"/>
        <v/>
      </c>
      <c r="Y143" t="str">
        <f t="shared" si="18"/>
        <v/>
      </c>
      <c r="Z143" t="str">
        <f t="shared" si="19"/>
        <v/>
      </c>
      <c r="AA143" t="str">
        <f t="shared" si="20"/>
        <v/>
      </c>
      <c r="AB143" t="str">
        <f t="shared" si="21"/>
        <v/>
      </c>
      <c r="AC143" t="str">
        <f t="shared" si="22"/>
        <v/>
      </c>
      <c r="AD143" t="str">
        <f t="shared" si="23"/>
        <v/>
      </c>
      <c r="AE143" t="str">
        <f t="shared" si="24"/>
        <v/>
      </c>
      <c r="AF143" t="str">
        <f t="shared" si="25"/>
        <v/>
      </c>
      <c r="AG143" t="str">
        <f t="shared" si="26"/>
        <v/>
      </c>
      <c r="AH143" s="65" t="str">
        <f t="array" ref="AH143">if(sum(H143:AG143)=0,,sum(sort(TRANSPOSE(H143:AG143),1,false)))</f>
        <v/>
      </c>
    </row>
    <row r="144" hidden="1">
      <c r="F144" s="4">
        <v>12.0</v>
      </c>
      <c r="G144" s="141"/>
      <c r="H144" t="str">
        <f t="shared" si="1"/>
        <v/>
      </c>
      <c r="I144" t="str">
        <f t="shared" si="2"/>
        <v/>
      </c>
      <c r="J144" t="str">
        <f t="shared" si="3"/>
        <v/>
      </c>
      <c r="K144" t="str">
        <f t="shared" si="4"/>
        <v/>
      </c>
      <c r="L144" t="str">
        <f t="shared" si="5"/>
        <v/>
      </c>
      <c r="M144" t="str">
        <f t="shared" si="6"/>
        <v/>
      </c>
      <c r="N144" t="str">
        <f t="shared" si="7"/>
        <v/>
      </c>
      <c r="O144" t="str">
        <f t="shared" si="8"/>
        <v/>
      </c>
      <c r="P144" t="str">
        <f t="shared" si="9"/>
        <v/>
      </c>
      <c r="Q144" t="str">
        <f t="shared" si="10"/>
        <v/>
      </c>
      <c r="R144" t="str">
        <f t="shared" si="11"/>
        <v/>
      </c>
      <c r="S144" t="str">
        <f t="shared" si="12"/>
        <v/>
      </c>
      <c r="T144" t="str">
        <f t="shared" si="13"/>
        <v/>
      </c>
      <c r="U144" t="str">
        <f t="shared" si="14"/>
        <v/>
      </c>
      <c r="V144" t="str">
        <f t="shared" si="15"/>
        <v/>
      </c>
      <c r="W144" t="str">
        <f t="shared" si="16"/>
        <v/>
      </c>
      <c r="X144" t="str">
        <f t="shared" si="17"/>
        <v/>
      </c>
      <c r="Y144" t="str">
        <f t="shared" si="18"/>
        <v/>
      </c>
      <c r="Z144" t="str">
        <f t="shared" si="19"/>
        <v/>
      </c>
      <c r="AA144" t="str">
        <f t="shared" si="20"/>
        <v/>
      </c>
      <c r="AB144" t="str">
        <f t="shared" si="21"/>
        <v/>
      </c>
      <c r="AC144" t="str">
        <f t="shared" si="22"/>
        <v/>
      </c>
      <c r="AD144" t="str">
        <f t="shared" si="23"/>
        <v/>
      </c>
      <c r="AE144" t="str">
        <f t="shared" si="24"/>
        <v/>
      </c>
      <c r="AF144" t="str">
        <f t="shared" si="25"/>
        <v/>
      </c>
      <c r="AG144" t="str">
        <f t="shared" si="26"/>
        <v/>
      </c>
      <c r="AH144" s="65" t="str">
        <f t="array" ref="AH144">if(sum(H144:AG144)=0,,sum(sort(TRANSPOSE(H144:AG144),1,false)))</f>
        <v/>
      </c>
    </row>
    <row r="145" hidden="1">
      <c r="F145" s="4">
        <v>13.0</v>
      </c>
      <c r="G145" s="141"/>
      <c r="H145" t="str">
        <f t="shared" si="1"/>
        <v/>
      </c>
      <c r="I145" t="str">
        <f t="shared" si="2"/>
        <v/>
      </c>
      <c r="J145" t="str">
        <f t="shared" si="3"/>
        <v/>
      </c>
      <c r="K145" t="str">
        <f t="shared" si="4"/>
        <v/>
      </c>
      <c r="L145" t="str">
        <f t="shared" si="5"/>
        <v/>
      </c>
      <c r="M145" t="str">
        <f t="shared" si="6"/>
        <v/>
      </c>
      <c r="N145" t="str">
        <f t="shared" si="7"/>
        <v/>
      </c>
      <c r="O145" t="str">
        <f t="shared" si="8"/>
        <v/>
      </c>
      <c r="P145" t="str">
        <f t="shared" si="9"/>
        <v/>
      </c>
      <c r="Q145" t="str">
        <f t="shared" si="10"/>
        <v/>
      </c>
      <c r="R145" t="str">
        <f t="shared" si="11"/>
        <v/>
      </c>
      <c r="S145" t="str">
        <f t="shared" si="12"/>
        <v/>
      </c>
      <c r="T145" t="str">
        <f t="shared" si="13"/>
        <v/>
      </c>
      <c r="U145" t="str">
        <f t="shared" si="14"/>
        <v/>
      </c>
      <c r="V145" t="str">
        <f t="shared" si="15"/>
        <v/>
      </c>
      <c r="W145" t="str">
        <f t="shared" si="16"/>
        <v/>
      </c>
      <c r="X145" t="str">
        <f t="shared" si="17"/>
        <v/>
      </c>
      <c r="Y145" t="str">
        <f t="shared" si="18"/>
        <v/>
      </c>
      <c r="Z145" t="str">
        <f t="shared" si="19"/>
        <v/>
      </c>
      <c r="AA145" t="str">
        <f t="shared" si="20"/>
        <v/>
      </c>
      <c r="AB145" t="str">
        <f t="shared" si="21"/>
        <v/>
      </c>
      <c r="AC145" t="str">
        <f t="shared" si="22"/>
        <v/>
      </c>
      <c r="AD145" t="str">
        <f t="shared" si="23"/>
        <v/>
      </c>
      <c r="AE145" t="str">
        <f t="shared" si="24"/>
        <v/>
      </c>
      <c r="AF145" t="str">
        <f t="shared" si="25"/>
        <v/>
      </c>
      <c r="AG145" t="str">
        <f t="shared" si="26"/>
        <v/>
      </c>
      <c r="AH145" s="65" t="str">
        <f t="array" ref="AH145">if(sum(H145:AG145)=0,,sum(sort(TRANSPOSE(H145:AG145),1,false)))</f>
        <v/>
      </c>
    </row>
    <row r="146" hidden="1">
      <c r="F146" s="4">
        <v>14.0</v>
      </c>
      <c r="H146" t="str">
        <f t="shared" si="1"/>
        <v/>
      </c>
      <c r="I146" t="str">
        <f t="shared" si="2"/>
        <v/>
      </c>
      <c r="J146" t="str">
        <f t="shared" si="3"/>
        <v/>
      </c>
      <c r="K146" t="str">
        <f t="shared" si="4"/>
        <v/>
      </c>
      <c r="L146" t="str">
        <f t="shared" si="5"/>
        <v/>
      </c>
      <c r="M146" t="str">
        <f t="shared" si="6"/>
        <v/>
      </c>
      <c r="N146" t="str">
        <f t="shared" si="7"/>
        <v/>
      </c>
      <c r="O146" t="str">
        <f t="shared" si="8"/>
        <v/>
      </c>
      <c r="P146" t="str">
        <f t="shared" si="9"/>
        <v/>
      </c>
      <c r="Q146" t="str">
        <f t="shared" si="10"/>
        <v/>
      </c>
      <c r="R146" t="str">
        <f t="shared" si="11"/>
        <v/>
      </c>
      <c r="S146" t="str">
        <f t="shared" si="12"/>
        <v/>
      </c>
      <c r="T146" t="str">
        <f t="shared" si="13"/>
        <v/>
      </c>
      <c r="U146" t="str">
        <f t="shared" si="14"/>
        <v/>
      </c>
      <c r="V146" t="str">
        <f t="shared" si="15"/>
        <v/>
      </c>
      <c r="W146" t="str">
        <f t="shared" si="16"/>
        <v/>
      </c>
      <c r="X146" t="str">
        <f t="shared" si="17"/>
        <v/>
      </c>
      <c r="Y146" t="str">
        <f t="shared" si="18"/>
        <v/>
      </c>
      <c r="Z146" t="str">
        <f t="shared" si="19"/>
        <v/>
      </c>
      <c r="AA146" t="str">
        <f t="shared" si="20"/>
        <v/>
      </c>
      <c r="AB146" t="str">
        <f t="shared" si="21"/>
        <v/>
      </c>
      <c r="AC146" t="str">
        <f t="shared" si="22"/>
        <v/>
      </c>
      <c r="AD146" t="str">
        <f t="shared" si="23"/>
        <v/>
      </c>
      <c r="AE146" t="str">
        <f t="shared" si="24"/>
        <v/>
      </c>
      <c r="AF146" t="str">
        <f t="shared" si="25"/>
        <v/>
      </c>
      <c r="AG146" t="str">
        <f t="shared" si="26"/>
        <v/>
      </c>
      <c r="AH146" s="65" t="str">
        <f t="array" ref="AH146">if(sum(H146:AG146)=0,,sum(sort(TRANSPOSE(H146:AG146),1,false)))</f>
        <v/>
      </c>
    </row>
    <row r="147" hidden="1">
      <c r="F147" s="4">
        <v>15.0</v>
      </c>
      <c r="H147" t="str">
        <f t="shared" si="1"/>
        <v/>
      </c>
      <c r="I147" t="str">
        <f t="shared" si="2"/>
        <v/>
      </c>
      <c r="J147" t="str">
        <f t="shared" si="3"/>
        <v/>
      </c>
      <c r="K147" t="str">
        <f t="shared" si="4"/>
        <v/>
      </c>
      <c r="L147" t="str">
        <f t="shared" si="5"/>
        <v/>
      </c>
      <c r="M147" t="str">
        <f t="shared" si="6"/>
        <v/>
      </c>
      <c r="N147" t="str">
        <f t="shared" si="7"/>
        <v/>
      </c>
      <c r="O147" t="str">
        <f t="shared" si="8"/>
        <v/>
      </c>
      <c r="P147" t="str">
        <f t="shared" si="9"/>
        <v/>
      </c>
      <c r="Q147" t="str">
        <f t="shared" si="10"/>
        <v/>
      </c>
      <c r="R147" t="str">
        <f t="shared" si="11"/>
        <v/>
      </c>
      <c r="S147" t="str">
        <f t="shared" si="12"/>
        <v/>
      </c>
      <c r="T147" t="str">
        <f t="shared" si="13"/>
        <v/>
      </c>
      <c r="U147" t="str">
        <f t="shared" si="14"/>
        <v/>
      </c>
      <c r="V147" t="str">
        <f t="shared" si="15"/>
        <v/>
      </c>
      <c r="W147" t="str">
        <f t="shared" si="16"/>
        <v/>
      </c>
      <c r="X147" t="str">
        <f t="shared" si="17"/>
        <v/>
      </c>
      <c r="Y147" t="str">
        <f t="shared" si="18"/>
        <v/>
      </c>
      <c r="Z147" t="str">
        <f t="shared" si="19"/>
        <v/>
      </c>
      <c r="AA147" t="str">
        <f t="shared" si="20"/>
        <v/>
      </c>
      <c r="AB147" t="str">
        <f t="shared" si="21"/>
        <v/>
      </c>
      <c r="AC147" t="str">
        <f t="shared" si="22"/>
        <v/>
      </c>
      <c r="AD147" t="str">
        <f t="shared" si="23"/>
        <v/>
      </c>
      <c r="AE147" t="str">
        <f t="shared" si="24"/>
        <v/>
      </c>
      <c r="AF147" t="str">
        <f t="shared" si="25"/>
        <v/>
      </c>
      <c r="AG147" t="str">
        <f t="shared" si="26"/>
        <v/>
      </c>
      <c r="AH147" s="65" t="str">
        <f t="array" ref="AH147">if(sum(H147:AG147)=0,,sum(sort(TRANSPOSE(H147:AG147),1,false)))</f>
        <v/>
      </c>
    </row>
    <row r="148" hidden="1">
      <c r="F148" s="4">
        <v>16.0</v>
      </c>
      <c r="H148" t="str">
        <f t="shared" si="1"/>
        <v/>
      </c>
      <c r="I148" t="str">
        <f t="shared" si="2"/>
        <v/>
      </c>
      <c r="J148" t="str">
        <f t="shared" si="3"/>
        <v/>
      </c>
      <c r="K148" t="str">
        <f t="shared" si="4"/>
        <v/>
      </c>
      <c r="L148" t="str">
        <f t="shared" si="5"/>
        <v/>
      </c>
      <c r="M148" t="str">
        <f t="shared" si="6"/>
        <v/>
      </c>
      <c r="N148" t="str">
        <f t="shared" si="7"/>
        <v/>
      </c>
      <c r="O148" t="str">
        <f t="shared" si="8"/>
        <v/>
      </c>
      <c r="P148" t="str">
        <f t="shared" si="9"/>
        <v/>
      </c>
      <c r="Q148" t="str">
        <f t="shared" si="10"/>
        <v/>
      </c>
      <c r="R148" t="str">
        <f t="shared" si="11"/>
        <v/>
      </c>
      <c r="S148" t="str">
        <f t="shared" si="12"/>
        <v/>
      </c>
      <c r="T148" t="str">
        <f t="shared" si="13"/>
        <v/>
      </c>
      <c r="U148" t="str">
        <f t="shared" si="14"/>
        <v/>
      </c>
      <c r="V148" t="str">
        <f t="shared" si="15"/>
        <v/>
      </c>
      <c r="W148" t="str">
        <f t="shared" si="16"/>
        <v/>
      </c>
      <c r="X148" t="str">
        <f t="shared" si="17"/>
        <v/>
      </c>
      <c r="Y148" t="str">
        <f t="shared" si="18"/>
        <v/>
      </c>
      <c r="Z148" t="str">
        <f t="shared" si="19"/>
        <v/>
      </c>
      <c r="AA148" t="str">
        <f t="shared" si="20"/>
        <v/>
      </c>
      <c r="AB148" t="str">
        <f t="shared" si="21"/>
        <v/>
      </c>
      <c r="AC148" t="str">
        <f t="shared" si="22"/>
        <v/>
      </c>
      <c r="AD148" t="str">
        <f t="shared" si="23"/>
        <v/>
      </c>
      <c r="AE148" t="str">
        <f t="shared" si="24"/>
        <v/>
      </c>
      <c r="AF148" t="str">
        <f t="shared" si="25"/>
        <v/>
      </c>
      <c r="AG148" t="str">
        <f t="shared" si="26"/>
        <v/>
      </c>
      <c r="AH148" s="65" t="str">
        <f t="array" ref="AH148">if(sum(H148:AG148)=0,,sum(sort(TRANSPOSE(H148:AG148),1,false)))</f>
        <v/>
      </c>
    </row>
    <row r="149" hidden="1">
      <c r="F149" s="4">
        <v>17.0</v>
      </c>
      <c r="H149" t="str">
        <f t="shared" si="1"/>
        <v/>
      </c>
      <c r="I149" t="str">
        <f t="shared" si="2"/>
        <v/>
      </c>
      <c r="J149" t="str">
        <f t="shared" si="3"/>
        <v/>
      </c>
      <c r="K149" t="str">
        <f t="shared" si="4"/>
        <v/>
      </c>
      <c r="L149" t="str">
        <f t="shared" si="5"/>
        <v/>
      </c>
      <c r="M149" t="str">
        <f t="shared" si="6"/>
        <v/>
      </c>
      <c r="N149" t="str">
        <f t="shared" si="7"/>
        <v/>
      </c>
      <c r="O149" t="str">
        <f t="shared" si="8"/>
        <v/>
      </c>
      <c r="P149" t="str">
        <f t="shared" si="9"/>
        <v/>
      </c>
      <c r="Q149" t="str">
        <f t="shared" si="10"/>
        <v/>
      </c>
      <c r="R149" t="str">
        <f t="shared" si="11"/>
        <v/>
      </c>
      <c r="S149" t="str">
        <f t="shared" si="12"/>
        <v/>
      </c>
      <c r="T149" t="str">
        <f t="shared" si="13"/>
        <v/>
      </c>
      <c r="U149" t="str">
        <f t="shared" si="14"/>
        <v/>
      </c>
      <c r="V149" t="str">
        <f t="shared" si="15"/>
        <v/>
      </c>
      <c r="W149" t="str">
        <f t="shared" si="16"/>
        <v/>
      </c>
      <c r="X149" t="str">
        <f t="shared" si="17"/>
        <v/>
      </c>
      <c r="Y149" t="str">
        <f t="shared" si="18"/>
        <v/>
      </c>
      <c r="Z149" t="str">
        <f t="shared" si="19"/>
        <v/>
      </c>
      <c r="AA149" t="str">
        <f t="shared" si="20"/>
        <v/>
      </c>
      <c r="AB149" t="str">
        <f t="shared" si="21"/>
        <v/>
      </c>
      <c r="AC149" t="str">
        <f t="shared" si="22"/>
        <v/>
      </c>
      <c r="AD149" t="str">
        <f t="shared" si="23"/>
        <v/>
      </c>
      <c r="AE149" t="str">
        <f t="shared" si="24"/>
        <v/>
      </c>
      <c r="AF149" t="str">
        <f t="shared" si="25"/>
        <v/>
      </c>
      <c r="AG149" t="str">
        <f t="shared" si="26"/>
        <v/>
      </c>
      <c r="AH149" s="65" t="str">
        <f t="array" ref="AH149">if(sum(H149:AG149)=0,,sum(sort(TRANSPOSE(H149:AG149),1,false)))</f>
        <v/>
      </c>
    </row>
    <row r="150" hidden="1">
      <c r="F150" s="4">
        <v>18.0</v>
      </c>
      <c r="H150" t="str">
        <f t="shared" si="1"/>
        <v/>
      </c>
      <c r="I150" t="str">
        <f t="shared" si="2"/>
        <v/>
      </c>
      <c r="J150" t="str">
        <f t="shared" si="3"/>
        <v/>
      </c>
      <c r="K150" t="str">
        <f t="shared" si="4"/>
        <v/>
      </c>
      <c r="L150" t="str">
        <f t="shared" si="5"/>
        <v/>
      </c>
      <c r="M150" t="str">
        <f t="shared" si="6"/>
        <v/>
      </c>
      <c r="N150" t="str">
        <f t="shared" si="7"/>
        <v/>
      </c>
      <c r="O150" t="str">
        <f t="shared" si="8"/>
        <v/>
      </c>
      <c r="P150" t="str">
        <f t="shared" si="9"/>
        <v/>
      </c>
      <c r="Q150" t="str">
        <f t="shared" si="10"/>
        <v/>
      </c>
      <c r="R150" t="str">
        <f t="shared" si="11"/>
        <v/>
      </c>
      <c r="S150" t="str">
        <f t="shared" si="12"/>
        <v/>
      </c>
      <c r="T150" t="str">
        <f t="shared" si="13"/>
        <v/>
      </c>
      <c r="U150" t="str">
        <f t="shared" si="14"/>
        <v/>
      </c>
      <c r="V150" t="str">
        <f t="shared" si="15"/>
        <v/>
      </c>
      <c r="W150" t="str">
        <f t="shared" si="16"/>
        <v/>
      </c>
      <c r="X150" t="str">
        <f t="shared" si="17"/>
        <v/>
      </c>
      <c r="Y150" t="str">
        <f t="shared" si="18"/>
        <v/>
      </c>
      <c r="Z150" t="str">
        <f t="shared" si="19"/>
        <v/>
      </c>
      <c r="AA150" t="str">
        <f t="shared" si="20"/>
        <v/>
      </c>
      <c r="AB150" t="str">
        <f t="shared" si="21"/>
        <v/>
      </c>
      <c r="AC150" t="str">
        <f t="shared" si="22"/>
        <v/>
      </c>
      <c r="AD150" t="str">
        <f t="shared" si="23"/>
        <v/>
      </c>
      <c r="AE150" t="str">
        <f t="shared" si="24"/>
        <v/>
      </c>
      <c r="AF150" t="str">
        <f t="shared" si="25"/>
        <v/>
      </c>
      <c r="AG150" t="str">
        <f t="shared" si="26"/>
        <v/>
      </c>
      <c r="AH150" s="65" t="str">
        <f t="array" ref="AH150">if(sum(H150:AG150)=0,,sum(sort(TRANSPOSE(H150:AG150),1,false)))</f>
        <v/>
      </c>
    </row>
    <row r="151" hidden="1">
      <c r="F151" s="4">
        <v>19.0</v>
      </c>
      <c r="H151" t="str">
        <f t="shared" si="1"/>
        <v/>
      </c>
      <c r="I151" t="str">
        <f t="shared" si="2"/>
        <v/>
      </c>
      <c r="J151" t="str">
        <f t="shared" si="3"/>
        <v/>
      </c>
      <c r="K151" t="str">
        <f t="shared" si="4"/>
        <v/>
      </c>
      <c r="L151" t="str">
        <f t="shared" si="5"/>
        <v/>
      </c>
      <c r="M151" t="str">
        <f t="shared" si="6"/>
        <v/>
      </c>
      <c r="N151" t="str">
        <f t="shared" si="7"/>
        <v/>
      </c>
      <c r="O151" t="str">
        <f t="shared" si="8"/>
        <v/>
      </c>
      <c r="P151" t="str">
        <f t="shared" si="9"/>
        <v/>
      </c>
      <c r="Q151" t="str">
        <f t="shared" si="10"/>
        <v/>
      </c>
      <c r="R151" t="str">
        <f t="shared" si="11"/>
        <v/>
      </c>
      <c r="S151" t="str">
        <f t="shared" si="12"/>
        <v/>
      </c>
      <c r="T151" t="str">
        <f t="shared" si="13"/>
        <v/>
      </c>
      <c r="U151" t="str">
        <f t="shared" si="14"/>
        <v/>
      </c>
      <c r="V151" t="str">
        <f t="shared" si="15"/>
        <v/>
      </c>
      <c r="W151" t="str">
        <f t="shared" si="16"/>
        <v/>
      </c>
      <c r="X151" t="str">
        <f t="shared" si="17"/>
        <v/>
      </c>
      <c r="Y151" t="str">
        <f t="shared" si="18"/>
        <v/>
      </c>
      <c r="Z151" t="str">
        <f t="shared" si="19"/>
        <v/>
      </c>
      <c r="AA151" t="str">
        <f t="shared" si="20"/>
        <v/>
      </c>
      <c r="AB151" t="str">
        <f t="shared" si="21"/>
        <v/>
      </c>
      <c r="AC151" t="str">
        <f t="shared" si="22"/>
        <v/>
      </c>
      <c r="AD151" t="str">
        <f t="shared" si="23"/>
        <v/>
      </c>
      <c r="AE151" t="str">
        <f t="shared" si="24"/>
        <v/>
      </c>
      <c r="AF151" t="str">
        <f t="shared" si="25"/>
        <v/>
      </c>
      <c r="AG151" t="str">
        <f t="shared" si="26"/>
        <v/>
      </c>
      <c r="AH151" s="65" t="str">
        <f t="array" ref="AH151">if(sum(H151:AG151)=0,,sum(sort(TRANSPOSE(H151:AG151),1,false)))</f>
        <v/>
      </c>
    </row>
    <row r="152" hidden="1">
      <c r="F152" s="4">
        <v>20.0</v>
      </c>
      <c r="H152" t="str">
        <f t="shared" si="1"/>
        <v/>
      </c>
      <c r="I152" t="str">
        <f t="shared" si="2"/>
        <v/>
      </c>
      <c r="J152" t="str">
        <f t="shared" si="3"/>
        <v/>
      </c>
      <c r="K152" t="str">
        <f t="shared" si="4"/>
        <v/>
      </c>
      <c r="L152" t="str">
        <f t="shared" si="5"/>
        <v/>
      </c>
      <c r="M152" t="str">
        <f t="shared" si="6"/>
        <v/>
      </c>
      <c r="N152" t="str">
        <f t="shared" si="7"/>
        <v/>
      </c>
      <c r="O152" t="str">
        <f t="shared" si="8"/>
        <v/>
      </c>
      <c r="P152" t="str">
        <f t="shared" si="9"/>
        <v/>
      </c>
      <c r="Q152" t="str">
        <f t="shared" si="10"/>
        <v/>
      </c>
      <c r="R152" t="str">
        <f t="shared" si="11"/>
        <v/>
      </c>
      <c r="S152" t="str">
        <f t="shared" si="12"/>
        <v/>
      </c>
      <c r="T152" t="str">
        <f t="shared" si="13"/>
        <v/>
      </c>
      <c r="U152" t="str">
        <f t="shared" si="14"/>
        <v/>
      </c>
      <c r="V152" t="str">
        <f t="shared" si="15"/>
        <v/>
      </c>
      <c r="W152" t="str">
        <f t="shared" si="16"/>
        <v/>
      </c>
      <c r="X152" t="str">
        <f t="shared" si="17"/>
        <v/>
      </c>
      <c r="Y152" t="str">
        <f t="shared" si="18"/>
        <v/>
      </c>
      <c r="Z152" t="str">
        <f t="shared" si="19"/>
        <v/>
      </c>
      <c r="AA152" t="str">
        <f t="shared" si="20"/>
        <v/>
      </c>
      <c r="AB152" t="str">
        <f t="shared" si="21"/>
        <v/>
      </c>
      <c r="AC152" t="str">
        <f t="shared" si="22"/>
        <v/>
      </c>
      <c r="AD152" t="str">
        <f t="shared" si="23"/>
        <v/>
      </c>
      <c r="AE152" t="str">
        <f t="shared" si="24"/>
        <v/>
      </c>
      <c r="AF152" t="str">
        <f t="shared" si="25"/>
        <v/>
      </c>
      <c r="AG152" t="str">
        <f t="shared" si="26"/>
        <v/>
      </c>
      <c r="AH152" s="65" t="str">
        <f t="array" ref="AH152">if(sum(H152:AG152)=0,,sum(sort(TRANSPOSE(H152:AG152),1,false)))</f>
        <v/>
      </c>
    </row>
    <row r="153" hidden="1">
      <c r="F153" s="4">
        <v>21.0</v>
      </c>
      <c r="H153" t="str">
        <f t="shared" si="1"/>
        <v/>
      </c>
      <c r="I153" t="str">
        <f t="shared" si="2"/>
        <v/>
      </c>
      <c r="J153" t="str">
        <f t="shared" si="3"/>
        <v/>
      </c>
      <c r="K153" t="str">
        <f t="shared" si="4"/>
        <v/>
      </c>
      <c r="L153" t="str">
        <f t="shared" si="5"/>
        <v/>
      </c>
      <c r="M153" t="str">
        <f t="shared" si="6"/>
        <v/>
      </c>
      <c r="N153" t="str">
        <f t="shared" si="7"/>
        <v/>
      </c>
      <c r="O153" t="str">
        <f t="shared" si="8"/>
        <v/>
      </c>
      <c r="P153" t="str">
        <f t="shared" si="9"/>
        <v/>
      </c>
      <c r="Q153" t="str">
        <f t="shared" si="10"/>
        <v/>
      </c>
      <c r="R153" t="str">
        <f t="shared" si="11"/>
        <v/>
      </c>
      <c r="S153" t="str">
        <f t="shared" si="12"/>
        <v/>
      </c>
      <c r="T153" t="str">
        <f t="shared" si="13"/>
        <v/>
      </c>
      <c r="U153" t="str">
        <f t="shared" si="14"/>
        <v/>
      </c>
      <c r="V153" t="str">
        <f t="shared" si="15"/>
        <v/>
      </c>
      <c r="W153" t="str">
        <f t="shared" si="16"/>
        <v/>
      </c>
      <c r="X153" t="str">
        <f t="shared" si="17"/>
        <v/>
      </c>
      <c r="Y153" t="str">
        <f t="shared" si="18"/>
        <v/>
      </c>
      <c r="Z153" t="str">
        <f t="shared" si="19"/>
        <v/>
      </c>
      <c r="AA153" t="str">
        <f t="shared" si="20"/>
        <v/>
      </c>
      <c r="AB153" t="str">
        <f t="shared" si="21"/>
        <v/>
      </c>
      <c r="AC153" t="str">
        <f t="shared" si="22"/>
        <v/>
      </c>
      <c r="AD153" t="str">
        <f t="shared" si="23"/>
        <v/>
      </c>
      <c r="AE153" t="str">
        <f t="shared" si="24"/>
        <v/>
      </c>
      <c r="AF153" t="str">
        <f t="shared" si="25"/>
        <v/>
      </c>
      <c r="AG153" t="str">
        <f t="shared" si="26"/>
        <v/>
      </c>
      <c r="AH153" s="65" t="str">
        <f t="array" ref="AH153">if(sum(H153:AG153)=0,,sum(sort(TRANSPOSE(H153:AG153),1,false)))</f>
        <v/>
      </c>
    </row>
    <row r="154" hidden="1">
      <c r="F154" s="4">
        <v>22.0</v>
      </c>
      <c r="H154" t="str">
        <f t="shared" si="1"/>
        <v/>
      </c>
      <c r="I154" t="str">
        <f t="shared" si="2"/>
        <v/>
      </c>
      <c r="J154" t="str">
        <f t="shared" si="3"/>
        <v/>
      </c>
      <c r="K154" t="str">
        <f t="shared" si="4"/>
        <v/>
      </c>
      <c r="L154" t="str">
        <f t="shared" si="5"/>
        <v/>
      </c>
      <c r="M154" t="str">
        <f t="shared" si="6"/>
        <v/>
      </c>
      <c r="N154" t="str">
        <f t="shared" si="7"/>
        <v/>
      </c>
      <c r="O154" t="str">
        <f t="shared" si="8"/>
        <v/>
      </c>
      <c r="P154" t="str">
        <f t="shared" si="9"/>
        <v/>
      </c>
      <c r="Q154" t="str">
        <f t="shared" si="10"/>
        <v/>
      </c>
      <c r="R154" t="str">
        <f t="shared" si="11"/>
        <v/>
      </c>
      <c r="S154" t="str">
        <f t="shared" si="12"/>
        <v/>
      </c>
      <c r="T154" t="str">
        <f t="shared" si="13"/>
        <v/>
      </c>
      <c r="U154" t="str">
        <f t="shared" si="14"/>
        <v/>
      </c>
      <c r="V154" t="str">
        <f t="shared" si="15"/>
        <v/>
      </c>
      <c r="W154" t="str">
        <f t="shared" si="16"/>
        <v/>
      </c>
      <c r="X154" t="str">
        <f t="shared" si="17"/>
        <v/>
      </c>
      <c r="Y154" t="str">
        <f t="shared" si="18"/>
        <v/>
      </c>
      <c r="Z154" t="str">
        <f t="shared" si="19"/>
        <v/>
      </c>
      <c r="AA154" t="str">
        <f t="shared" si="20"/>
        <v/>
      </c>
      <c r="AB154" t="str">
        <f t="shared" si="21"/>
        <v/>
      </c>
      <c r="AC154" t="str">
        <f t="shared" si="22"/>
        <v/>
      </c>
      <c r="AD154" t="str">
        <f t="shared" si="23"/>
        <v/>
      </c>
      <c r="AE154" t="str">
        <f t="shared" si="24"/>
        <v/>
      </c>
      <c r="AF154" t="str">
        <f t="shared" si="25"/>
        <v/>
      </c>
      <c r="AG154" t="str">
        <f t="shared" si="26"/>
        <v/>
      </c>
      <c r="AH154" s="65" t="str">
        <f t="array" ref="AH154">if(sum(H154:AG154)=0,,sum(sort(TRANSPOSE(H154:AG154),1,false)))</f>
        <v/>
      </c>
    </row>
    <row r="155" hidden="1">
      <c r="F155" s="4">
        <v>23.0</v>
      </c>
      <c r="H155" t="str">
        <f t="shared" si="1"/>
        <v/>
      </c>
      <c r="I155" t="str">
        <f t="shared" si="2"/>
        <v/>
      </c>
      <c r="J155" t="str">
        <f t="shared" si="3"/>
        <v/>
      </c>
      <c r="K155" t="str">
        <f t="shared" si="4"/>
        <v/>
      </c>
      <c r="L155" t="str">
        <f t="shared" si="5"/>
        <v/>
      </c>
      <c r="M155" t="str">
        <f t="shared" si="6"/>
        <v/>
      </c>
      <c r="N155" t="str">
        <f t="shared" si="7"/>
        <v/>
      </c>
      <c r="O155" t="str">
        <f t="shared" si="8"/>
        <v/>
      </c>
      <c r="P155" t="str">
        <f t="shared" si="9"/>
        <v/>
      </c>
      <c r="Q155" t="str">
        <f t="shared" si="10"/>
        <v/>
      </c>
      <c r="R155" t="str">
        <f t="shared" si="11"/>
        <v/>
      </c>
      <c r="S155" t="str">
        <f t="shared" si="12"/>
        <v/>
      </c>
      <c r="T155" t="str">
        <f t="shared" si="13"/>
        <v/>
      </c>
      <c r="U155" t="str">
        <f t="shared" si="14"/>
        <v/>
      </c>
      <c r="V155" t="str">
        <f t="shared" si="15"/>
        <v/>
      </c>
      <c r="W155" t="str">
        <f t="shared" si="16"/>
        <v/>
      </c>
      <c r="X155" t="str">
        <f t="shared" si="17"/>
        <v/>
      </c>
      <c r="Y155" t="str">
        <f t="shared" si="18"/>
        <v/>
      </c>
      <c r="Z155" t="str">
        <f t="shared" si="19"/>
        <v/>
      </c>
      <c r="AA155" t="str">
        <f t="shared" si="20"/>
        <v/>
      </c>
      <c r="AB155" t="str">
        <f t="shared" si="21"/>
        <v/>
      </c>
      <c r="AC155" t="str">
        <f t="shared" si="22"/>
        <v/>
      </c>
      <c r="AD155" t="str">
        <f t="shared" si="23"/>
        <v/>
      </c>
      <c r="AE155" t="str">
        <f t="shared" si="24"/>
        <v/>
      </c>
      <c r="AF155" t="str">
        <f t="shared" si="25"/>
        <v/>
      </c>
      <c r="AG155" t="str">
        <f t="shared" si="26"/>
        <v/>
      </c>
      <c r="AH155" s="65" t="str">
        <f t="array" ref="AH155">if(sum(H155:AG155)=0,,sum(sort(TRANSPOSE(H155:AG155),1,false)))</f>
        <v/>
      </c>
    </row>
    <row r="156" hidden="1">
      <c r="F156" s="4">
        <v>24.0</v>
      </c>
      <c r="H156" t="str">
        <f t="shared" si="1"/>
        <v/>
      </c>
      <c r="I156" t="str">
        <f t="shared" si="2"/>
        <v/>
      </c>
      <c r="J156" t="str">
        <f t="shared" si="3"/>
        <v/>
      </c>
      <c r="K156" t="str">
        <f t="shared" si="4"/>
        <v/>
      </c>
      <c r="L156" t="str">
        <f t="shared" si="5"/>
        <v/>
      </c>
      <c r="M156" t="str">
        <f t="shared" si="6"/>
        <v/>
      </c>
      <c r="N156" t="str">
        <f t="shared" si="7"/>
        <v/>
      </c>
      <c r="O156" t="str">
        <f t="shared" si="8"/>
        <v/>
      </c>
      <c r="P156" t="str">
        <f t="shared" si="9"/>
        <v/>
      </c>
      <c r="Q156" t="str">
        <f t="shared" si="10"/>
        <v/>
      </c>
      <c r="R156" t="str">
        <f t="shared" si="11"/>
        <v/>
      </c>
      <c r="S156" t="str">
        <f t="shared" si="12"/>
        <v/>
      </c>
      <c r="T156" t="str">
        <f t="shared" si="13"/>
        <v/>
      </c>
      <c r="U156" t="str">
        <f t="shared" si="14"/>
        <v/>
      </c>
      <c r="V156" t="str">
        <f t="shared" si="15"/>
        <v/>
      </c>
      <c r="W156" t="str">
        <f t="shared" si="16"/>
        <v/>
      </c>
      <c r="X156" t="str">
        <f t="shared" si="17"/>
        <v/>
      </c>
      <c r="Y156" t="str">
        <f t="shared" si="18"/>
        <v/>
      </c>
      <c r="Z156" t="str">
        <f t="shared" si="19"/>
        <v/>
      </c>
      <c r="AA156" t="str">
        <f t="shared" si="20"/>
        <v/>
      </c>
      <c r="AB156" t="str">
        <f t="shared" si="21"/>
        <v/>
      </c>
      <c r="AC156" t="str">
        <f t="shared" si="22"/>
        <v/>
      </c>
      <c r="AD156" t="str">
        <f t="shared" si="23"/>
        <v/>
      </c>
      <c r="AE156" t="str">
        <f t="shared" si="24"/>
        <v/>
      </c>
      <c r="AF156" t="str">
        <f t="shared" si="25"/>
        <v/>
      </c>
      <c r="AG156" t="str">
        <f t="shared" si="26"/>
        <v/>
      </c>
      <c r="AH156" s="65" t="str">
        <f t="array" ref="AH156">if(sum(H156:AG156)=0,,sum(sort(TRANSPOSE(H156:AG156),1,false)))</f>
        <v/>
      </c>
    </row>
    <row r="157" hidden="1">
      <c r="F157" s="4">
        <v>25.0</v>
      </c>
      <c r="H157" t="str">
        <f t="shared" si="1"/>
        <v/>
      </c>
      <c r="I157" t="str">
        <f t="shared" si="2"/>
        <v/>
      </c>
      <c r="J157" t="str">
        <f t="shared" si="3"/>
        <v/>
      </c>
      <c r="K157" t="str">
        <f t="shared" si="4"/>
        <v/>
      </c>
      <c r="L157" t="str">
        <f t="shared" si="5"/>
        <v/>
      </c>
      <c r="M157" t="str">
        <f t="shared" si="6"/>
        <v/>
      </c>
      <c r="N157" t="str">
        <f t="shared" si="7"/>
        <v/>
      </c>
      <c r="O157" t="str">
        <f t="shared" si="8"/>
        <v/>
      </c>
      <c r="P157" t="str">
        <f t="shared" si="9"/>
        <v/>
      </c>
      <c r="Q157" t="str">
        <f t="shared" si="10"/>
        <v/>
      </c>
      <c r="R157" t="str">
        <f t="shared" si="11"/>
        <v/>
      </c>
      <c r="S157" t="str">
        <f t="shared" si="12"/>
        <v/>
      </c>
      <c r="T157" t="str">
        <f t="shared" si="13"/>
        <v/>
      </c>
      <c r="U157" t="str">
        <f t="shared" si="14"/>
        <v/>
      </c>
      <c r="V157" t="str">
        <f t="shared" si="15"/>
        <v/>
      </c>
      <c r="W157" t="str">
        <f t="shared" si="16"/>
        <v/>
      </c>
      <c r="X157" t="str">
        <f t="shared" si="17"/>
        <v/>
      </c>
      <c r="Y157" t="str">
        <f t="shared" si="18"/>
        <v/>
      </c>
      <c r="Z157" t="str">
        <f t="shared" si="19"/>
        <v/>
      </c>
      <c r="AA157" t="str">
        <f t="shared" si="20"/>
        <v/>
      </c>
      <c r="AB157" t="str">
        <f t="shared" si="21"/>
        <v/>
      </c>
      <c r="AC157" t="str">
        <f t="shared" si="22"/>
        <v/>
      </c>
      <c r="AD157" t="str">
        <f t="shared" si="23"/>
        <v/>
      </c>
      <c r="AE157" t="str">
        <f t="shared" si="24"/>
        <v/>
      </c>
      <c r="AF157" t="str">
        <f t="shared" si="25"/>
        <v/>
      </c>
      <c r="AG157" t="str">
        <f t="shared" si="26"/>
        <v/>
      </c>
      <c r="AH157" s="65" t="str">
        <f t="array" ref="AH157">if(sum(H157:AG157)=0,,sum(sort(TRANSPOSE(H157:AG157),1,false)))</f>
        <v/>
      </c>
    </row>
    <row r="158" hidden="1">
      <c r="F158" s="4">
        <v>26.0</v>
      </c>
      <c r="H158" t="str">
        <f t="shared" si="1"/>
        <v/>
      </c>
      <c r="I158" t="str">
        <f t="shared" si="2"/>
        <v/>
      </c>
      <c r="J158" t="str">
        <f t="shared" si="3"/>
        <v/>
      </c>
      <c r="K158" t="str">
        <f t="shared" si="4"/>
        <v/>
      </c>
      <c r="L158" t="str">
        <f t="shared" si="5"/>
        <v/>
      </c>
      <c r="M158" t="str">
        <f t="shared" si="6"/>
        <v/>
      </c>
      <c r="N158" t="str">
        <f t="shared" si="7"/>
        <v/>
      </c>
      <c r="O158" t="str">
        <f t="shared" si="8"/>
        <v/>
      </c>
      <c r="P158" t="str">
        <f t="shared" si="9"/>
        <v/>
      </c>
      <c r="Q158" t="str">
        <f t="shared" si="10"/>
        <v/>
      </c>
      <c r="R158" t="str">
        <f t="shared" si="11"/>
        <v/>
      </c>
      <c r="S158" t="str">
        <f t="shared" si="12"/>
        <v/>
      </c>
      <c r="T158" t="str">
        <f t="shared" si="13"/>
        <v/>
      </c>
      <c r="U158" t="str">
        <f t="shared" si="14"/>
        <v/>
      </c>
      <c r="V158" t="str">
        <f t="shared" si="15"/>
        <v/>
      </c>
      <c r="W158" t="str">
        <f t="shared" si="16"/>
        <v/>
      </c>
      <c r="X158" t="str">
        <f t="shared" si="17"/>
        <v/>
      </c>
      <c r="Y158" t="str">
        <f t="shared" si="18"/>
        <v/>
      </c>
      <c r="Z158" t="str">
        <f t="shared" si="19"/>
        <v/>
      </c>
      <c r="AA158" t="str">
        <f t="shared" si="20"/>
        <v/>
      </c>
      <c r="AB158" t="str">
        <f t="shared" si="21"/>
        <v/>
      </c>
      <c r="AC158" t="str">
        <f t="shared" si="22"/>
        <v/>
      </c>
      <c r="AD158" t="str">
        <f t="shared" si="23"/>
        <v/>
      </c>
      <c r="AE158" t="str">
        <f t="shared" si="24"/>
        <v/>
      </c>
      <c r="AF158" t="str">
        <f t="shared" si="25"/>
        <v/>
      </c>
      <c r="AG158" t="str">
        <f t="shared" si="26"/>
        <v/>
      </c>
      <c r="AH158" s="65" t="str">
        <f t="array" ref="AH158">if(sum(H158:AG158)=0,,sum(sort(TRANSPOSE(H158:AG158),1,false)))</f>
        <v/>
      </c>
    </row>
    <row r="159" hidden="1">
      <c r="F159" s="4">
        <v>27.0</v>
      </c>
      <c r="H159" t="str">
        <f t="shared" si="1"/>
        <v/>
      </c>
      <c r="I159" t="str">
        <f t="shared" si="2"/>
        <v/>
      </c>
      <c r="J159" t="str">
        <f t="shared" si="3"/>
        <v/>
      </c>
      <c r="K159" t="str">
        <f t="shared" si="4"/>
        <v/>
      </c>
      <c r="L159" t="str">
        <f t="shared" si="5"/>
        <v/>
      </c>
      <c r="M159" t="str">
        <f t="shared" si="6"/>
        <v/>
      </c>
      <c r="N159" t="str">
        <f t="shared" si="7"/>
        <v/>
      </c>
      <c r="O159" t="str">
        <f t="shared" si="8"/>
        <v/>
      </c>
      <c r="P159" t="str">
        <f t="shared" si="9"/>
        <v/>
      </c>
      <c r="Q159" t="str">
        <f t="shared" si="10"/>
        <v/>
      </c>
      <c r="R159" t="str">
        <f t="shared" si="11"/>
        <v/>
      </c>
      <c r="S159" t="str">
        <f t="shared" si="12"/>
        <v/>
      </c>
      <c r="T159" t="str">
        <f t="shared" si="13"/>
        <v/>
      </c>
      <c r="U159" t="str">
        <f t="shared" si="14"/>
        <v/>
      </c>
      <c r="V159" t="str">
        <f t="shared" si="15"/>
        <v/>
      </c>
      <c r="W159" t="str">
        <f t="shared" si="16"/>
        <v/>
      </c>
      <c r="X159" t="str">
        <f t="shared" si="17"/>
        <v/>
      </c>
      <c r="Y159" t="str">
        <f t="shared" si="18"/>
        <v/>
      </c>
      <c r="Z159" t="str">
        <f t="shared" si="19"/>
        <v/>
      </c>
      <c r="AA159" t="str">
        <f t="shared" si="20"/>
        <v/>
      </c>
      <c r="AB159" t="str">
        <f t="shared" si="21"/>
        <v/>
      </c>
      <c r="AC159" t="str">
        <f t="shared" si="22"/>
        <v/>
      </c>
      <c r="AD159" t="str">
        <f t="shared" si="23"/>
        <v/>
      </c>
      <c r="AE159" t="str">
        <f t="shared" si="24"/>
        <v/>
      </c>
      <c r="AF159" t="str">
        <f t="shared" si="25"/>
        <v/>
      </c>
      <c r="AG159" t="str">
        <f t="shared" si="26"/>
        <v/>
      </c>
      <c r="AH159" s="65" t="str">
        <f t="array" ref="AH159">if(sum(H159:AG159)=0,,sum(sort(TRANSPOSE(H159:AG159),1,false)))</f>
        <v/>
      </c>
    </row>
    <row r="160" hidden="1">
      <c r="F160" s="4">
        <v>28.0</v>
      </c>
      <c r="H160" t="str">
        <f t="shared" si="1"/>
        <v/>
      </c>
      <c r="I160" t="str">
        <f t="shared" si="2"/>
        <v/>
      </c>
      <c r="J160" t="str">
        <f t="shared" si="3"/>
        <v/>
      </c>
      <c r="K160" t="str">
        <f t="shared" si="4"/>
        <v/>
      </c>
      <c r="L160" t="str">
        <f t="shared" si="5"/>
        <v/>
      </c>
      <c r="M160" t="str">
        <f t="shared" si="6"/>
        <v/>
      </c>
      <c r="N160" t="str">
        <f t="shared" si="7"/>
        <v/>
      </c>
      <c r="O160" t="str">
        <f t="shared" si="8"/>
        <v/>
      </c>
      <c r="P160" t="str">
        <f t="shared" si="9"/>
        <v/>
      </c>
      <c r="Q160" t="str">
        <f t="shared" si="10"/>
        <v/>
      </c>
      <c r="R160" t="str">
        <f t="shared" si="11"/>
        <v/>
      </c>
      <c r="S160" t="str">
        <f t="shared" si="12"/>
        <v/>
      </c>
      <c r="T160" t="str">
        <f t="shared" si="13"/>
        <v/>
      </c>
      <c r="U160" t="str">
        <f t="shared" si="14"/>
        <v/>
      </c>
      <c r="V160" t="str">
        <f t="shared" si="15"/>
        <v/>
      </c>
      <c r="W160" t="str">
        <f t="shared" si="16"/>
        <v/>
      </c>
      <c r="X160" t="str">
        <f t="shared" si="17"/>
        <v/>
      </c>
      <c r="Y160" t="str">
        <f t="shared" si="18"/>
        <v/>
      </c>
      <c r="Z160" t="str">
        <f t="shared" si="19"/>
        <v/>
      </c>
      <c r="AA160" t="str">
        <f t="shared" si="20"/>
        <v/>
      </c>
      <c r="AB160" t="str">
        <f t="shared" si="21"/>
        <v/>
      </c>
      <c r="AC160" t="str">
        <f t="shared" si="22"/>
        <v/>
      </c>
      <c r="AD160" t="str">
        <f t="shared" si="23"/>
        <v/>
      </c>
      <c r="AE160" t="str">
        <f t="shared" si="24"/>
        <v/>
      </c>
      <c r="AF160" t="str">
        <f t="shared" si="25"/>
        <v/>
      </c>
      <c r="AG160" t="str">
        <f t="shared" si="26"/>
        <v/>
      </c>
      <c r="AH160" s="65" t="str">
        <f t="array" ref="AH160">if(sum(H160:AG160)=0,,sum(sort(TRANSPOSE(H160:AG160),1,false)))</f>
        <v/>
      </c>
    </row>
    <row r="161" hidden="1">
      <c r="F161" s="4">
        <v>29.0</v>
      </c>
      <c r="H161" t="str">
        <f t="shared" si="1"/>
        <v/>
      </c>
      <c r="I161" t="str">
        <f t="shared" si="2"/>
        <v/>
      </c>
      <c r="J161" t="str">
        <f t="shared" si="3"/>
        <v/>
      </c>
      <c r="K161" t="str">
        <f t="shared" si="4"/>
        <v/>
      </c>
      <c r="L161" t="str">
        <f t="shared" si="5"/>
        <v/>
      </c>
      <c r="M161" t="str">
        <f t="shared" si="6"/>
        <v/>
      </c>
      <c r="N161" t="str">
        <f t="shared" si="7"/>
        <v/>
      </c>
      <c r="O161" t="str">
        <f t="shared" si="8"/>
        <v/>
      </c>
      <c r="P161" t="str">
        <f t="shared" si="9"/>
        <v/>
      </c>
      <c r="Q161" t="str">
        <f t="shared" si="10"/>
        <v/>
      </c>
      <c r="R161" t="str">
        <f t="shared" si="11"/>
        <v/>
      </c>
      <c r="S161" t="str">
        <f t="shared" si="12"/>
        <v/>
      </c>
      <c r="T161" t="str">
        <f t="shared" si="13"/>
        <v/>
      </c>
      <c r="U161" t="str">
        <f t="shared" si="14"/>
        <v/>
      </c>
      <c r="V161" t="str">
        <f t="shared" si="15"/>
        <v/>
      </c>
      <c r="W161" t="str">
        <f t="shared" si="16"/>
        <v/>
      </c>
      <c r="X161" t="str">
        <f t="shared" si="17"/>
        <v/>
      </c>
      <c r="Y161" t="str">
        <f t="shared" si="18"/>
        <v/>
      </c>
      <c r="Z161" t="str">
        <f t="shared" si="19"/>
        <v/>
      </c>
      <c r="AA161" t="str">
        <f t="shared" si="20"/>
        <v/>
      </c>
      <c r="AB161" t="str">
        <f t="shared" si="21"/>
        <v/>
      </c>
      <c r="AC161" t="str">
        <f t="shared" si="22"/>
        <v/>
      </c>
      <c r="AD161" t="str">
        <f t="shared" si="23"/>
        <v/>
      </c>
      <c r="AE161" t="str">
        <f t="shared" si="24"/>
        <v/>
      </c>
      <c r="AF161" t="str">
        <f t="shared" si="25"/>
        <v/>
      </c>
      <c r="AG161" t="str">
        <f t="shared" si="26"/>
        <v/>
      </c>
      <c r="AH161" s="65" t="str">
        <f t="array" ref="AH161">if(sum(H161:AG161)=0,,sum(sort(TRANSPOSE(H161:AG161),1,false)))</f>
        <v/>
      </c>
    </row>
    <row r="162" hidden="1">
      <c r="F162" s="4">
        <v>30.0</v>
      </c>
      <c r="H162" t="str">
        <f t="shared" si="1"/>
        <v/>
      </c>
      <c r="I162" t="str">
        <f t="shared" si="2"/>
        <v/>
      </c>
      <c r="J162" t="str">
        <f t="shared" si="3"/>
        <v/>
      </c>
      <c r="K162" t="str">
        <f t="shared" si="4"/>
        <v/>
      </c>
      <c r="L162" t="str">
        <f t="shared" si="5"/>
        <v/>
      </c>
      <c r="M162" t="str">
        <f t="shared" si="6"/>
        <v/>
      </c>
      <c r="N162" t="str">
        <f t="shared" si="7"/>
        <v/>
      </c>
      <c r="O162" t="str">
        <f t="shared" si="8"/>
        <v/>
      </c>
      <c r="P162" t="str">
        <f t="shared" si="9"/>
        <v/>
      </c>
      <c r="Q162" t="str">
        <f t="shared" si="10"/>
        <v/>
      </c>
      <c r="R162" t="str">
        <f t="shared" si="11"/>
        <v/>
      </c>
      <c r="S162" t="str">
        <f t="shared" si="12"/>
        <v/>
      </c>
      <c r="T162" t="str">
        <f t="shared" si="13"/>
        <v/>
      </c>
      <c r="U162" t="str">
        <f t="shared" si="14"/>
        <v/>
      </c>
      <c r="V162" t="str">
        <f t="shared" si="15"/>
        <v/>
      </c>
      <c r="W162" t="str">
        <f t="shared" si="16"/>
        <v/>
      </c>
      <c r="X162" t="str">
        <f t="shared" si="17"/>
        <v/>
      </c>
      <c r="Y162" t="str">
        <f t="shared" si="18"/>
        <v/>
      </c>
      <c r="Z162" t="str">
        <f t="shared" si="19"/>
        <v/>
      </c>
      <c r="AA162" t="str">
        <f t="shared" si="20"/>
        <v/>
      </c>
      <c r="AB162" t="str">
        <f t="shared" si="21"/>
        <v/>
      </c>
      <c r="AC162" t="str">
        <f t="shared" si="22"/>
        <v/>
      </c>
      <c r="AD162" t="str">
        <f t="shared" si="23"/>
        <v/>
      </c>
      <c r="AE162" t="str">
        <f t="shared" si="24"/>
        <v/>
      </c>
      <c r="AF162" t="str">
        <f t="shared" si="25"/>
        <v/>
      </c>
      <c r="AG162" t="str">
        <f t="shared" si="26"/>
        <v/>
      </c>
      <c r="AH162" s="65" t="str">
        <f t="array" ref="AH162">if(sum(H162:AG162)=0,,sum(sort(TRANSPOSE(H162:AG162),1,false)))</f>
        <v/>
      </c>
    </row>
    <row r="163" hidden="1">
      <c r="F163" s="4">
        <v>31.0</v>
      </c>
      <c r="H163" t="str">
        <f t="shared" si="1"/>
        <v/>
      </c>
      <c r="I163" t="str">
        <f t="shared" si="2"/>
        <v/>
      </c>
      <c r="J163" t="str">
        <f t="shared" si="3"/>
        <v/>
      </c>
      <c r="K163" t="str">
        <f t="shared" si="4"/>
        <v/>
      </c>
      <c r="L163" t="str">
        <f t="shared" si="5"/>
        <v/>
      </c>
      <c r="M163" t="str">
        <f t="shared" si="6"/>
        <v/>
      </c>
      <c r="N163" t="str">
        <f t="shared" si="7"/>
        <v/>
      </c>
      <c r="O163" t="str">
        <f t="shared" si="8"/>
        <v/>
      </c>
      <c r="P163" t="str">
        <f t="shared" si="9"/>
        <v/>
      </c>
      <c r="Q163" t="str">
        <f t="shared" si="10"/>
        <v/>
      </c>
      <c r="R163" t="str">
        <f t="shared" si="11"/>
        <v/>
      </c>
      <c r="S163" t="str">
        <f t="shared" si="12"/>
        <v/>
      </c>
      <c r="T163" t="str">
        <f t="shared" si="13"/>
        <v/>
      </c>
      <c r="U163" t="str">
        <f t="shared" si="14"/>
        <v/>
      </c>
      <c r="V163" t="str">
        <f t="shared" si="15"/>
        <v/>
      </c>
      <c r="W163" t="str">
        <f t="shared" si="16"/>
        <v/>
      </c>
      <c r="X163" t="str">
        <f t="shared" si="17"/>
        <v/>
      </c>
      <c r="Y163" t="str">
        <f t="shared" si="18"/>
        <v/>
      </c>
      <c r="Z163" t="str">
        <f t="shared" si="19"/>
        <v/>
      </c>
      <c r="AA163" t="str">
        <f t="shared" si="20"/>
        <v/>
      </c>
      <c r="AB163" t="str">
        <f t="shared" si="21"/>
        <v/>
      </c>
      <c r="AC163" t="str">
        <f t="shared" si="22"/>
        <v/>
      </c>
      <c r="AD163" t="str">
        <f t="shared" si="23"/>
        <v/>
      </c>
      <c r="AE163" t="str">
        <f t="shared" si="24"/>
        <v/>
      </c>
      <c r="AF163" t="str">
        <f t="shared" si="25"/>
        <v/>
      </c>
      <c r="AG163" t="str">
        <f t="shared" si="26"/>
        <v/>
      </c>
      <c r="AH163" s="65" t="str">
        <f t="array" ref="AH163">if(sum(H163:AG163)=0,,sum(sort(TRANSPOSE(H163:AG163),1,false)))</f>
        <v/>
      </c>
    </row>
    <row r="164" hidden="1">
      <c r="F164" s="4">
        <v>32.0</v>
      </c>
      <c r="H164" t="str">
        <f t="shared" si="1"/>
        <v/>
      </c>
      <c r="I164" t="str">
        <f t="shared" si="2"/>
        <v/>
      </c>
      <c r="J164" t="str">
        <f t="shared" si="3"/>
        <v/>
      </c>
      <c r="K164" t="str">
        <f t="shared" si="4"/>
        <v/>
      </c>
      <c r="L164" t="str">
        <f t="shared" si="5"/>
        <v/>
      </c>
      <c r="M164" t="str">
        <f t="shared" si="6"/>
        <v/>
      </c>
      <c r="N164" t="str">
        <f t="shared" si="7"/>
        <v/>
      </c>
      <c r="O164" t="str">
        <f t="shared" si="8"/>
        <v/>
      </c>
      <c r="P164" t="str">
        <f t="shared" si="9"/>
        <v/>
      </c>
      <c r="Q164" t="str">
        <f t="shared" si="10"/>
        <v/>
      </c>
      <c r="R164" t="str">
        <f t="shared" si="11"/>
        <v/>
      </c>
      <c r="S164" t="str">
        <f t="shared" si="12"/>
        <v/>
      </c>
      <c r="T164" t="str">
        <f t="shared" si="13"/>
        <v/>
      </c>
      <c r="U164" t="str">
        <f t="shared" si="14"/>
        <v/>
      </c>
      <c r="V164" t="str">
        <f t="shared" si="15"/>
        <v/>
      </c>
      <c r="W164" t="str">
        <f t="shared" si="16"/>
        <v/>
      </c>
      <c r="X164" t="str">
        <f t="shared" si="17"/>
        <v/>
      </c>
      <c r="Y164" t="str">
        <f t="shared" si="18"/>
        <v/>
      </c>
      <c r="Z164" t="str">
        <f t="shared" si="19"/>
        <v/>
      </c>
      <c r="AA164" t="str">
        <f t="shared" si="20"/>
        <v/>
      </c>
      <c r="AB164" t="str">
        <f t="shared" si="21"/>
        <v/>
      </c>
      <c r="AC164" t="str">
        <f t="shared" si="22"/>
        <v/>
      </c>
      <c r="AD164" t="str">
        <f t="shared" si="23"/>
        <v/>
      </c>
      <c r="AE164" t="str">
        <f t="shared" si="24"/>
        <v/>
      </c>
      <c r="AF164" t="str">
        <f t="shared" si="25"/>
        <v/>
      </c>
      <c r="AG164" t="str">
        <f t="shared" si="26"/>
        <v/>
      </c>
      <c r="AH164" s="65" t="str">
        <f t="array" ref="AH164">if(sum(H164:AG164)=0,,sum(sort(TRANSPOSE(H164:AG164),1,false)))</f>
        <v/>
      </c>
    </row>
    <row r="165" hidden="1">
      <c r="F165" s="4">
        <v>33.0</v>
      </c>
      <c r="H165" t="str">
        <f t="shared" si="1"/>
        <v/>
      </c>
      <c r="I165" t="str">
        <f t="shared" si="2"/>
        <v/>
      </c>
      <c r="J165" t="str">
        <f t="shared" si="3"/>
        <v/>
      </c>
      <c r="K165" t="str">
        <f t="shared" si="4"/>
        <v/>
      </c>
      <c r="L165" t="str">
        <f t="shared" si="5"/>
        <v/>
      </c>
      <c r="M165" t="str">
        <f t="shared" si="6"/>
        <v/>
      </c>
      <c r="N165" t="str">
        <f t="shared" si="7"/>
        <v/>
      </c>
      <c r="O165" t="str">
        <f t="shared" si="8"/>
        <v/>
      </c>
      <c r="P165" t="str">
        <f t="shared" si="9"/>
        <v/>
      </c>
      <c r="Q165" t="str">
        <f t="shared" si="10"/>
        <v/>
      </c>
      <c r="R165" t="str">
        <f t="shared" si="11"/>
        <v/>
      </c>
      <c r="S165" t="str">
        <f t="shared" si="12"/>
        <v/>
      </c>
      <c r="T165" t="str">
        <f t="shared" si="13"/>
        <v/>
      </c>
      <c r="U165" t="str">
        <f t="shared" si="14"/>
        <v/>
      </c>
      <c r="V165" t="str">
        <f t="shared" si="15"/>
        <v/>
      </c>
      <c r="W165" t="str">
        <f t="shared" si="16"/>
        <v/>
      </c>
      <c r="X165" t="str">
        <f t="shared" si="17"/>
        <v/>
      </c>
      <c r="Y165" t="str">
        <f t="shared" si="18"/>
        <v/>
      </c>
      <c r="Z165" t="str">
        <f t="shared" si="19"/>
        <v/>
      </c>
      <c r="AA165" t="str">
        <f t="shared" si="20"/>
        <v/>
      </c>
      <c r="AB165" t="str">
        <f t="shared" si="21"/>
        <v/>
      </c>
      <c r="AC165" t="str">
        <f t="shared" si="22"/>
        <v/>
      </c>
      <c r="AD165" t="str">
        <f t="shared" si="23"/>
        <v/>
      </c>
      <c r="AE165" t="str">
        <f t="shared" si="24"/>
        <v/>
      </c>
      <c r="AF165" t="str">
        <f t="shared" si="25"/>
        <v/>
      </c>
      <c r="AG165" t="str">
        <f t="shared" si="26"/>
        <v/>
      </c>
      <c r="AH165" s="65" t="str">
        <f t="array" ref="AH165">if(sum(H165:AG165)=0,,sum(sort(TRANSPOSE(H165:AG165),1,false)))</f>
        <v/>
      </c>
    </row>
    <row r="166" hidden="1">
      <c r="F166" s="4">
        <v>34.0</v>
      </c>
      <c r="H166" t="str">
        <f t="shared" si="1"/>
        <v/>
      </c>
      <c r="I166" t="str">
        <f t="shared" si="2"/>
        <v/>
      </c>
      <c r="J166" t="str">
        <f t="shared" si="3"/>
        <v/>
      </c>
      <c r="K166" t="str">
        <f t="shared" si="4"/>
        <v/>
      </c>
      <c r="L166" t="str">
        <f t="shared" si="5"/>
        <v/>
      </c>
      <c r="M166" t="str">
        <f t="shared" si="6"/>
        <v/>
      </c>
      <c r="N166" t="str">
        <f t="shared" si="7"/>
        <v/>
      </c>
      <c r="O166" t="str">
        <f t="shared" si="8"/>
        <v/>
      </c>
      <c r="P166" t="str">
        <f t="shared" si="9"/>
        <v/>
      </c>
      <c r="Q166" t="str">
        <f t="shared" si="10"/>
        <v/>
      </c>
      <c r="R166" t="str">
        <f t="shared" si="11"/>
        <v/>
      </c>
      <c r="S166" t="str">
        <f t="shared" si="12"/>
        <v/>
      </c>
      <c r="T166" t="str">
        <f t="shared" si="13"/>
        <v/>
      </c>
      <c r="U166" t="str">
        <f t="shared" si="14"/>
        <v/>
      </c>
      <c r="V166" t="str">
        <f t="shared" si="15"/>
        <v/>
      </c>
      <c r="W166" t="str">
        <f t="shared" si="16"/>
        <v/>
      </c>
      <c r="X166" t="str">
        <f t="shared" si="17"/>
        <v/>
      </c>
      <c r="Y166" t="str">
        <f t="shared" si="18"/>
        <v/>
      </c>
      <c r="Z166" t="str">
        <f t="shared" si="19"/>
        <v/>
      </c>
      <c r="AA166" t="str">
        <f t="shared" si="20"/>
        <v/>
      </c>
      <c r="AB166" t="str">
        <f t="shared" si="21"/>
        <v/>
      </c>
      <c r="AC166" t="str">
        <f t="shared" si="22"/>
        <v/>
      </c>
      <c r="AD166" t="str">
        <f t="shared" si="23"/>
        <v/>
      </c>
      <c r="AE166" t="str">
        <f t="shared" si="24"/>
        <v/>
      </c>
      <c r="AF166" t="str">
        <f t="shared" si="25"/>
        <v/>
      </c>
      <c r="AG166" t="str">
        <f t="shared" si="26"/>
        <v/>
      </c>
      <c r="AH166" s="65" t="str">
        <f t="array" ref="AH166">if(sum(H166:AG166)=0,,sum(sort(TRANSPOSE(H166:AG166),1,false)))</f>
        <v/>
      </c>
    </row>
    <row r="167" hidden="1">
      <c r="F167" s="4">
        <v>35.0</v>
      </c>
      <c r="H167" t="str">
        <f t="shared" si="1"/>
        <v/>
      </c>
      <c r="I167" t="str">
        <f t="shared" si="2"/>
        <v/>
      </c>
      <c r="J167" t="str">
        <f t="shared" si="3"/>
        <v/>
      </c>
      <c r="K167" t="str">
        <f t="shared" si="4"/>
        <v/>
      </c>
      <c r="L167" t="str">
        <f t="shared" si="5"/>
        <v/>
      </c>
      <c r="M167" t="str">
        <f t="shared" si="6"/>
        <v/>
      </c>
      <c r="N167" t="str">
        <f t="shared" si="7"/>
        <v/>
      </c>
      <c r="O167" t="str">
        <f t="shared" si="8"/>
        <v/>
      </c>
      <c r="P167" t="str">
        <f t="shared" si="9"/>
        <v/>
      </c>
      <c r="Q167" t="str">
        <f t="shared" si="10"/>
        <v/>
      </c>
      <c r="R167" t="str">
        <f t="shared" si="11"/>
        <v/>
      </c>
      <c r="S167" t="str">
        <f t="shared" si="12"/>
        <v/>
      </c>
      <c r="T167" t="str">
        <f t="shared" si="13"/>
        <v/>
      </c>
      <c r="U167" t="str">
        <f t="shared" si="14"/>
        <v/>
      </c>
      <c r="V167" t="str">
        <f t="shared" si="15"/>
        <v/>
      </c>
      <c r="W167" t="str">
        <f t="shared" si="16"/>
        <v/>
      </c>
      <c r="X167" t="str">
        <f t="shared" si="17"/>
        <v/>
      </c>
      <c r="Y167" t="str">
        <f t="shared" si="18"/>
        <v/>
      </c>
      <c r="Z167" t="str">
        <f t="shared" si="19"/>
        <v/>
      </c>
      <c r="AA167" t="str">
        <f t="shared" si="20"/>
        <v/>
      </c>
      <c r="AB167" t="str">
        <f t="shared" si="21"/>
        <v/>
      </c>
      <c r="AC167" t="str">
        <f t="shared" si="22"/>
        <v/>
      </c>
      <c r="AD167" t="str">
        <f t="shared" si="23"/>
        <v/>
      </c>
      <c r="AE167" t="str">
        <f t="shared" si="24"/>
        <v/>
      </c>
      <c r="AF167" t="str">
        <f t="shared" si="25"/>
        <v/>
      </c>
      <c r="AG167" t="str">
        <f t="shared" si="26"/>
        <v/>
      </c>
      <c r="AH167" s="65" t="str">
        <f t="array" ref="AH167">if(sum(H167:AG167)=0,,sum(sort(TRANSPOSE(H167:AG167),1,false)))</f>
        <v/>
      </c>
    </row>
    <row r="168" hidden="1">
      <c r="F168" s="4">
        <v>36.0</v>
      </c>
      <c r="H168" t="str">
        <f t="shared" si="1"/>
        <v/>
      </c>
      <c r="I168" t="str">
        <f t="shared" si="2"/>
        <v/>
      </c>
      <c r="J168" t="str">
        <f t="shared" si="3"/>
        <v/>
      </c>
      <c r="K168" t="str">
        <f t="shared" si="4"/>
        <v/>
      </c>
      <c r="L168" t="str">
        <f t="shared" si="5"/>
        <v/>
      </c>
      <c r="M168" t="str">
        <f t="shared" si="6"/>
        <v/>
      </c>
      <c r="N168" t="str">
        <f t="shared" si="7"/>
        <v/>
      </c>
      <c r="O168" t="str">
        <f t="shared" si="8"/>
        <v/>
      </c>
      <c r="P168" t="str">
        <f t="shared" si="9"/>
        <v/>
      </c>
      <c r="Q168" t="str">
        <f t="shared" si="10"/>
        <v/>
      </c>
      <c r="R168" t="str">
        <f t="shared" si="11"/>
        <v/>
      </c>
      <c r="S168" t="str">
        <f t="shared" si="12"/>
        <v/>
      </c>
      <c r="T168" t="str">
        <f t="shared" si="13"/>
        <v/>
      </c>
      <c r="U168" t="str">
        <f t="shared" si="14"/>
        <v/>
      </c>
      <c r="V168" t="str">
        <f t="shared" si="15"/>
        <v/>
      </c>
      <c r="W168" t="str">
        <f t="shared" si="16"/>
        <v/>
      </c>
      <c r="X168" t="str">
        <f t="shared" si="17"/>
        <v/>
      </c>
      <c r="Y168" t="str">
        <f t="shared" si="18"/>
        <v/>
      </c>
      <c r="Z168" t="str">
        <f t="shared" si="19"/>
        <v/>
      </c>
      <c r="AA168" t="str">
        <f t="shared" si="20"/>
        <v/>
      </c>
      <c r="AB168" t="str">
        <f t="shared" si="21"/>
        <v/>
      </c>
      <c r="AC168" t="str">
        <f t="shared" si="22"/>
        <v/>
      </c>
      <c r="AD168" t="str">
        <f t="shared" si="23"/>
        <v/>
      </c>
      <c r="AE168" t="str">
        <f t="shared" si="24"/>
        <v/>
      </c>
      <c r="AF168" t="str">
        <f t="shared" si="25"/>
        <v/>
      </c>
      <c r="AG168" t="str">
        <f t="shared" si="26"/>
        <v/>
      </c>
      <c r="AH168" s="65" t="str">
        <f t="array" ref="AH168">if(sum(H168:AG168)=0,,sum(sort(TRANSPOSE(H168:AG168),1,false)))</f>
        <v/>
      </c>
    </row>
    <row r="169" hidden="1">
      <c r="F169" s="4">
        <v>37.0</v>
      </c>
      <c r="H169" t="str">
        <f t="shared" si="1"/>
        <v/>
      </c>
      <c r="I169" t="str">
        <f t="shared" si="2"/>
        <v/>
      </c>
      <c r="J169" t="str">
        <f t="shared" si="3"/>
        <v/>
      </c>
      <c r="K169" t="str">
        <f t="shared" si="4"/>
        <v/>
      </c>
      <c r="L169" t="str">
        <f t="shared" si="5"/>
        <v/>
      </c>
      <c r="M169" t="str">
        <f t="shared" si="6"/>
        <v/>
      </c>
      <c r="N169" t="str">
        <f t="shared" si="7"/>
        <v/>
      </c>
      <c r="O169" t="str">
        <f t="shared" si="8"/>
        <v/>
      </c>
      <c r="P169" t="str">
        <f t="shared" si="9"/>
        <v/>
      </c>
      <c r="Q169" t="str">
        <f t="shared" si="10"/>
        <v/>
      </c>
      <c r="R169" t="str">
        <f t="shared" si="11"/>
        <v/>
      </c>
      <c r="S169" t="str">
        <f t="shared" si="12"/>
        <v/>
      </c>
      <c r="T169" t="str">
        <f t="shared" si="13"/>
        <v/>
      </c>
      <c r="U169" t="str">
        <f t="shared" si="14"/>
        <v/>
      </c>
      <c r="V169" t="str">
        <f t="shared" si="15"/>
        <v/>
      </c>
      <c r="W169" t="str">
        <f t="shared" si="16"/>
        <v/>
      </c>
      <c r="X169" t="str">
        <f t="shared" si="17"/>
        <v/>
      </c>
      <c r="Y169" t="str">
        <f t="shared" si="18"/>
        <v/>
      </c>
      <c r="Z169" t="str">
        <f t="shared" si="19"/>
        <v/>
      </c>
      <c r="AA169" t="str">
        <f t="shared" si="20"/>
        <v/>
      </c>
      <c r="AB169" t="str">
        <f t="shared" si="21"/>
        <v/>
      </c>
      <c r="AC169" t="str">
        <f t="shared" si="22"/>
        <v/>
      </c>
      <c r="AD169" t="str">
        <f t="shared" si="23"/>
        <v/>
      </c>
      <c r="AE169" t="str">
        <f t="shared" si="24"/>
        <v/>
      </c>
      <c r="AF169" t="str">
        <f t="shared" si="25"/>
        <v/>
      </c>
      <c r="AG169" t="str">
        <f t="shared" si="26"/>
        <v/>
      </c>
      <c r="AH169" s="65" t="str">
        <f t="array" ref="AH169">if(sum(H169:AG169)=0,,sum(sort(TRANSPOSE(H169:AG169),1,false)))</f>
        <v/>
      </c>
    </row>
    <row r="170" hidden="1">
      <c r="F170" s="4">
        <v>38.0</v>
      </c>
      <c r="H170" t="str">
        <f t="shared" si="1"/>
        <v/>
      </c>
      <c r="I170" t="str">
        <f t="shared" si="2"/>
        <v/>
      </c>
      <c r="J170" t="str">
        <f t="shared" si="3"/>
        <v/>
      </c>
      <c r="K170" t="str">
        <f t="shared" si="4"/>
        <v/>
      </c>
      <c r="L170" t="str">
        <f t="shared" si="5"/>
        <v/>
      </c>
      <c r="M170" t="str">
        <f t="shared" si="6"/>
        <v/>
      </c>
      <c r="N170" t="str">
        <f t="shared" si="7"/>
        <v/>
      </c>
      <c r="O170" t="str">
        <f t="shared" si="8"/>
        <v/>
      </c>
      <c r="P170" t="str">
        <f t="shared" si="9"/>
        <v/>
      </c>
      <c r="Q170" t="str">
        <f t="shared" si="10"/>
        <v/>
      </c>
      <c r="R170" t="str">
        <f t="shared" si="11"/>
        <v/>
      </c>
      <c r="S170" t="str">
        <f t="shared" si="12"/>
        <v/>
      </c>
      <c r="T170" t="str">
        <f t="shared" si="13"/>
        <v/>
      </c>
      <c r="U170" t="str">
        <f t="shared" si="14"/>
        <v/>
      </c>
      <c r="V170" t="str">
        <f t="shared" si="15"/>
        <v/>
      </c>
      <c r="W170" t="str">
        <f t="shared" si="16"/>
        <v/>
      </c>
      <c r="X170" t="str">
        <f t="shared" si="17"/>
        <v/>
      </c>
      <c r="Y170" t="str">
        <f t="shared" si="18"/>
        <v/>
      </c>
      <c r="Z170" t="str">
        <f t="shared" si="19"/>
        <v/>
      </c>
      <c r="AA170" t="str">
        <f t="shared" si="20"/>
        <v/>
      </c>
      <c r="AB170" t="str">
        <f t="shared" si="21"/>
        <v/>
      </c>
      <c r="AC170" t="str">
        <f t="shared" si="22"/>
        <v/>
      </c>
      <c r="AD170" t="str">
        <f t="shared" si="23"/>
        <v/>
      </c>
      <c r="AE170" t="str">
        <f t="shared" si="24"/>
        <v/>
      </c>
      <c r="AF170" t="str">
        <f t="shared" si="25"/>
        <v/>
      </c>
      <c r="AG170" t="str">
        <f t="shared" si="26"/>
        <v/>
      </c>
      <c r="AH170" s="65" t="str">
        <f t="array" ref="AH170">if(sum(H170:AG170)=0,,sum(sort(TRANSPOSE(H170:AG170),1,false)))</f>
        <v/>
      </c>
    </row>
    <row r="171" hidden="1">
      <c r="F171" s="4">
        <v>39.0</v>
      </c>
      <c r="H171" t="str">
        <f t="shared" si="1"/>
        <v/>
      </c>
      <c r="I171" t="str">
        <f t="shared" si="2"/>
        <v/>
      </c>
      <c r="J171" t="str">
        <f t="shared" si="3"/>
        <v/>
      </c>
      <c r="K171" t="str">
        <f t="shared" si="4"/>
        <v/>
      </c>
      <c r="L171" t="str">
        <f t="shared" si="5"/>
        <v/>
      </c>
      <c r="M171" t="str">
        <f t="shared" si="6"/>
        <v/>
      </c>
      <c r="N171" t="str">
        <f t="shared" si="7"/>
        <v/>
      </c>
      <c r="O171" t="str">
        <f t="shared" si="8"/>
        <v/>
      </c>
      <c r="P171" t="str">
        <f t="shared" si="9"/>
        <v/>
      </c>
      <c r="Q171" t="str">
        <f t="shared" si="10"/>
        <v/>
      </c>
      <c r="R171" t="str">
        <f t="shared" si="11"/>
        <v/>
      </c>
      <c r="S171" t="str">
        <f t="shared" si="12"/>
        <v/>
      </c>
      <c r="T171" t="str">
        <f t="shared" si="13"/>
        <v/>
      </c>
      <c r="U171" t="str">
        <f t="shared" si="14"/>
        <v/>
      </c>
      <c r="V171" t="str">
        <f t="shared" si="15"/>
        <v/>
      </c>
      <c r="W171" t="str">
        <f t="shared" si="16"/>
        <v/>
      </c>
      <c r="X171" t="str">
        <f t="shared" si="17"/>
        <v/>
      </c>
      <c r="Y171" t="str">
        <f t="shared" si="18"/>
        <v/>
      </c>
      <c r="Z171" t="str">
        <f t="shared" si="19"/>
        <v/>
      </c>
      <c r="AA171" t="str">
        <f t="shared" si="20"/>
        <v/>
      </c>
      <c r="AB171" t="str">
        <f t="shared" si="21"/>
        <v/>
      </c>
      <c r="AC171" t="str">
        <f t="shared" si="22"/>
        <v/>
      </c>
      <c r="AD171" t="str">
        <f t="shared" si="23"/>
        <v/>
      </c>
      <c r="AE171" t="str">
        <f t="shared" si="24"/>
        <v/>
      </c>
      <c r="AF171" t="str">
        <f t="shared" si="25"/>
        <v/>
      </c>
      <c r="AG171" t="str">
        <f t="shared" si="26"/>
        <v/>
      </c>
      <c r="AH171" s="65" t="str">
        <f t="array" ref="AH171">if(sum(H171:AG171)=0,,sum(sort(TRANSPOSE(H171:AG171),1,false)))</f>
        <v/>
      </c>
    </row>
    <row r="172" hidden="1">
      <c r="F172" s="4">
        <v>40.0</v>
      </c>
      <c r="H172" t="str">
        <f t="shared" si="1"/>
        <v/>
      </c>
      <c r="I172" t="str">
        <f t="shared" si="2"/>
        <v/>
      </c>
      <c r="J172" t="str">
        <f t="shared" si="3"/>
        <v/>
      </c>
      <c r="K172" t="str">
        <f t="shared" si="4"/>
        <v/>
      </c>
      <c r="L172" t="str">
        <f t="shared" si="5"/>
        <v/>
      </c>
      <c r="M172" t="str">
        <f t="shared" si="6"/>
        <v/>
      </c>
      <c r="N172" t="str">
        <f t="shared" si="7"/>
        <v/>
      </c>
      <c r="O172" t="str">
        <f t="shared" si="8"/>
        <v/>
      </c>
      <c r="P172" t="str">
        <f t="shared" si="9"/>
        <v/>
      </c>
      <c r="Q172" t="str">
        <f t="shared" si="10"/>
        <v/>
      </c>
      <c r="R172" t="str">
        <f t="shared" si="11"/>
        <v/>
      </c>
      <c r="S172" t="str">
        <f t="shared" si="12"/>
        <v/>
      </c>
      <c r="T172" t="str">
        <f t="shared" si="13"/>
        <v/>
      </c>
      <c r="U172" t="str">
        <f t="shared" si="14"/>
        <v/>
      </c>
      <c r="V172" t="str">
        <f t="shared" si="15"/>
        <v/>
      </c>
      <c r="W172" t="str">
        <f t="shared" si="16"/>
        <v/>
      </c>
      <c r="X172" t="str">
        <f t="shared" si="17"/>
        <v/>
      </c>
      <c r="Y172" t="str">
        <f t="shared" si="18"/>
        <v/>
      </c>
      <c r="Z172" t="str">
        <f t="shared" si="19"/>
        <v/>
      </c>
      <c r="AA172" t="str">
        <f t="shared" si="20"/>
        <v/>
      </c>
      <c r="AB172" t="str">
        <f t="shared" si="21"/>
        <v/>
      </c>
      <c r="AC172" t="str">
        <f t="shared" si="22"/>
        <v/>
      </c>
      <c r="AD172" t="str">
        <f t="shared" si="23"/>
        <v/>
      </c>
      <c r="AE172" t="str">
        <f t="shared" si="24"/>
        <v/>
      </c>
      <c r="AF172" t="str">
        <f t="shared" si="25"/>
        <v/>
      </c>
      <c r="AG172" t="str">
        <f t="shared" si="26"/>
        <v/>
      </c>
      <c r="AH172" s="65" t="str">
        <f t="array" ref="AH172">if(sum(H172:AG172)=0,,sum(sort(TRANSPOSE(H172:AG172),1,false)))</f>
        <v/>
      </c>
    </row>
    <row r="173" hidden="1">
      <c r="F173" s="4">
        <v>41.0</v>
      </c>
      <c r="H173" t="str">
        <f t="shared" si="1"/>
        <v/>
      </c>
      <c r="I173" t="str">
        <f t="shared" si="2"/>
        <v/>
      </c>
      <c r="J173" t="str">
        <f t="shared" si="3"/>
        <v/>
      </c>
      <c r="K173" t="str">
        <f t="shared" si="4"/>
        <v/>
      </c>
      <c r="L173" t="str">
        <f t="shared" si="5"/>
        <v/>
      </c>
      <c r="M173" t="str">
        <f t="shared" si="6"/>
        <v/>
      </c>
      <c r="N173" t="str">
        <f t="shared" si="7"/>
        <v/>
      </c>
      <c r="O173" t="str">
        <f t="shared" si="8"/>
        <v/>
      </c>
      <c r="P173" t="str">
        <f t="shared" si="9"/>
        <v/>
      </c>
      <c r="Q173" t="str">
        <f t="shared" si="10"/>
        <v/>
      </c>
      <c r="R173" t="str">
        <f t="shared" si="11"/>
        <v/>
      </c>
      <c r="S173" t="str">
        <f t="shared" si="12"/>
        <v/>
      </c>
      <c r="T173" t="str">
        <f t="shared" si="13"/>
        <v/>
      </c>
      <c r="U173" t="str">
        <f t="shared" si="14"/>
        <v/>
      </c>
      <c r="V173" t="str">
        <f t="shared" si="15"/>
        <v/>
      </c>
      <c r="W173" t="str">
        <f t="shared" si="16"/>
        <v/>
      </c>
      <c r="X173" t="str">
        <f t="shared" si="17"/>
        <v/>
      </c>
      <c r="Y173" t="str">
        <f t="shared" si="18"/>
        <v/>
      </c>
      <c r="Z173" t="str">
        <f t="shared" si="19"/>
        <v/>
      </c>
      <c r="AA173" t="str">
        <f t="shared" si="20"/>
        <v/>
      </c>
      <c r="AB173" t="str">
        <f t="shared" si="21"/>
        <v/>
      </c>
      <c r="AC173" t="str">
        <f t="shared" si="22"/>
        <v/>
      </c>
      <c r="AD173" t="str">
        <f t="shared" si="23"/>
        <v/>
      </c>
      <c r="AE173" t="str">
        <f t="shared" si="24"/>
        <v/>
      </c>
      <c r="AF173" t="str">
        <f t="shared" si="25"/>
        <v/>
      </c>
      <c r="AG173" t="str">
        <f t="shared" si="26"/>
        <v/>
      </c>
      <c r="AH173" s="65" t="str">
        <f t="array" ref="AH173">if(sum(H173:AG173)=0,,sum(sort(TRANSPOSE(H173:AG173),1,false)))</f>
        <v/>
      </c>
    </row>
    <row r="174" hidden="1">
      <c r="F174" s="4">
        <v>42.0</v>
      </c>
      <c r="H174" t="str">
        <f t="shared" si="1"/>
        <v/>
      </c>
      <c r="I174" t="str">
        <f t="shared" si="2"/>
        <v/>
      </c>
      <c r="J174" t="str">
        <f t="shared" si="3"/>
        <v/>
      </c>
      <c r="K174" t="str">
        <f t="shared" si="4"/>
        <v/>
      </c>
      <c r="L174" t="str">
        <f t="shared" si="5"/>
        <v/>
      </c>
      <c r="M174" t="str">
        <f t="shared" si="6"/>
        <v/>
      </c>
      <c r="N174" t="str">
        <f t="shared" si="7"/>
        <v/>
      </c>
      <c r="O174" t="str">
        <f t="shared" si="8"/>
        <v/>
      </c>
      <c r="P174" t="str">
        <f t="shared" si="9"/>
        <v/>
      </c>
      <c r="Q174" t="str">
        <f t="shared" si="10"/>
        <v/>
      </c>
      <c r="R174" t="str">
        <f t="shared" si="11"/>
        <v/>
      </c>
      <c r="S174" t="str">
        <f t="shared" si="12"/>
        <v/>
      </c>
      <c r="T174" t="str">
        <f t="shared" si="13"/>
        <v/>
      </c>
      <c r="U174" t="str">
        <f t="shared" si="14"/>
        <v/>
      </c>
      <c r="V174" t="str">
        <f t="shared" si="15"/>
        <v/>
      </c>
      <c r="W174" t="str">
        <f t="shared" si="16"/>
        <v/>
      </c>
      <c r="X174" t="str">
        <f t="shared" si="17"/>
        <v/>
      </c>
      <c r="Y174" t="str">
        <f t="shared" si="18"/>
        <v/>
      </c>
      <c r="Z174" t="str">
        <f t="shared" si="19"/>
        <v/>
      </c>
      <c r="AA174" t="str">
        <f t="shared" si="20"/>
        <v/>
      </c>
      <c r="AB174" t="str">
        <f t="shared" si="21"/>
        <v/>
      </c>
      <c r="AC174" t="str">
        <f t="shared" si="22"/>
        <v/>
      </c>
      <c r="AD174" t="str">
        <f t="shared" si="23"/>
        <v/>
      </c>
      <c r="AE174" t="str">
        <f t="shared" si="24"/>
        <v/>
      </c>
      <c r="AF174" t="str">
        <f t="shared" si="25"/>
        <v/>
      </c>
      <c r="AG174" t="str">
        <f t="shared" si="26"/>
        <v/>
      </c>
      <c r="AH174" s="65" t="str">
        <f t="array" ref="AH174">if(sum(H174:AG174)=0,,sum(sort(TRANSPOSE(H174:AG174),1,false)))</f>
        <v/>
      </c>
    </row>
    <row r="175" hidden="1">
      <c r="F175" s="4">
        <v>43.0</v>
      </c>
      <c r="H175" t="str">
        <f t="shared" si="1"/>
        <v/>
      </c>
      <c r="I175" t="str">
        <f t="shared" si="2"/>
        <v/>
      </c>
      <c r="J175" t="str">
        <f t="shared" si="3"/>
        <v/>
      </c>
      <c r="K175" t="str">
        <f t="shared" si="4"/>
        <v/>
      </c>
      <c r="L175" t="str">
        <f t="shared" si="5"/>
        <v/>
      </c>
      <c r="M175" t="str">
        <f t="shared" si="6"/>
        <v/>
      </c>
      <c r="N175" t="str">
        <f t="shared" si="7"/>
        <v/>
      </c>
      <c r="O175" t="str">
        <f t="shared" si="8"/>
        <v/>
      </c>
      <c r="P175" t="str">
        <f t="shared" si="9"/>
        <v/>
      </c>
      <c r="Q175" t="str">
        <f t="shared" si="10"/>
        <v/>
      </c>
      <c r="R175" t="str">
        <f t="shared" si="11"/>
        <v/>
      </c>
      <c r="S175" t="str">
        <f t="shared" si="12"/>
        <v/>
      </c>
      <c r="T175" t="str">
        <f t="shared" si="13"/>
        <v/>
      </c>
      <c r="U175" t="str">
        <f t="shared" si="14"/>
        <v/>
      </c>
      <c r="V175" t="str">
        <f t="shared" si="15"/>
        <v/>
      </c>
      <c r="W175" t="str">
        <f t="shared" si="16"/>
        <v/>
      </c>
      <c r="X175" t="str">
        <f t="shared" si="17"/>
        <v/>
      </c>
      <c r="Y175" t="str">
        <f t="shared" si="18"/>
        <v/>
      </c>
      <c r="Z175" t="str">
        <f t="shared" si="19"/>
        <v/>
      </c>
      <c r="AA175" t="str">
        <f t="shared" si="20"/>
        <v/>
      </c>
      <c r="AB175" t="str">
        <f t="shared" si="21"/>
        <v/>
      </c>
      <c r="AC175" t="str">
        <f t="shared" si="22"/>
        <v/>
      </c>
      <c r="AD175" t="str">
        <f t="shared" si="23"/>
        <v/>
      </c>
      <c r="AE175" t="str">
        <f t="shared" si="24"/>
        <v/>
      </c>
      <c r="AF175" t="str">
        <f t="shared" si="25"/>
        <v/>
      </c>
      <c r="AG175" t="str">
        <f t="shared" si="26"/>
        <v/>
      </c>
      <c r="AH175" s="65" t="str">
        <f t="array" ref="AH175">if(sum(H175:AG175)=0,,sum(sort(TRANSPOSE(H175:AG175),1,false)))</f>
        <v/>
      </c>
    </row>
    <row r="176" hidden="1">
      <c r="F176" s="4">
        <v>44.0</v>
      </c>
      <c r="H176" t="str">
        <f t="shared" si="1"/>
        <v/>
      </c>
      <c r="I176" t="str">
        <f t="shared" si="2"/>
        <v/>
      </c>
      <c r="J176" t="str">
        <f t="shared" si="3"/>
        <v/>
      </c>
      <c r="K176" t="str">
        <f t="shared" si="4"/>
        <v/>
      </c>
      <c r="L176" t="str">
        <f t="shared" si="5"/>
        <v/>
      </c>
      <c r="M176" t="str">
        <f t="shared" si="6"/>
        <v/>
      </c>
      <c r="N176" t="str">
        <f t="shared" si="7"/>
        <v/>
      </c>
      <c r="O176" t="str">
        <f t="shared" si="8"/>
        <v/>
      </c>
      <c r="P176" t="str">
        <f t="shared" si="9"/>
        <v/>
      </c>
      <c r="Q176" t="str">
        <f t="shared" si="10"/>
        <v/>
      </c>
      <c r="R176" t="str">
        <f t="shared" si="11"/>
        <v/>
      </c>
      <c r="S176" t="str">
        <f t="shared" si="12"/>
        <v/>
      </c>
      <c r="T176" t="str">
        <f t="shared" si="13"/>
        <v/>
      </c>
      <c r="U176" t="str">
        <f t="shared" si="14"/>
        <v/>
      </c>
      <c r="V176" t="str">
        <f t="shared" si="15"/>
        <v/>
      </c>
      <c r="W176" t="str">
        <f t="shared" si="16"/>
        <v/>
      </c>
      <c r="X176" t="str">
        <f t="shared" si="17"/>
        <v/>
      </c>
      <c r="Y176" t="str">
        <f t="shared" si="18"/>
        <v/>
      </c>
      <c r="Z176" t="str">
        <f t="shared" si="19"/>
        <v/>
      </c>
      <c r="AA176" t="str">
        <f t="shared" si="20"/>
        <v/>
      </c>
      <c r="AB176" t="str">
        <f t="shared" si="21"/>
        <v/>
      </c>
      <c r="AC176" t="str">
        <f t="shared" si="22"/>
        <v/>
      </c>
      <c r="AD176" t="str">
        <f t="shared" si="23"/>
        <v/>
      </c>
      <c r="AE176" t="str">
        <f t="shared" si="24"/>
        <v/>
      </c>
      <c r="AF176" t="str">
        <f t="shared" si="25"/>
        <v/>
      </c>
      <c r="AG176" t="str">
        <f t="shared" si="26"/>
        <v/>
      </c>
      <c r="AH176" s="65" t="str">
        <f t="array" ref="AH176">if(sum(H176:AG176)=0,,sum(sort(TRANSPOSE(H176:AG176),1,false)))</f>
        <v/>
      </c>
    </row>
    <row r="177" hidden="1">
      <c r="F177" s="4">
        <v>45.0</v>
      </c>
      <c r="H177" t="str">
        <f t="shared" si="1"/>
        <v/>
      </c>
      <c r="I177" t="str">
        <f t="shared" si="2"/>
        <v/>
      </c>
      <c r="J177" t="str">
        <f t="shared" si="3"/>
        <v/>
      </c>
      <c r="K177" t="str">
        <f t="shared" si="4"/>
        <v/>
      </c>
      <c r="L177" t="str">
        <f t="shared" si="5"/>
        <v/>
      </c>
      <c r="M177" t="str">
        <f t="shared" si="6"/>
        <v/>
      </c>
      <c r="N177" t="str">
        <f t="shared" si="7"/>
        <v/>
      </c>
      <c r="O177" t="str">
        <f t="shared" si="8"/>
        <v/>
      </c>
      <c r="P177" t="str">
        <f t="shared" si="9"/>
        <v/>
      </c>
      <c r="Q177" t="str">
        <f t="shared" si="10"/>
        <v/>
      </c>
      <c r="R177" t="str">
        <f t="shared" si="11"/>
        <v/>
      </c>
      <c r="S177" t="str">
        <f t="shared" si="12"/>
        <v/>
      </c>
      <c r="T177" t="str">
        <f t="shared" si="13"/>
        <v/>
      </c>
      <c r="U177" t="str">
        <f t="shared" si="14"/>
        <v/>
      </c>
      <c r="V177" t="str">
        <f t="shared" si="15"/>
        <v/>
      </c>
      <c r="W177" t="str">
        <f t="shared" si="16"/>
        <v/>
      </c>
      <c r="X177" t="str">
        <f t="shared" si="17"/>
        <v/>
      </c>
      <c r="Y177" t="str">
        <f t="shared" si="18"/>
        <v/>
      </c>
      <c r="Z177" t="str">
        <f t="shared" si="19"/>
        <v/>
      </c>
      <c r="AA177" t="str">
        <f t="shared" si="20"/>
        <v/>
      </c>
      <c r="AB177" t="str">
        <f t="shared" si="21"/>
        <v/>
      </c>
      <c r="AC177" t="str">
        <f t="shared" si="22"/>
        <v/>
      </c>
      <c r="AD177" t="str">
        <f t="shared" si="23"/>
        <v/>
      </c>
      <c r="AE177" t="str">
        <f t="shared" si="24"/>
        <v/>
      </c>
      <c r="AF177" t="str">
        <f t="shared" si="25"/>
        <v/>
      </c>
      <c r="AG177" t="str">
        <f t="shared" si="26"/>
        <v/>
      </c>
      <c r="AH177" s="65" t="str">
        <f t="array" ref="AH177">if(sum(H177:AG177)=0,,sum(sort(TRANSPOSE(H177:AG177),1,false)))</f>
        <v/>
      </c>
    </row>
    <row r="178" hidden="1">
      <c r="F178" s="4">
        <v>46.0</v>
      </c>
      <c r="H178" t="str">
        <f t="shared" si="1"/>
        <v/>
      </c>
      <c r="I178" t="str">
        <f t="shared" si="2"/>
        <v/>
      </c>
      <c r="J178" t="str">
        <f t="shared" si="3"/>
        <v/>
      </c>
      <c r="K178" t="str">
        <f t="shared" si="4"/>
        <v/>
      </c>
      <c r="L178" t="str">
        <f t="shared" si="5"/>
        <v/>
      </c>
      <c r="M178" t="str">
        <f t="shared" si="6"/>
        <v/>
      </c>
      <c r="N178" t="str">
        <f t="shared" si="7"/>
        <v/>
      </c>
      <c r="O178" t="str">
        <f t="shared" si="8"/>
        <v/>
      </c>
      <c r="P178" t="str">
        <f t="shared" si="9"/>
        <v/>
      </c>
      <c r="Q178" t="str">
        <f t="shared" si="10"/>
        <v/>
      </c>
      <c r="R178" t="str">
        <f t="shared" si="11"/>
        <v/>
      </c>
      <c r="S178" t="str">
        <f t="shared" si="12"/>
        <v/>
      </c>
      <c r="T178" t="str">
        <f t="shared" si="13"/>
        <v/>
      </c>
      <c r="U178" t="str">
        <f t="shared" si="14"/>
        <v/>
      </c>
      <c r="V178" t="str">
        <f t="shared" si="15"/>
        <v/>
      </c>
      <c r="W178" t="str">
        <f t="shared" si="16"/>
        <v/>
      </c>
      <c r="X178" t="str">
        <f t="shared" si="17"/>
        <v/>
      </c>
      <c r="Y178" t="str">
        <f t="shared" si="18"/>
        <v/>
      </c>
      <c r="Z178" t="str">
        <f t="shared" si="19"/>
        <v/>
      </c>
      <c r="AA178" t="str">
        <f t="shared" si="20"/>
        <v/>
      </c>
      <c r="AB178" t="str">
        <f t="shared" si="21"/>
        <v/>
      </c>
      <c r="AC178" t="str">
        <f t="shared" si="22"/>
        <v/>
      </c>
      <c r="AD178" t="str">
        <f t="shared" si="23"/>
        <v/>
      </c>
      <c r="AE178" t="str">
        <f t="shared" si="24"/>
        <v/>
      </c>
      <c r="AF178" t="str">
        <f t="shared" si="25"/>
        <v/>
      </c>
      <c r="AG178" t="str">
        <f t="shared" si="26"/>
        <v/>
      </c>
      <c r="AH178" s="65" t="str">
        <f t="array" ref="AH178">if(sum(H178:AG178)=0,,sum(sort(TRANSPOSE(H178:AG178),1,false)))</f>
        <v/>
      </c>
    </row>
    <row r="179" hidden="1">
      <c r="F179" s="4">
        <v>47.0</v>
      </c>
      <c r="H179" t="str">
        <f t="shared" si="1"/>
        <v/>
      </c>
      <c r="I179" t="str">
        <f t="shared" si="2"/>
        <v/>
      </c>
      <c r="J179" t="str">
        <f t="shared" si="3"/>
        <v/>
      </c>
      <c r="K179" t="str">
        <f t="shared" si="4"/>
        <v/>
      </c>
      <c r="L179" t="str">
        <f t="shared" si="5"/>
        <v/>
      </c>
      <c r="M179" t="str">
        <f t="shared" si="6"/>
        <v/>
      </c>
      <c r="N179" t="str">
        <f t="shared" si="7"/>
        <v/>
      </c>
      <c r="O179" t="str">
        <f t="shared" si="8"/>
        <v/>
      </c>
      <c r="P179" t="str">
        <f t="shared" si="9"/>
        <v/>
      </c>
      <c r="Q179" t="str">
        <f t="shared" si="10"/>
        <v/>
      </c>
      <c r="R179" t="str">
        <f t="shared" si="11"/>
        <v/>
      </c>
      <c r="S179" t="str">
        <f t="shared" si="12"/>
        <v/>
      </c>
      <c r="T179" t="str">
        <f t="shared" si="13"/>
        <v/>
      </c>
      <c r="U179" t="str">
        <f t="shared" si="14"/>
        <v/>
      </c>
      <c r="V179" t="str">
        <f t="shared" si="15"/>
        <v/>
      </c>
      <c r="W179" t="str">
        <f t="shared" si="16"/>
        <v/>
      </c>
      <c r="X179" t="str">
        <f t="shared" si="17"/>
        <v/>
      </c>
      <c r="Y179" t="str">
        <f t="shared" si="18"/>
        <v/>
      </c>
      <c r="Z179" t="str">
        <f t="shared" si="19"/>
        <v/>
      </c>
      <c r="AA179" t="str">
        <f t="shared" si="20"/>
        <v/>
      </c>
      <c r="AB179" t="str">
        <f t="shared" si="21"/>
        <v/>
      </c>
      <c r="AC179" t="str">
        <f t="shared" si="22"/>
        <v/>
      </c>
      <c r="AD179" t="str">
        <f t="shared" si="23"/>
        <v/>
      </c>
      <c r="AE179" t="str">
        <f t="shared" si="24"/>
        <v/>
      </c>
      <c r="AF179" t="str">
        <f t="shared" si="25"/>
        <v/>
      </c>
      <c r="AG179" t="str">
        <f t="shared" si="26"/>
        <v/>
      </c>
      <c r="AH179" s="65" t="str">
        <f t="array" ref="AH179">if(sum(H179:AG179)=0,,sum(sort(TRANSPOSE(H179:AG179),1,false)))</f>
        <v/>
      </c>
    </row>
    <row r="180" hidden="1">
      <c r="F180" s="4">
        <v>48.0</v>
      </c>
      <c r="H180" t="str">
        <f t="shared" si="1"/>
        <v/>
      </c>
      <c r="I180" t="str">
        <f t="shared" si="2"/>
        <v/>
      </c>
      <c r="J180" t="str">
        <f t="shared" si="3"/>
        <v/>
      </c>
      <c r="K180" t="str">
        <f t="shared" si="4"/>
        <v/>
      </c>
      <c r="L180" t="str">
        <f t="shared" si="5"/>
        <v/>
      </c>
      <c r="M180" t="str">
        <f t="shared" si="6"/>
        <v/>
      </c>
      <c r="N180" t="str">
        <f t="shared" si="7"/>
        <v/>
      </c>
      <c r="O180" t="str">
        <f t="shared" si="8"/>
        <v/>
      </c>
      <c r="P180" t="str">
        <f t="shared" si="9"/>
        <v/>
      </c>
      <c r="Q180" t="str">
        <f t="shared" si="10"/>
        <v/>
      </c>
      <c r="R180" t="str">
        <f t="shared" si="11"/>
        <v/>
      </c>
      <c r="S180" t="str">
        <f t="shared" si="12"/>
        <v/>
      </c>
      <c r="T180" t="str">
        <f t="shared" si="13"/>
        <v/>
      </c>
      <c r="U180" t="str">
        <f t="shared" si="14"/>
        <v/>
      </c>
      <c r="V180" t="str">
        <f t="shared" si="15"/>
        <v/>
      </c>
      <c r="W180" t="str">
        <f t="shared" si="16"/>
        <v/>
      </c>
      <c r="X180" t="str">
        <f t="shared" si="17"/>
        <v/>
      </c>
      <c r="Y180" t="str">
        <f t="shared" si="18"/>
        <v/>
      </c>
      <c r="Z180" t="str">
        <f t="shared" si="19"/>
        <v/>
      </c>
      <c r="AA180" t="str">
        <f t="shared" si="20"/>
        <v/>
      </c>
      <c r="AB180" t="str">
        <f t="shared" si="21"/>
        <v/>
      </c>
      <c r="AC180" t="str">
        <f t="shared" si="22"/>
        <v/>
      </c>
      <c r="AD180" t="str">
        <f t="shared" si="23"/>
        <v/>
      </c>
      <c r="AE180" t="str">
        <f t="shared" si="24"/>
        <v/>
      </c>
      <c r="AF180" t="str">
        <f t="shared" si="25"/>
        <v/>
      </c>
      <c r="AG180" t="str">
        <f t="shared" si="26"/>
        <v/>
      </c>
      <c r="AH180" s="65" t="str">
        <f t="array" ref="AH180">if(sum(H180:AG180)=0,,sum(sort(TRANSPOSE(H180:AG180),1,false)))</f>
        <v/>
      </c>
    </row>
    <row r="181" hidden="1">
      <c r="F181" s="4">
        <v>49.0</v>
      </c>
      <c r="H181" t="str">
        <f t="shared" si="1"/>
        <v/>
      </c>
      <c r="I181" t="str">
        <f t="shared" si="2"/>
        <v/>
      </c>
      <c r="J181" t="str">
        <f t="shared" si="3"/>
        <v/>
      </c>
      <c r="K181" t="str">
        <f t="shared" si="4"/>
        <v/>
      </c>
      <c r="L181" t="str">
        <f t="shared" si="5"/>
        <v/>
      </c>
      <c r="M181" t="str">
        <f t="shared" si="6"/>
        <v/>
      </c>
      <c r="N181" t="str">
        <f t="shared" si="7"/>
        <v/>
      </c>
      <c r="O181" t="str">
        <f t="shared" si="8"/>
        <v/>
      </c>
      <c r="P181" t="str">
        <f t="shared" si="9"/>
        <v/>
      </c>
      <c r="Q181" t="str">
        <f t="shared" si="10"/>
        <v/>
      </c>
      <c r="R181" t="str">
        <f t="shared" si="11"/>
        <v/>
      </c>
      <c r="S181" t="str">
        <f t="shared" si="12"/>
        <v/>
      </c>
      <c r="T181" t="str">
        <f t="shared" si="13"/>
        <v/>
      </c>
      <c r="U181" t="str">
        <f t="shared" si="14"/>
        <v/>
      </c>
      <c r="V181" t="str">
        <f t="shared" si="15"/>
        <v/>
      </c>
      <c r="W181" t="str">
        <f t="shared" si="16"/>
        <v/>
      </c>
      <c r="X181" t="str">
        <f t="shared" si="17"/>
        <v/>
      </c>
      <c r="Y181" t="str">
        <f t="shared" si="18"/>
        <v/>
      </c>
      <c r="Z181" t="str">
        <f t="shared" si="19"/>
        <v/>
      </c>
      <c r="AA181" t="str">
        <f t="shared" si="20"/>
        <v/>
      </c>
      <c r="AB181" t="str">
        <f t="shared" si="21"/>
        <v/>
      </c>
      <c r="AC181" t="str">
        <f t="shared" si="22"/>
        <v/>
      </c>
      <c r="AD181" t="str">
        <f t="shared" si="23"/>
        <v/>
      </c>
      <c r="AE181" t="str">
        <f t="shared" si="24"/>
        <v/>
      </c>
      <c r="AF181" t="str">
        <f t="shared" si="25"/>
        <v/>
      </c>
      <c r="AG181" t="str">
        <f t="shared" si="26"/>
        <v/>
      </c>
      <c r="AH181" s="65" t="str">
        <f t="array" ref="AH181">if(sum(H181:AG181)=0,,sum(sort(TRANSPOSE(H181:AG181),1,false)))</f>
        <v/>
      </c>
    </row>
    <row r="182" hidden="1">
      <c r="F182" s="4">
        <v>50.0</v>
      </c>
      <c r="H182" t="str">
        <f t="shared" si="1"/>
        <v/>
      </c>
      <c r="I182" t="str">
        <f t="shared" si="2"/>
        <v/>
      </c>
      <c r="J182" t="str">
        <f t="shared" si="3"/>
        <v/>
      </c>
      <c r="K182" t="str">
        <f t="shared" si="4"/>
        <v/>
      </c>
      <c r="L182" t="str">
        <f t="shared" si="5"/>
        <v/>
      </c>
      <c r="M182" t="str">
        <f t="shared" si="6"/>
        <v/>
      </c>
      <c r="N182" t="str">
        <f t="shared" si="7"/>
        <v/>
      </c>
      <c r="O182" t="str">
        <f t="shared" si="8"/>
        <v/>
      </c>
      <c r="P182" t="str">
        <f t="shared" si="9"/>
        <v/>
      </c>
      <c r="Q182" t="str">
        <f t="shared" si="10"/>
        <v/>
      </c>
      <c r="R182" t="str">
        <f t="shared" si="11"/>
        <v/>
      </c>
      <c r="S182" t="str">
        <f t="shared" si="12"/>
        <v/>
      </c>
      <c r="T182" t="str">
        <f t="shared" si="13"/>
        <v/>
      </c>
      <c r="U182" t="str">
        <f t="shared" si="14"/>
        <v/>
      </c>
      <c r="V182" t="str">
        <f t="shared" si="15"/>
        <v/>
      </c>
      <c r="W182" t="str">
        <f t="shared" si="16"/>
        <v/>
      </c>
      <c r="X182" t="str">
        <f t="shared" si="17"/>
        <v/>
      </c>
      <c r="Y182" t="str">
        <f t="shared" si="18"/>
        <v/>
      </c>
      <c r="Z182" t="str">
        <f t="shared" si="19"/>
        <v/>
      </c>
      <c r="AA182" t="str">
        <f t="shared" si="20"/>
        <v/>
      </c>
      <c r="AB182" t="str">
        <f t="shared" si="21"/>
        <v/>
      </c>
      <c r="AC182" t="str">
        <f t="shared" si="22"/>
        <v/>
      </c>
      <c r="AD182" t="str">
        <f t="shared" si="23"/>
        <v/>
      </c>
      <c r="AE182" t="str">
        <f t="shared" si="24"/>
        <v/>
      </c>
      <c r="AF182" t="str">
        <f t="shared" si="25"/>
        <v/>
      </c>
      <c r="AG182" t="str">
        <f t="shared" si="26"/>
        <v/>
      </c>
      <c r="AH182" s="65" t="str">
        <f t="array" ref="AH182">if(sum(H182:AG182)=0,,sum(sort(TRANSPOSE(H182:AG182),1,false)))</f>
        <v/>
      </c>
    </row>
    <row r="183" hidden="1">
      <c r="F183" s="4">
        <v>51.0</v>
      </c>
      <c r="H183" t="str">
        <f t="shared" si="1"/>
        <v/>
      </c>
      <c r="I183" t="str">
        <f t="shared" si="2"/>
        <v/>
      </c>
      <c r="J183" t="str">
        <f t="shared" si="3"/>
        <v/>
      </c>
      <c r="K183" t="str">
        <f t="shared" si="4"/>
        <v/>
      </c>
      <c r="L183" t="str">
        <f t="shared" si="5"/>
        <v/>
      </c>
      <c r="M183" t="str">
        <f t="shared" si="6"/>
        <v/>
      </c>
      <c r="N183" t="str">
        <f t="shared" si="7"/>
        <v/>
      </c>
      <c r="O183" t="str">
        <f t="shared" si="8"/>
        <v/>
      </c>
      <c r="P183" t="str">
        <f t="shared" si="9"/>
        <v/>
      </c>
      <c r="Q183" t="str">
        <f t="shared" si="10"/>
        <v/>
      </c>
      <c r="R183" t="str">
        <f t="shared" si="11"/>
        <v/>
      </c>
      <c r="S183" t="str">
        <f t="shared" si="12"/>
        <v/>
      </c>
      <c r="T183" t="str">
        <f t="shared" si="13"/>
        <v/>
      </c>
      <c r="U183" t="str">
        <f t="shared" si="14"/>
        <v/>
      </c>
      <c r="V183" t="str">
        <f t="shared" si="15"/>
        <v/>
      </c>
      <c r="W183" t="str">
        <f t="shared" si="16"/>
        <v/>
      </c>
      <c r="X183" t="str">
        <f t="shared" si="17"/>
        <v/>
      </c>
      <c r="Y183" t="str">
        <f t="shared" si="18"/>
        <v/>
      </c>
      <c r="Z183" t="str">
        <f t="shared" si="19"/>
        <v/>
      </c>
      <c r="AA183" t="str">
        <f t="shared" si="20"/>
        <v/>
      </c>
      <c r="AB183" t="str">
        <f t="shared" si="21"/>
        <v/>
      </c>
      <c r="AC183" t="str">
        <f t="shared" si="22"/>
        <v/>
      </c>
      <c r="AD183" t="str">
        <f t="shared" si="23"/>
        <v/>
      </c>
      <c r="AE183" t="str">
        <f t="shared" si="24"/>
        <v/>
      </c>
      <c r="AF183" t="str">
        <f t="shared" si="25"/>
        <v/>
      </c>
      <c r="AG183" t="str">
        <f t="shared" si="26"/>
        <v/>
      </c>
      <c r="AH183" s="65" t="str">
        <f t="array" ref="AH183">if(sum(H183:AG183)=0,,sum(sort(TRANSPOSE(H183:AG183),1,false)))</f>
        <v/>
      </c>
    </row>
    <row r="184" hidden="1">
      <c r="F184" s="4">
        <v>52.0</v>
      </c>
      <c r="H184" t="str">
        <f t="shared" si="1"/>
        <v/>
      </c>
      <c r="I184" t="str">
        <f t="shared" si="2"/>
        <v/>
      </c>
      <c r="J184" t="str">
        <f t="shared" si="3"/>
        <v/>
      </c>
      <c r="K184" t="str">
        <f t="shared" si="4"/>
        <v/>
      </c>
      <c r="L184" t="str">
        <f t="shared" si="5"/>
        <v/>
      </c>
      <c r="M184" t="str">
        <f t="shared" si="6"/>
        <v/>
      </c>
      <c r="N184" t="str">
        <f t="shared" si="7"/>
        <v/>
      </c>
      <c r="O184" t="str">
        <f t="shared" si="8"/>
        <v/>
      </c>
      <c r="P184" t="str">
        <f t="shared" si="9"/>
        <v/>
      </c>
      <c r="Q184" t="str">
        <f t="shared" si="10"/>
        <v/>
      </c>
      <c r="R184" t="str">
        <f t="shared" si="11"/>
        <v/>
      </c>
      <c r="S184" t="str">
        <f t="shared" si="12"/>
        <v/>
      </c>
      <c r="T184" t="str">
        <f t="shared" si="13"/>
        <v/>
      </c>
      <c r="U184" t="str">
        <f t="shared" si="14"/>
        <v/>
      </c>
      <c r="V184" t="str">
        <f t="shared" si="15"/>
        <v/>
      </c>
      <c r="W184" t="str">
        <f t="shared" si="16"/>
        <v/>
      </c>
      <c r="X184" t="str">
        <f t="shared" si="17"/>
        <v/>
      </c>
      <c r="Y184" t="str">
        <f t="shared" si="18"/>
        <v/>
      </c>
      <c r="Z184" t="str">
        <f t="shared" si="19"/>
        <v/>
      </c>
      <c r="AA184" t="str">
        <f t="shared" si="20"/>
        <v/>
      </c>
      <c r="AB184" t="str">
        <f t="shared" si="21"/>
        <v/>
      </c>
      <c r="AC184" t="str">
        <f t="shared" si="22"/>
        <v/>
      </c>
      <c r="AD184" t="str">
        <f t="shared" si="23"/>
        <v/>
      </c>
      <c r="AE184" t="str">
        <f t="shared" si="24"/>
        <v/>
      </c>
      <c r="AF184" t="str">
        <f t="shared" si="25"/>
        <v/>
      </c>
      <c r="AG184" t="str">
        <f t="shared" si="26"/>
        <v/>
      </c>
      <c r="AH184" s="65" t="str">
        <f t="array" ref="AH184">if(sum(H184:AG184)=0,,sum(sort(TRANSPOSE(H184:AG184),1,false)))</f>
        <v/>
      </c>
    </row>
    <row r="185" hidden="1">
      <c r="F185" s="4">
        <v>53.0</v>
      </c>
      <c r="H185" t="str">
        <f t="shared" si="1"/>
        <v/>
      </c>
      <c r="I185" t="str">
        <f t="shared" si="2"/>
        <v/>
      </c>
      <c r="J185" t="str">
        <f t="shared" si="3"/>
        <v/>
      </c>
      <c r="K185" t="str">
        <f t="shared" si="4"/>
        <v/>
      </c>
      <c r="L185" t="str">
        <f t="shared" si="5"/>
        <v/>
      </c>
      <c r="M185" t="str">
        <f t="shared" si="6"/>
        <v/>
      </c>
      <c r="N185" t="str">
        <f t="shared" si="7"/>
        <v/>
      </c>
      <c r="O185" t="str">
        <f t="shared" si="8"/>
        <v/>
      </c>
      <c r="P185" t="str">
        <f t="shared" si="9"/>
        <v/>
      </c>
      <c r="Q185" t="str">
        <f t="shared" si="10"/>
        <v/>
      </c>
      <c r="R185" t="str">
        <f t="shared" si="11"/>
        <v/>
      </c>
      <c r="S185" t="str">
        <f t="shared" si="12"/>
        <v/>
      </c>
      <c r="T185" t="str">
        <f t="shared" si="13"/>
        <v/>
      </c>
      <c r="U185" t="str">
        <f t="shared" si="14"/>
        <v/>
      </c>
      <c r="V185" t="str">
        <f t="shared" si="15"/>
        <v/>
      </c>
      <c r="W185" t="str">
        <f t="shared" si="16"/>
        <v/>
      </c>
      <c r="X185" t="str">
        <f t="shared" si="17"/>
        <v/>
      </c>
      <c r="Y185" t="str">
        <f t="shared" si="18"/>
        <v/>
      </c>
      <c r="Z185" t="str">
        <f t="shared" si="19"/>
        <v/>
      </c>
      <c r="AA185" t="str">
        <f t="shared" si="20"/>
        <v/>
      </c>
      <c r="AB185" t="str">
        <f t="shared" si="21"/>
        <v/>
      </c>
      <c r="AC185" t="str">
        <f t="shared" si="22"/>
        <v/>
      </c>
      <c r="AD185" t="str">
        <f t="shared" si="23"/>
        <v/>
      </c>
      <c r="AE185" t="str">
        <f t="shared" si="24"/>
        <v/>
      </c>
      <c r="AF185" t="str">
        <f t="shared" si="25"/>
        <v/>
      </c>
      <c r="AG185" t="str">
        <f t="shared" si="26"/>
        <v/>
      </c>
      <c r="AH185" s="65" t="str">
        <f t="array" ref="AH185">if(sum(H185:AG185)=0,,sum(sort(TRANSPOSE(H185:AG185),1,false)))</f>
        <v/>
      </c>
    </row>
    <row r="186" hidden="1">
      <c r="F186" s="4">
        <v>54.0</v>
      </c>
      <c r="H186" t="str">
        <f t="shared" si="1"/>
        <v/>
      </c>
      <c r="I186" t="str">
        <f t="shared" si="2"/>
        <v/>
      </c>
      <c r="J186" t="str">
        <f t="shared" si="3"/>
        <v/>
      </c>
      <c r="K186" t="str">
        <f t="shared" si="4"/>
        <v/>
      </c>
      <c r="L186" t="str">
        <f t="shared" si="5"/>
        <v/>
      </c>
      <c r="M186" t="str">
        <f t="shared" si="6"/>
        <v/>
      </c>
      <c r="N186" t="str">
        <f t="shared" si="7"/>
        <v/>
      </c>
      <c r="O186" t="str">
        <f t="shared" si="8"/>
        <v/>
      </c>
      <c r="P186" t="str">
        <f t="shared" si="9"/>
        <v/>
      </c>
      <c r="Q186" t="str">
        <f t="shared" si="10"/>
        <v/>
      </c>
      <c r="R186" t="str">
        <f t="shared" si="11"/>
        <v/>
      </c>
      <c r="S186" t="str">
        <f t="shared" si="12"/>
        <v/>
      </c>
      <c r="T186" t="str">
        <f t="shared" si="13"/>
        <v/>
      </c>
      <c r="U186" t="str">
        <f t="shared" si="14"/>
        <v/>
      </c>
      <c r="V186" t="str">
        <f t="shared" si="15"/>
        <v/>
      </c>
      <c r="W186" t="str">
        <f t="shared" si="16"/>
        <v/>
      </c>
      <c r="X186" t="str">
        <f t="shared" si="17"/>
        <v/>
      </c>
      <c r="Y186" t="str">
        <f t="shared" si="18"/>
        <v/>
      </c>
      <c r="Z186" t="str">
        <f t="shared" si="19"/>
        <v/>
      </c>
      <c r="AA186" t="str">
        <f t="shared" si="20"/>
        <v/>
      </c>
      <c r="AB186" t="str">
        <f t="shared" si="21"/>
        <v/>
      </c>
      <c r="AC186" t="str">
        <f t="shared" si="22"/>
        <v/>
      </c>
      <c r="AD186" t="str">
        <f t="shared" si="23"/>
        <v/>
      </c>
      <c r="AE186" t="str">
        <f t="shared" si="24"/>
        <v/>
      </c>
      <c r="AF186" t="str">
        <f t="shared" si="25"/>
        <v/>
      </c>
      <c r="AG186" t="str">
        <f t="shared" si="26"/>
        <v/>
      </c>
      <c r="AH186" s="65" t="str">
        <f t="array" ref="AH186">if(sum(H186:AG186)=0,,sum(sort(TRANSPOSE(H186:AG186),1,false)))</f>
        <v/>
      </c>
    </row>
    <row r="187" hidden="1">
      <c r="F187" s="4">
        <v>55.0</v>
      </c>
      <c r="H187" t="str">
        <f t="shared" si="1"/>
        <v/>
      </c>
      <c r="I187" t="str">
        <f t="shared" si="2"/>
        <v/>
      </c>
      <c r="J187" t="str">
        <f t="shared" si="3"/>
        <v/>
      </c>
      <c r="K187" t="str">
        <f t="shared" si="4"/>
        <v/>
      </c>
      <c r="L187" t="str">
        <f t="shared" si="5"/>
        <v/>
      </c>
      <c r="M187" t="str">
        <f t="shared" si="6"/>
        <v/>
      </c>
      <c r="N187" t="str">
        <f t="shared" si="7"/>
        <v/>
      </c>
      <c r="O187" t="str">
        <f t="shared" si="8"/>
        <v/>
      </c>
      <c r="P187" t="str">
        <f t="shared" si="9"/>
        <v/>
      </c>
      <c r="Q187" t="str">
        <f t="shared" si="10"/>
        <v/>
      </c>
      <c r="R187" t="str">
        <f t="shared" si="11"/>
        <v/>
      </c>
      <c r="S187" t="str">
        <f t="shared" si="12"/>
        <v/>
      </c>
      <c r="T187" t="str">
        <f t="shared" si="13"/>
        <v/>
      </c>
      <c r="U187" t="str">
        <f t="shared" si="14"/>
        <v/>
      </c>
      <c r="V187" t="str">
        <f t="shared" si="15"/>
        <v/>
      </c>
      <c r="W187" t="str">
        <f t="shared" si="16"/>
        <v/>
      </c>
      <c r="X187" t="str">
        <f t="shared" si="17"/>
        <v/>
      </c>
      <c r="Y187" t="str">
        <f t="shared" si="18"/>
        <v/>
      </c>
      <c r="Z187" t="str">
        <f t="shared" si="19"/>
        <v/>
      </c>
      <c r="AA187" t="str">
        <f t="shared" si="20"/>
        <v/>
      </c>
      <c r="AB187" t="str">
        <f t="shared" si="21"/>
        <v/>
      </c>
      <c r="AC187" t="str">
        <f t="shared" si="22"/>
        <v/>
      </c>
      <c r="AD187" t="str">
        <f t="shared" si="23"/>
        <v/>
      </c>
      <c r="AE187" t="str">
        <f t="shared" si="24"/>
        <v/>
      </c>
      <c r="AF187" t="str">
        <f t="shared" si="25"/>
        <v/>
      </c>
      <c r="AG187" t="str">
        <f t="shared" si="26"/>
        <v/>
      </c>
      <c r="AH187" s="65" t="str">
        <f t="array" ref="AH187">if(sum(H187:AG187)=0,,sum(sort(TRANSPOSE(H187:AG187),1,false)))</f>
        <v/>
      </c>
    </row>
    <row r="188" hidden="1">
      <c r="F188" s="4">
        <v>56.0</v>
      </c>
      <c r="H188" t="str">
        <f t="shared" si="1"/>
        <v/>
      </c>
      <c r="I188" t="str">
        <f t="shared" si="2"/>
        <v/>
      </c>
      <c r="J188" t="str">
        <f t="shared" si="3"/>
        <v/>
      </c>
      <c r="K188" t="str">
        <f t="shared" si="4"/>
        <v/>
      </c>
      <c r="L188" t="str">
        <f t="shared" si="5"/>
        <v/>
      </c>
      <c r="M188" t="str">
        <f t="shared" si="6"/>
        <v/>
      </c>
      <c r="N188" t="str">
        <f t="shared" si="7"/>
        <v/>
      </c>
      <c r="O188" t="str">
        <f t="shared" si="8"/>
        <v/>
      </c>
      <c r="P188" t="str">
        <f t="shared" si="9"/>
        <v/>
      </c>
      <c r="Q188" t="str">
        <f t="shared" si="10"/>
        <v/>
      </c>
      <c r="R188" t="str">
        <f t="shared" si="11"/>
        <v/>
      </c>
      <c r="S188" t="str">
        <f t="shared" si="12"/>
        <v/>
      </c>
      <c r="T188" t="str">
        <f t="shared" si="13"/>
        <v/>
      </c>
      <c r="U188" t="str">
        <f t="shared" si="14"/>
        <v/>
      </c>
      <c r="V188" t="str">
        <f t="shared" si="15"/>
        <v/>
      </c>
      <c r="W188" t="str">
        <f t="shared" si="16"/>
        <v/>
      </c>
      <c r="X188" t="str">
        <f t="shared" si="17"/>
        <v/>
      </c>
      <c r="Y188" t="str">
        <f t="shared" si="18"/>
        <v/>
      </c>
      <c r="Z188" t="str">
        <f t="shared" si="19"/>
        <v/>
      </c>
      <c r="AA188" t="str">
        <f t="shared" si="20"/>
        <v/>
      </c>
      <c r="AB188" t="str">
        <f t="shared" si="21"/>
        <v/>
      </c>
      <c r="AC188" t="str">
        <f t="shared" si="22"/>
        <v/>
      </c>
      <c r="AD188" t="str">
        <f t="shared" si="23"/>
        <v/>
      </c>
      <c r="AE188" t="str">
        <f t="shared" si="24"/>
        <v/>
      </c>
      <c r="AF188" t="str">
        <f t="shared" si="25"/>
        <v/>
      </c>
      <c r="AG188" t="str">
        <f t="shared" si="26"/>
        <v/>
      </c>
      <c r="AH188" s="65" t="str">
        <f t="array" ref="AH188">if(sum(H188:AG188)=0,,sum(sort(TRANSPOSE(H188:AG188),1,false)))</f>
        <v/>
      </c>
    </row>
    <row r="189" hidden="1">
      <c r="F189" s="4">
        <v>57.0</v>
      </c>
      <c r="H189" t="str">
        <f t="shared" si="1"/>
        <v/>
      </c>
      <c r="I189" t="str">
        <f t="shared" si="2"/>
        <v/>
      </c>
      <c r="J189" t="str">
        <f t="shared" si="3"/>
        <v/>
      </c>
      <c r="K189" t="str">
        <f t="shared" si="4"/>
        <v/>
      </c>
      <c r="L189" t="str">
        <f t="shared" si="5"/>
        <v/>
      </c>
      <c r="M189" t="str">
        <f t="shared" si="6"/>
        <v/>
      </c>
      <c r="N189" t="str">
        <f t="shared" si="7"/>
        <v/>
      </c>
      <c r="O189" t="str">
        <f t="shared" si="8"/>
        <v/>
      </c>
      <c r="P189" t="str">
        <f t="shared" si="9"/>
        <v/>
      </c>
      <c r="Q189" t="str">
        <f t="shared" si="10"/>
        <v/>
      </c>
      <c r="R189" t="str">
        <f t="shared" si="11"/>
        <v/>
      </c>
      <c r="S189" t="str">
        <f t="shared" si="12"/>
        <v/>
      </c>
      <c r="T189" t="str">
        <f t="shared" si="13"/>
        <v/>
      </c>
      <c r="U189" t="str">
        <f t="shared" si="14"/>
        <v/>
      </c>
      <c r="V189" t="str">
        <f t="shared" si="15"/>
        <v/>
      </c>
      <c r="W189" t="str">
        <f t="shared" si="16"/>
        <v/>
      </c>
      <c r="X189" t="str">
        <f t="shared" si="17"/>
        <v/>
      </c>
      <c r="Y189" t="str">
        <f t="shared" si="18"/>
        <v/>
      </c>
      <c r="Z189" t="str">
        <f t="shared" si="19"/>
        <v/>
      </c>
      <c r="AA189" t="str">
        <f t="shared" si="20"/>
        <v/>
      </c>
      <c r="AB189" t="str">
        <f t="shared" si="21"/>
        <v/>
      </c>
      <c r="AC189" t="str">
        <f t="shared" si="22"/>
        <v/>
      </c>
      <c r="AD189" t="str">
        <f t="shared" si="23"/>
        <v/>
      </c>
      <c r="AE189" t="str">
        <f t="shared" si="24"/>
        <v/>
      </c>
      <c r="AF189" t="str">
        <f t="shared" si="25"/>
        <v/>
      </c>
      <c r="AG189" t="str">
        <f t="shared" si="26"/>
        <v/>
      </c>
      <c r="AH189" s="65" t="str">
        <f t="array" ref="AH189">if(sum(H189:AG189)=0,,sum(sort(TRANSPOSE(H189:AG189),1,false)))</f>
        <v/>
      </c>
    </row>
    <row r="190" hidden="1">
      <c r="F190" s="4">
        <v>58.0</v>
      </c>
      <c r="H190" t="str">
        <f t="shared" si="1"/>
        <v/>
      </c>
      <c r="I190" t="str">
        <f t="shared" si="2"/>
        <v/>
      </c>
      <c r="J190" t="str">
        <f t="shared" si="3"/>
        <v/>
      </c>
      <c r="K190" t="str">
        <f t="shared" si="4"/>
        <v/>
      </c>
      <c r="L190" t="str">
        <f t="shared" si="5"/>
        <v/>
      </c>
      <c r="M190" t="str">
        <f t="shared" si="6"/>
        <v/>
      </c>
      <c r="N190" t="str">
        <f t="shared" si="7"/>
        <v/>
      </c>
      <c r="O190" t="str">
        <f t="shared" si="8"/>
        <v/>
      </c>
      <c r="P190" t="str">
        <f t="shared" si="9"/>
        <v/>
      </c>
      <c r="Q190" t="str">
        <f t="shared" si="10"/>
        <v/>
      </c>
      <c r="R190" t="str">
        <f t="shared" si="11"/>
        <v/>
      </c>
      <c r="S190" t="str">
        <f t="shared" si="12"/>
        <v/>
      </c>
      <c r="T190" t="str">
        <f t="shared" si="13"/>
        <v/>
      </c>
      <c r="U190" t="str">
        <f t="shared" si="14"/>
        <v/>
      </c>
      <c r="V190" t="str">
        <f t="shared" si="15"/>
        <v/>
      </c>
      <c r="W190" t="str">
        <f t="shared" si="16"/>
        <v/>
      </c>
      <c r="X190" t="str">
        <f t="shared" si="17"/>
        <v/>
      </c>
      <c r="Y190" t="str">
        <f t="shared" si="18"/>
        <v/>
      </c>
      <c r="Z190" t="str">
        <f t="shared" si="19"/>
        <v/>
      </c>
      <c r="AA190" t="str">
        <f t="shared" si="20"/>
        <v/>
      </c>
      <c r="AB190" t="str">
        <f t="shared" si="21"/>
        <v/>
      </c>
      <c r="AC190" t="str">
        <f t="shared" si="22"/>
        <v/>
      </c>
      <c r="AD190" t="str">
        <f t="shared" si="23"/>
        <v/>
      </c>
      <c r="AE190" t="str">
        <f t="shared" si="24"/>
        <v/>
      </c>
      <c r="AF190" t="str">
        <f t="shared" si="25"/>
        <v/>
      </c>
      <c r="AG190" t="str">
        <f t="shared" si="26"/>
        <v/>
      </c>
      <c r="AH190" s="65" t="str">
        <f t="array" ref="AH190">if(sum(H190:AG190)=0,,sum(sort(TRANSPOSE(H190:AG190),1,false)))</f>
        <v/>
      </c>
    </row>
    <row r="191" hidden="1">
      <c r="F191" s="4">
        <v>59.0</v>
      </c>
      <c r="H191" t="str">
        <f t="shared" si="1"/>
        <v/>
      </c>
      <c r="I191" t="str">
        <f t="shared" si="2"/>
        <v/>
      </c>
      <c r="J191" t="str">
        <f t="shared" si="3"/>
        <v/>
      </c>
      <c r="K191" t="str">
        <f t="shared" si="4"/>
        <v/>
      </c>
      <c r="L191" t="str">
        <f t="shared" si="5"/>
        <v/>
      </c>
      <c r="M191" t="str">
        <f t="shared" si="6"/>
        <v/>
      </c>
      <c r="N191" t="str">
        <f t="shared" si="7"/>
        <v/>
      </c>
      <c r="O191" t="str">
        <f t="shared" si="8"/>
        <v/>
      </c>
      <c r="P191" t="str">
        <f t="shared" si="9"/>
        <v/>
      </c>
      <c r="Q191" t="str">
        <f t="shared" si="10"/>
        <v/>
      </c>
      <c r="R191" t="str">
        <f t="shared" si="11"/>
        <v/>
      </c>
      <c r="S191" t="str">
        <f t="shared" si="12"/>
        <v/>
      </c>
      <c r="T191" t="str">
        <f t="shared" si="13"/>
        <v/>
      </c>
      <c r="U191" t="str">
        <f t="shared" si="14"/>
        <v/>
      </c>
      <c r="V191" t="str">
        <f t="shared" si="15"/>
        <v/>
      </c>
      <c r="W191" t="str">
        <f t="shared" si="16"/>
        <v/>
      </c>
      <c r="X191" t="str">
        <f t="shared" si="17"/>
        <v/>
      </c>
      <c r="Y191" t="str">
        <f t="shared" si="18"/>
        <v/>
      </c>
      <c r="Z191" t="str">
        <f t="shared" si="19"/>
        <v/>
      </c>
      <c r="AA191" t="str">
        <f t="shared" si="20"/>
        <v/>
      </c>
      <c r="AB191" t="str">
        <f t="shared" si="21"/>
        <v/>
      </c>
      <c r="AC191" t="str">
        <f t="shared" si="22"/>
        <v/>
      </c>
      <c r="AD191" t="str">
        <f t="shared" si="23"/>
        <v/>
      </c>
      <c r="AE191" t="str">
        <f t="shared" si="24"/>
        <v/>
      </c>
      <c r="AF191" t="str">
        <f t="shared" si="25"/>
        <v/>
      </c>
      <c r="AG191" t="str">
        <f t="shared" si="26"/>
        <v/>
      </c>
      <c r="AH191" s="65" t="str">
        <f t="array" ref="AH191">if(sum(H191:AG191)=0,,sum(sort(TRANSPOSE(H191:AG191),1,false)))</f>
        <v/>
      </c>
    </row>
    <row r="192" hidden="1">
      <c r="F192" s="4">
        <v>60.0</v>
      </c>
      <c r="H192" t="str">
        <f t="shared" si="1"/>
        <v/>
      </c>
      <c r="I192" t="str">
        <f t="shared" si="2"/>
        <v/>
      </c>
      <c r="J192" t="str">
        <f t="shared" si="3"/>
        <v/>
      </c>
      <c r="K192" t="str">
        <f t="shared" si="4"/>
        <v/>
      </c>
      <c r="L192" t="str">
        <f t="shared" si="5"/>
        <v/>
      </c>
      <c r="M192" t="str">
        <f t="shared" si="6"/>
        <v/>
      </c>
      <c r="N192" t="str">
        <f t="shared" si="7"/>
        <v/>
      </c>
      <c r="O192" t="str">
        <f t="shared" si="8"/>
        <v/>
      </c>
      <c r="P192" t="str">
        <f t="shared" si="9"/>
        <v/>
      </c>
      <c r="Q192" t="str">
        <f t="shared" si="10"/>
        <v/>
      </c>
      <c r="R192" t="str">
        <f t="shared" si="11"/>
        <v/>
      </c>
      <c r="S192" t="str">
        <f t="shared" si="12"/>
        <v/>
      </c>
      <c r="T192" t="str">
        <f t="shared" si="13"/>
        <v/>
      </c>
      <c r="U192" t="str">
        <f t="shared" si="14"/>
        <v/>
      </c>
      <c r="V192" t="str">
        <f t="shared" si="15"/>
        <v/>
      </c>
      <c r="W192" t="str">
        <f t="shared" si="16"/>
        <v/>
      </c>
      <c r="X192" t="str">
        <f t="shared" si="17"/>
        <v/>
      </c>
      <c r="Y192" t="str">
        <f t="shared" si="18"/>
        <v/>
      </c>
      <c r="Z192" t="str">
        <f t="shared" si="19"/>
        <v/>
      </c>
      <c r="AA192" t="str">
        <f t="shared" si="20"/>
        <v/>
      </c>
      <c r="AB192" t="str">
        <f t="shared" si="21"/>
        <v/>
      </c>
      <c r="AC192" t="str">
        <f t="shared" si="22"/>
        <v/>
      </c>
      <c r="AD192" t="str">
        <f t="shared" si="23"/>
        <v/>
      </c>
      <c r="AE192" t="str">
        <f t="shared" si="24"/>
        <v/>
      </c>
      <c r="AF192" t="str">
        <f t="shared" si="25"/>
        <v/>
      </c>
      <c r="AG192" t="str">
        <f t="shared" si="26"/>
        <v/>
      </c>
      <c r="AH192" s="65" t="str">
        <f t="array" ref="AH192">if(sum(H192:AG192)=0,,sum(sort(TRANSPOSE(H192:AG192),1,false)))</f>
        <v/>
      </c>
    </row>
    <row r="193" hidden="1">
      <c r="F193" s="4">
        <v>61.0</v>
      </c>
      <c r="H193" t="str">
        <f t="shared" si="1"/>
        <v/>
      </c>
      <c r="I193" t="str">
        <f t="shared" si="2"/>
        <v/>
      </c>
      <c r="J193" t="str">
        <f t="shared" si="3"/>
        <v/>
      </c>
      <c r="K193" t="str">
        <f t="shared" si="4"/>
        <v/>
      </c>
      <c r="L193" t="str">
        <f t="shared" si="5"/>
        <v/>
      </c>
      <c r="M193" t="str">
        <f t="shared" si="6"/>
        <v/>
      </c>
      <c r="N193" t="str">
        <f t="shared" si="7"/>
        <v/>
      </c>
      <c r="O193" t="str">
        <f t="shared" si="8"/>
        <v/>
      </c>
      <c r="P193" t="str">
        <f t="shared" si="9"/>
        <v/>
      </c>
      <c r="Q193" t="str">
        <f t="shared" si="10"/>
        <v/>
      </c>
      <c r="R193" t="str">
        <f t="shared" si="11"/>
        <v/>
      </c>
      <c r="S193" t="str">
        <f t="shared" si="12"/>
        <v/>
      </c>
      <c r="T193" t="str">
        <f t="shared" si="13"/>
        <v/>
      </c>
      <c r="U193" t="str">
        <f t="shared" si="14"/>
        <v/>
      </c>
      <c r="V193" t="str">
        <f t="shared" si="15"/>
        <v/>
      </c>
      <c r="W193" t="str">
        <f t="shared" si="16"/>
        <v/>
      </c>
      <c r="X193" t="str">
        <f t="shared" si="17"/>
        <v/>
      </c>
      <c r="Y193" t="str">
        <f t="shared" si="18"/>
        <v/>
      </c>
      <c r="Z193" t="str">
        <f t="shared" si="19"/>
        <v/>
      </c>
      <c r="AA193" t="str">
        <f t="shared" si="20"/>
        <v/>
      </c>
      <c r="AB193" t="str">
        <f t="shared" si="21"/>
        <v/>
      </c>
      <c r="AC193" t="str">
        <f t="shared" si="22"/>
        <v/>
      </c>
      <c r="AD193" t="str">
        <f t="shared" si="23"/>
        <v/>
      </c>
      <c r="AE193" t="str">
        <f t="shared" si="24"/>
        <v/>
      </c>
      <c r="AF193" t="str">
        <f t="shared" si="25"/>
        <v/>
      </c>
      <c r="AG193" t="str">
        <f t="shared" si="26"/>
        <v/>
      </c>
      <c r="AH193" s="65" t="str">
        <f t="array" ref="AH193">if(sum(H193:AG193)=0,,sum(sort(TRANSPOSE(H193:AG193),1,false)))</f>
        <v/>
      </c>
    </row>
    <row r="194" hidden="1">
      <c r="F194" s="4">
        <v>62.0</v>
      </c>
      <c r="H194" t="str">
        <f t="shared" si="1"/>
        <v/>
      </c>
      <c r="I194" t="str">
        <f t="shared" si="2"/>
        <v/>
      </c>
      <c r="J194" t="str">
        <f t="shared" si="3"/>
        <v/>
      </c>
      <c r="K194" t="str">
        <f t="shared" si="4"/>
        <v/>
      </c>
      <c r="L194" t="str">
        <f t="shared" si="5"/>
        <v/>
      </c>
      <c r="M194" t="str">
        <f t="shared" si="6"/>
        <v/>
      </c>
      <c r="N194" t="str">
        <f t="shared" si="7"/>
        <v/>
      </c>
      <c r="O194" t="str">
        <f t="shared" si="8"/>
        <v/>
      </c>
      <c r="P194" t="str">
        <f t="shared" si="9"/>
        <v/>
      </c>
      <c r="Q194" t="str">
        <f t="shared" si="10"/>
        <v/>
      </c>
      <c r="R194" t="str">
        <f t="shared" si="11"/>
        <v/>
      </c>
      <c r="S194" t="str">
        <f t="shared" si="12"/>
        <v/>
      </c>
      <c r="T194" t="str">
        <f t="shared" si="13"/>
        <v/>
      </c>
      <c r="U194" t="str">
        <f t="shared" si="14"/>
        <v/>
      </c>
      <c r="V194" t="str">
        <f t="shared" si="15"/>
        <v/>
      </c>
      <c r="W194" t="str">
        <f t="shared" si="16"/>
        <v/>
      </c>
      <c r="X194" t="str">
        <f t="shared" si="17"/>
        <v/>
      </c>
      <c r="Y194" t="str">
        <f t="shared" si="18"/>
        <v/>
      </c>
      <c r="Z194" t="str">
        <f t="shared" si="19"/>
        <v/>
      </c>
      <c r="AA194" t="str">
        <f t="shared" si="20"/>
        <v/>
      </c>
      <c r="AB194" t="str">
        <f t="shared" si="21"/>
        <v/>
      </c>
      <c r="AC194" t="str">
        <f t="shared" si="22"/>
        <v/>
      </c>
      <c r="AD194" t="str">
        <f t="shared" si="23"/>
        <v/>
      </c>
      <c r="AE194" t="str">
        <f t="shared" si="24"/>
        <v/>
      </c>
      <c r="AF194" t="str">
        <f t="shared" si="25"/>
        <v/>
      </c>
      <c r="AG194" t="str">
        <f t="shared" si="26"/>
        <v/>
      </c>
      <c r="AH194" s="65" t="str">
        <f t="array" ref="AH194">if(sum(H194:AG194)=0,,sum(sort(TRANSPOSE(H194:AG194),1,false)))</f>
        <v/>
      </c>
    </row>
    <row r="195" hidden="1">
      <c r="F195" s="4">
        <v>63.0</v>
      </c>
      <c r="H195" t="str">
        <f t="shared" si="1"/>
        <v/>
      </c>
      <c r="I195" t="str">
        <f t="shared" si="2"/>
        <v/>
      </c>
      <c r="J195" t="str">
        <f t="shared" si="3"/>
        <v/>
      </c>
      <c r="K195" t="str">
        <f t="shared" si="4"/>
        <v/>
      </c>
      <c r="L195" t="str">
        <f t="shared" si="5"/>
        <v/>
      </c>
      <c r="M195" t="str">
        <f t="shared" si="6"/>
        <v/>
      </c>
      <c r="N195" t="str">
        <f t="shared" si="7"/>
        <v/>
      </c>
      <c r="O195" t="str">
        <f t="shared" si="8"/>
        <v/>
      </c>
      <c r="P195" t="str">
        <f t="shared" si="9"/>
        <v/>
      </c>
      <c r="Q195" t="str">
        <f t="shared" si="10"/>
        <v/>
      </c>
      <c r="R195" t="str">
        <f t="shared" si="11"/>
        <v/>
      </c>
      <c r="S195" t="str">
        <f t="shared" si="12"/>
        <v/>
      </c>
      <c r="T195" t="str">
        <f t="shared" si="13"/>
        <v/>
      </c>
      <c r="U195" t="str">
        <f t="shared" si="14"/>
        <v/>
      </c>
      <c r="V195" t="str">
        <f t="shared" si="15"/>
        <v/>
      </c>
      <c r="W195" t="str">
        <f t="shared" si="16"/>
        <v/>
      </c>
      <c r="X195" t="str">
        <f t="shared" si="17"/>
        <v/>
      </c>
      <c r="Y195" t="str">
        <f t="shared" si="18"/>
        <v/>
      </c>
      <c r="Z195" t="str">
        <f t="shared" si="19"/>
        <v/>
      </c>
      <c r="AA195" t="str">
        <f t="shared" si="20"/>
        <v/>
      </c>
      <c r="AB195" t="str">
        <f t="shared" si="21"/>
        <v/>
      </c>
      <c r="AC195" t="str">
        <f t="shared" si="22"/>
        <v/>
      </c>
      <c r="AD195" t="str">
        <f t="shared" si="23"/>
        <v/>
      </c>
      <c r="AE195" t="str">
        <f t="shared" si="24"/>
        <v/>
      </c>
      <c r="AF195" t="str">
        <f t="shared" si="25"/>
        <v/>
      </c>
      <c r="AG195" t="str">
        <f t="shared" si="26"/>
        <v/>
      </c>
      <c r="AH195" s="65" t="str">
        <f t="array" ref="AH195">if(sum(H195:AG195)=0,,sum(sort(TRANSPOSE(H195:AG195),1,false)))</f>
        <v/>
      </c>
    </row>
    <row r="196" hidden="1">
      <c r="F196" s="4">
        <v>64.0</v>
      </c>
      <c r="H196" t="str">
        <f t="shared" si="1"/>
        <v/>
      </c>
      <c r="I196" t="str">
        <f t="shared" si="2"/>
        <v/>
      </c>
      <c r="J196" t="str">
        <f t="shared" si="3"/>
        <v/>
      </c>
      <c r="K196" t="str">
        <f t="shared" si="4"/>
        <v/>
      </c>
      <c r="L196" t="str">
        <f t="shared" si="5"/>
        <v/>
      </c>
      <c r="M196" t="str">
        <f t="shared" si="6"/>
        <v/>
      </c>
      <c r="N196" t="str">
        <f t="shared" si="7"/>
        <v/>
      </c>
      <c r="O196" t="str">
        <f t="shared" si="8"/>
        <v/>
      </c>
      <c r="P196" t="str">
        <f t="shared" si="9"/>
        <v/>
      </c>
      <c r="Q196" t="str">
        <f t="shared" si="10"/>
        <v/>
      </c>
      <c r="R196" t="str">
        <f t="shared" si="11"/>
        <v/>
      </c>
      <c r="S196" t="str">
        <f t="shared" si="12"/>
        <v/>
      </c>
      <c r="T196" t="str">
        <f t="shared" si="13"/>
        <v/>
      </c>
      <c r="U196" t="str">
        <f t="shared" si="14"/>
        <v/>
      </c>
      <c r="V196" t="str">
        <f t="shared" si="15"/>
        <v/>
      </c>
      <c r="W196" t="str">
        <f t="shared" si="16"/>
        <v/>
      </c>
      <c r="X196" t="str">
        <f t="shared" si="17"/>
        <v/>
      </c>
      <c r="Y196" t="str">
        <f t="shared" si="18"/>
        <v/>
      </c>
      <c r="Z196" t="str">
        <f t="shared" si="19"/>
        <v/>
      </c>
      <c r="AA196" t="str">
        <f t="shared" si="20"/>
        <v/>
      </c>
      <c r="AB196" t="str">
        <f t="shared" si="21"/>
        <v/>
      </c>
      <c r="AC196" t="str">
        <f t="shared" si="22"/>
        <v/>
      </c>
      <c r="AD196" t="str">
        <f t="shared" si="23"/>
        <v/>
      </c>
      <c r="AE196" t="str">
        <f t="shared" si="24"/>
        <v/>
      </c>
      <c r="AF196" t="str">
        <f t="shared" si="25"/>
        <v/>
      </c>
      <c r="AG196" t="str">
        <f t="shared" si="26"/>
        <v/>
      </c>
      <c r="AH196" s="65" t="str">
        <f t="array" ref="AH196">if(sum(H196:AG196)=0,,sum(sort(TRANSPOSE(H196:AG196),1,false)))</f>
        <v/>
      </c>
    </row>
    <row r="197" hidden="1">
      <c r="F197" s="4">
        <v>65.0</v>
      </c>
      <c r="H197" t="str">
        <f t="shared" si="1"/>
        <v/>
      </c>
      <c r="I197" t="str">
        <f t="shared" si="2"/>
        <v/>
      </c>
      <c r="J197" t="str">
        <f t="shared" si="3"/>
        <v/>
      </c>
      <c r="K197" t="str">
        <f t="shared" si="4"/>
        <v/>
      </c>
      <c r="L197" t="str">
        <f t="shared" si="5"/>
        <v/>
      </c>
      <c r="M197" t="str">
        <f t="shared" si="6"/>
        <v/>
      </c>
      <c r="N197" t="str">
        <f t="shared" si="7"/>
        <v/>
      </c>
      <c r="O197" t="str">
        <f t="shared" si="8"/>
        <v/>
      </c>
      <c r="P197" t="str">
        <f t="shared" si="9"/>
        <v/>
      </c>
      <c r="Q197" t="str">
        <f t="shared" si="10"/>
        <v/>
      </c>
      <c r="R197" t="str">
        <f t="shared" si="11"/>
        <v/>
      </c>
      <c r="S197" t="str">
        <f t="shared" si="12"/>
        <v/>
      </c>
      <c r="T197" t="str">
        <f t="shared" si="13"/>
        <v/>
      </c>
      <c r="U197" t="str">
        <f t="shared" si="14"/>
        <v/>
      </c>
      <c r="V197" t="str">
        <f t="shared" si="15"/>
        <v/>
      </c>
      <c r="W197" t="str">
        <f t="shared" si="16"/>
        <v/>
      </c>
      <c r="X197" t="str">
        <f t="shared" si="17"/>
        <v/>
      </c>
      <c r="Y197" t="str">
        <f t="shared" si="18"/>
        <v/>
      </c>
      <c r="Z197" t="str">
        <f t="shared" si="19"/>
        <v/>
      </c>
      <c r="AA197" t="str">
        <f t="shared" si="20"/>
        <v/>
      </c>
      <c r="AB197" t="str">
        <f t="shared" si="21"/>
        <v/>
      </c>
      <c r="AC197" t="str">
        <f t="shared" si="22"/>
        <v/>
      </c>
      <c r="AD197" t="str">
        <f t="shared" si="23"/>
        <v/>
      </c>
      <c r="AE197" t="str">
        <f t="shared" si="24"/>
        <v/>
      </c>
      <c r="AF197" t="str">
        <f t="shared" si="25"/>
        <v/>
      </c>
      <c r="AG197" t="str">
        <f t="shared" si="26"/>
        <v/>
      </c>
      <c r="AH197" s="65" t="str">
        <f t="array" ref="AH197">if(sum(H197:AG197)=0,,sum(sort(TRANSPOSE(H197:AG197),1,false)))</f>
        <v/>
      </c>
    </row>
    <row r="198" hidden="1">
      <c r="F198" s="4">
        <v>66.0</v>
      </c>
      <c r="H198" t="str">
        <f t="shared" si="1"/>
        <v/>
      </c>
      <c r="I198" t="str">
        <f t="shared" si="2"/>
        <v/>
      </c>
      <c r="J198" t="str">
        <f t="shared" si="3"/>
        <v/>
      </c>
      <c r="K198" t="str">
        <f t="shared" si="4"/>
        <v/>
      </c>
      <c r="L198" t="str">
        <f t="shared" si="5"/>
        <v/>
      </c>
      <c r="M198" t="str">
        <f t="shared" si="6"/>
        <v/>
      </c>
      <c r="N198" t="str">
        <f t="shared" si="7"/>
        <v/>
      </c>
      <c r="O198" t="str">
        <f t="shared" si="8"/>
        <v/>
      </c>
      <c r="P198" t="str">
        <f t="shared" si="9"/>
        <v/>
      </c>
      <c r="Q198" t="str">
        <f t="shared" si="10"/>
        <v/>
      </c>
      <c r="R198" t="str">
        <f t="shared" si="11"/>
        <v/>
      </c>
      <c r="S198" t="str">
        <f t="shared" si="12"/>
        <v/>
      </c>
      <c r="T198" t="str">
        <f t="shared" si="13"/>
        <v/>
      </c>
      <c r="U198" t="str">
        <f t="shared" si="14"/>
        <v/>
      </c>
      <c r="V198" t="str">
        <f t="shared" si="15"/>
        <v/>
      </c>
      <c r="W198" t="str">
        <f t="shared" si="16"/>
        <v/>
      </c>
      <c r="X198" t="str">
        <f t="shared" si="17"/>
        <v/>
      </c>
      <c r="Y198" t="str">
        <f t="shared" si="18"/>
        <v/>
      </c>
      <c r="Z198" t="str">
        <f t="shared" si="19"/>
        <v/>
      </c>
      <c r="AA198" t="str">
        <f t="shared" si="20"/>
        <v/>
      </c>
      <c r="AB198" t="str">
        <f t="shared" si="21"/>
        <v/>
      </c>
      <c r="AC198" t="str">
        <f t="shared" si="22"/>
        <v/>
      </c>
      <c r="AD198" t="str">
        <f t="shared" si="23"/>
        <v/>
      </c>
      <c r="AE198" t="str">
        <f t="shared" si="24"/>
        <v/>
      </c>
      <c r="AF198" t="str">
        <f t="shared" si="25"/>
        <v/>
      </c>
      <c r="AG198" t="str">
        <f t="shared" si="26"/>
        <v/>
      </c>
      <c r="AH198" s="65" t="str">
        <f t="array" ref="AH198">if(sum(H198:AG198)=0,,sum(sort(TRANSPOSE(H198:AG198),1,false)))</f>
        <v/>
      </c>
    </row>
    <row r="199" hidden="1">
      <c r="F199" s="4">
        <v>67.0</v>
      </c>
      <c r="H199" t="str">
        <f t="shared" si="1"/>
        <v/>
      </c>
      <c r="I199" t="str">
        <f t="shared" si="2"/>
        <v/>
      </c>
      <c r="J199" t="str">
        <f t="shared" si="3"/>
        <v/>
      </c>
      <c r="K199" t="str">
        <f t="shared" si="4"/>
        <v/>
      </c>
      <c r="L199" t="str">
        <f t="shared" si="5"/>
        <v/>
      </c>
      <c r="M199" t="str">
        <f t="shared" si="6"/>
        <v/>
      </c>
      <c r="N199" t="str">
        <f t="shared" si="7"/>
        <v/>
      </c>
      <c r="O199" t="str">
        <f t="shared" si="8"/>
        <v/>
      </c>
      <c r="P199" t="str">
        <f t="shared" si="9"/>
        <v/>
      </c>
      <c r="Q199" t="str">
        <f t="shared" si="10"/>
        <v/>
      </c>
      <c r="R199" t="str">
        <f t="shared" si="11"/>
        <v/>
      </c>
      <c r="S199" t="str">
        <f t="shared" si="12"/>
        <v/>
      </c>
      <c r="T199" t="str">
        <f t="shared" si="13"/>
        <v/>
      </c>
      <c r="U199" t="str">
        <f t="shared" si="14"/>
        <v/>
      </c>
      <c r="V199" t="str">
        <f t="shared" si="15"/>
        <v/>
      </c>
      <c r="W199" t="str">
        <f t="shared" si="16"/>
        <v/>
      </c>
      <c r="X199" t="str">
        <f t="shared" si="17"/>
        <v/>
      </c>
      <c r="Y199" t="str">
        <f t="shared" si="18"/>
        <v/>
      </c>
      <c r="Z199" t="str">
        <f t="shared" si="19"/>
        <v/>
      </c>
      <c r="AA199" t="str">
        <f t="shared" si="20"/>
        <v/>
      </c>
      <c r="AB199" t="str">
        <f t="shared" si="21"/>
        <v/>
      </c>
      <c r="AC199" t="str">
        <f t="shared" si="22"/>
        <v/>
      </c>
      <c r="AD199" t="str">
        <f t="shared" si="23"/>
        <v/>
      </c>
      <c r="AE199" t="str">
        <f t="shared" si="24"/>
        <v/>
      </c>
      <c r="AF199" t="str">
        <f t="shared" si="25"/>
        <v/>
      </c>
      <c r="AG199" t="str">
        <f t="shared" si="26"/>
        <v/>
      </c>
      <c r="AH199" s="65" t="str">
        <f t="array" ref="AH199">if(sum(H199:AG199)=0,,sum(sort(TRANSPOSE(H199:AG199),1,false)))</f>
        <v/>
      </c>
    </row>
    <row r="200" hidden="1">
      <c r="F200" s="4">
        <v>68.0</v>
      </c>
      <c r="H200" t="str">
        <f t="shared" si="1"/>
        <v/>
      </c>
      <c r="I200" t="str">
        <f t="shared" si="2"/>
        <v/>
      </c>
      <c r="J200" t="str">
        <f t="shared" si="3"/>
        <v/>
      </c>
      <c r="K200" t="str">
        <f t="shared" si="4"/>
        <v/>
      </c>
      <c r="L200" t="str">
        <f t="shared" si="5"/>
        <v/>
      </c>
      <c r="M200" t="str">
        <f t="shared" si="6"/>
        <v/>
      </c>
      <c r="N200" t="str">
        <f t="shared" si="7"/>
        <v/>
      </c>
      <c r="O200" t="str">
        <f t="shared" si="8"/>
        <v/>
      </c>
      <c r="P200" t="str">
        <f t="shared" si="9"/>
        <v/>
      </c>
      <c r="Q200" t="str">
        <f t="shared" si="10"/>
        <v/>
      </c>
      <c r="R200" t="str">
        <f t="shared" si="11"/>
        <v/>
      </c>
      <c r="S200" t="str">
        <f t="shared" si="12"/>
        <v/>
      </c>
      <c r="T200" t="str">
        <f t="shared" si="13"/>
        <v/>
      </c>
      <c r="U200" t="str">
        <f t="shared" si="14"/>
        <v/>
      </c>
      <c r="V200" t="str">
        <f t="shared" si="15"/>
        <v/>
      </c>
      <c r="W200" t="str">
        <f t="shared" si="16"/>
        <v/>
      </c>
      <c r="X200" t="str">
        <f t="shared" si="17"/>
        <v/>
      </c>
      <c r="Y200" t="str">
        <f t="shared" si="18"/>
        <v/>
      </c>
      <c r="Z200" t="str">
        <f t="shared" si="19"/>
        <v/>
      </c>
      <c r="AA200" t="str">
        <f t="shared" si="20"/>
        <v/>
      </c>
      <c r="AB200" t="str">
        <f t="shared" si="21"/>
        <v/>
      </c>
      <c r="AC200" t="str">
        <f t="shared" si="22"/>
        <v/>
      </c>
      <c r="AD200" t="str">
        <f t="shared" si="23"/>
        <v/>
      </c>
      <c r="AE200" t="str">
        <f t="shared" si="24"/>
        <v/>
      </c>
      <c r="AF200" t="str">
        <f t="shared" si="25"/>
        <v/>
      </c>
      <c r="AG200" t="str">
        <f t="shared" si="26"/>
        <v/>
      </c>
      <c r="AH200" s="65" t="str">
        <f t="array" ref="AH200">if(sum(H200:AG200)=0,,sum(sort(TRANSPOSE(H200:AG200),1,false)))</f>
        <v/>
      </c>
    </row>
    <row r="201" hidden="1">
      <c r="F201" s="4">
        <v>69.0</v>
      </c>
      <c r="H201" t="str">
        <f t="shared" si="1"/>
        <v/>
      </c>
      <c r="I201" t="str">
        <f t="shared" si="2"/>
        <v/>
      </c>
      <c r="J201" t="str">
        <f t="shared" si="3"/>
        <v/>
      </c>
      <c r="K201" t="str">
        <f t="shared" si="4"/>
        <v/>
      </c>
      <c r="L201" t="str">
        <f t="shared" si="5"/>
        <v/>
      </c>
      <c r="M201" t="str">
        <f t="shared" si="6"/>
        <v/>
      </c>
      <c r="N201" t="str">
        <f t="shared" si="7"/>
        <v/>
      </c>
      <c r="O201" t="str">
        <f t="shared" si="8"/>
        <v/>
      </c>
      <c r="P201" t="str">
        <f t="shared" si="9"/>
        <v/>
      </c>
      <c r="Q201" t="str">
        <f t="shared" si="10"/>
        <v/>
      </c>
      <c r="R201" t="str">
        <f t="shared" si="11"/>
        <v/>
      </c>
      <c r="S201" t="str">
        <f t="shared" si="12"/>
        <v/>
      </c>
      <c r="T201" t="str">
        <f t="shared" si="13"/>
        <v/>
      </c>
      <c r="U201" t="str">
        <f t="shared" si="14"/>
        <v/>
      </c>
      <c r="V201" t="str">
        <f t="shared" si="15"/>
        <v/>
      </c>
      <c r="W201" t="str">
        <f t="shared" si="16"/>
        <v/>
      </c>
      <c r="X201" t="str">
        <f t="shared" si="17"/>
        <v/>
      </c>
      <c r="Y201" t="str">
        <f t="shared" si="18"/>
        <v/>
      </c>
      <c r="Z201" t="str">
        <f t="shared" si="19"/>
        <v/>
      </c>
      <c r="AA201" t="str">
        <f t="shared" si="20"/>
        <v/>
      </c>
      <c r="AB201" t="str">
        <f t="shared" si="21"/>
        <v/>
      </c>
      <c r="AC201" t="str">
        <f t="shared" si="22"/>
        <v/>
      </c>
      <c r="AD201" t="str">
        <f t="shared" si="23"/>
        <v/>
      </c>
      <c r="AE201" t="str">
        <f t="shared" si="24"/>
        <v/>
      </c>
      <c r="AF201" t="str">
        <f t="shared" si="25"/>
        <v/>
      </c>
      <c r="AG201" t="str">
        <f t="shared" si="26"/>
        <v/>
      </c>
      <c r="AH201" s="65" t="str">
        <f t="array" ref="AH201">if(sum(H201:AG201)=0,,sum(sort(TRANSPOSE(H201:AG201),1,false)))</f>
        <v/>
      </c>
    </row>
    <row r="202" hidden="1">
      <c r="F202" s="4">
        <v>70.0</v>
      </c>
      <c r="H202" t="str">
        <f t="shared" si="1"/>
        <v/>
      </c>
      <c r="I202" t="str">
        <f t="shared" si="2"/>
        <v/>
      </c>
      <c r="J202" t="str">
        <f t="shared" si="3"/>
        <v/>
      </c>
      <c r="K202" t="str">
        <f t="shared" si="4"/>
        <v/>
      </c>
      <c r="L202" t="str">
        <f t="shared" si="5"/>
        <v/>
      </c>
      <c r="M202" t="str">
        <f t="shared" si="6"/>
        <v/>
      </c>
      <c r="N202" t="str">
        <f t="shared" si="7"/>
        <v/>
      </c>
      <c r="O202" t="str">
        <f t="shared" si="8"/>
        <v/>
      </c>
      <c r="P202" t="str">
        <f t="shared" si="9"/>
        <v/>
      </c>
      <c r="Q202" t="str">
        <f t="shared" si="10"/>
        <v/>
      </c>
      <c r="R202" t="str">
        <f t="shared" si="11"/>
        <v/>
      </c>
      <c r="S202" t="str">
        <f t="shared" si="12"/>
        <v/>
      </c>
      <c r="T202" t="str">
        <f t="shared" si="13"/>
        <v/>
      </c>
      <c r="U202" t="str">
        <f t="shared" si="14"/>
        <v/>
      </c>
      <c r="V202" t="str">
        <f t="shared" si="15"/>
        <v/>
      </c>
      <c r="W202" t="str">
        <f t="shared" si="16"/>
        <v/>
      </c>
      <c r="X202" t="str">
        <f t="shared" si="17"/>
        <v/>
      </c>
      <c r="Y202" t="str">
        <f t="shared" si="18"/>
        <v/>
      </c>
      <c r="Z202" t="str">
        <f t="shared" si="19"/>
        <v/>
      </c>
      <c r="AA202" t="str">
        <f t="shared" si="20"/>
        <v/>
      </c>
      <c r="AB202" t="str">
        <f t="shared" si="21"/>
        <v/>
      </c>
      <c r="AC202" t="str">
        <f t="shared" si="22"/>
        <v/>
      </c>
      <c r="AD202" t="str">
        <f t="shared" si="23"/>
        <v/>
      </c>
      <c r="AE202" t="str">
        <f t="shared" si="24"/>
        <v/>
      </c>
      <c r="AF202" t="str">
        <f t="shared" si="25"/>
        <v/>
      </c>
      <c r="AG202" t="str">
        <f t="shared" si="26"/>
        <v/>
      </c>
      <c r="AH202" s="65" t="str">
        <f t="array" ref="AH202">if(sum(H202:AG202)=0,,sum(sort(TRANSPOSE(H202:AG202),1,false)))</f>
        <v/>
      </c>
    </row>
    <row r="203" hidden="1">
      <c r="F203" s="4">
        <v>71.0</v>
      </c>
      <c r="H203" t="str">
        <f t="shared" si="1"/>
        <v/>
      </c>
      <c r="I203" t="str">
        <f t="shared" si="2"/>
        <v/>
      </c>
      <c r="J203" t="str">
        <f t="shared" si="3"/>
        <v/>
      </c>
      <c r="K203" t="str">
        <f t="shared" si="4"/>
        <v/>
      </c>
      <c r="L203" t="str">
        <f t="shared" si="5"/>
        <v/>
      </c>
      <c r="M203" t="str">
        <f t="shared" si="6"/>
        <v/>
      </c>
      <c r="N203" t="str">
        <f t="shared" si="7"/>
        <v/>
      </c>
      <c r="O203" t="str">
        <f t="shared" si="8"/>
        <v/>
      </c>
      <c r="P203" t="str">
        <f t="shared" si="9"/>
        <v/>
      </c>
      <c r="Q203" t="str">
        <f t="shared" si="10"/>
        <v/>
      </c>
      <c r="R203" t="str">
        <f t="shared" si="11"/>
        <v/>
      </c>
      <c r="S203" t="str">
        <f t="shared" si="12"/>
        <v/>
      </c>
      <c r="T203" t="str">
        <f t="shared" si="13"/>
        <v/>
      </c>
      <c r="U203" t="str">
        <f t="shared" si="14"/>
        <v/>
      </c>
      <c r="V203" t="str">
        <f t="shared" si="15"/>
        <v/>
      </c>
      <c r="W203" t="str">
        <f t="shared" si="16"/>
        <v/>
      </c>
      <c r="X203" t="str">
        <f t="shared" si="17"/>
        <v/>
      </c>
      <c r="Y203" t="str">
        <f t="shared" si="18"/>
        <v/>
      </c>
      <c r="Z203" t="str">
        <f t="shared" si="19"/>
        <v/>
      </c>
      <c r="AA203" t="str">
        <f t="shared" si="20"/>
        <v/>
      </c>
      <c r="AB203" t="str">
        <f t="shared" si="21"/>
        <v/>
      </c>
      <c r="AC203" t="str">
        <f t="shared" si="22"/>
        <v/>
      </c>
      <c r="AD203" t="str">
        <f t="shared" si="23"/>
        <v/>
      </c>
      <c r="AE203" t="str">
        <f t="shared" si="24"/>
        <v/>
      </c>
      <c r="AF203" t="str">
        <f t="shared" si="25"/>
        <v/>
      </c>
      <c r="AG203" t="str">
        <f t="shared" si="26"/>
        <v/>
      </c>
      <c r="AH203" s="65" t="str">
        <f t="array" ref="AH203">if(sum(H203:AG203)=0,,sum(sort(TRANSPOSE(H203:AG203),1,false)))</f>
        <v/>
      </c>
    </row>
    <row r="204" hidden="1">
      <c r="F204" s="4">
        <v>72.0</v>
      </c>
      <c r="H204" t="str">
        <f t="shared" si="1"/>
        <v/>
      </c>
      <c r="I204" t="str">
        <f t="shared" si="2"/>
        <v/>
      </c>
      <c r="J204" t="str">
        <f t="shared" si="3"/>
        <v/>
      </c>
      <c r="K204" t="str">
        <f t="shared" si="4"/>
        <v/>
      </c>
      <c r="L204" t="str">
        <f t="shared" si="5"/>
        <v/>
      </c>
      <c r="M204" t="str">
        <f t="shared" si="6"/>
        <v/>
      </c>
      <c r="N204" t="str">
        <f t="shared" si="7"/>
        <v/>
      </c>
      <c r="O204" t="str">
        <f t="shared" si="8"/>
        <v/>
      </c>
      <c r="P204" t="str">
        <f t="shared" si="9"/>
        <v/>
      </c>
      <c r="Q204" t="str">
        <f t="shared" si="10"/>
        <v/>
      </c>
      <c r="R204" t="str">
        <f t="shared" si="11"/>
        <v/>
      </c>
      <c r="S204" t="str">
        <f t="shared" si="12"/>
        <v/>
      </c>
      <c r="T204" t="str">
        <f t="shared" si="13"/>
        <v/>
      </c>
      <c r="U204" t="str">
        <f t="shared" si="14"/>
        <v/>
      </c>
      <c r="V204" t="str">
        <f t="shared" si="15"/>
        <v/>
      </c>
      <c r="W204" t="str">
        <f t="shared" si="16"/>
        <v/>
      </c>
      <c r="X204" t="str">
        <f t="shared" si="17"/>
        <v/>
      </c>
      <c r="Y204" t="str">
        <f t="shared" si="18"/>
        <v/>
      </c>
      <c r="Z204" t="str">
        <f t="shared" si="19"/>
        <v/>
      </c>
      <c r="AA204" t="str">
        <f t="shared" si="20"/>
        <v/>
      </c>
      <c r="AB204" t="str">
        <f t="shared" si="21"/>
        <v/>
      </c>
      <c r="AC204" t="str">
        <f t="shared" si="22"/>
        <v/>
      </c>
      <c r="AD204" t="str">
        <f t="shared" si="23"/>
        <v/>
      </c>
      <c r="AE204" t="str">
        <f t="shared" si="24"/>
        <v/>
      </c>
      <c r="AF204" t="str">
        <f t="shared" si="25"/>
        <v/>
      </c>
      <c r="AG204" t="str">
        <f t="shared" si="26"/>
        <v/>
      </c>
      <c r="AH204" s="65" t="str">
        <f t="array" ref="AH204">if(sum(H204:AG204)=0,,sum(sort(TRANSPOSE(H204:AG204),1,false)))</f>
        <v/>
      </c>
    </row>
    <row r="205" hidden="1">
      <c r="F205" s="4">
        <v>73.0</v>
      </c>
      <c r="H205" t="str">
        <f t="shared" si="1"/>
        <v/>
      </c>
      <c r="I205" t="str">
        <f t="shared" si="2"/>
        <v/>
      </c>
      <c r="J205" t="str">
        <f t="shared" si="3"/>
        <v/>
      </c>
      <c r="K205" t="str">
        <f t="shared" si="4"/>
        <v/>
      </c>
      <c r="L205" t="str">
        <f t="shared" si="5"/>
        <v/>
      </c>
      <c r="M205" t="str">
        <f t="shared" si="6"/>
        <v/>
      </c>
      <c r="N205" t="str">
        <f t="shared" si="7"/>
        <v/>
      </c>
      <c r="O205" t="str">
        <f t="shared" si="8"/>
        <v/>
      </c>
      <c r="P205" t="str">
        <f t="shared" si="9"/>
        <v/>
      </c>
      <c r="Q205" t="str">
        <f t="shared" si="10"/>
        <v/>
      </c>
      <c r="R205" t="str">
        <f t="shared" si="11"/>
        <v/>
      </c>
      <c r="S205" t="str">
        <f t="shared" si="12"/>
        <v/>
      </c>
      <c r="T205" t="str">
        <f t="shared" si="13"/>
        <v/>
      </c>
      <c r="U205" t="str">
        <f t="shared" si="14"/>
        <v/>
      </c>
      <c r="V205" t="str">
        <f t="shared" si="15"/>
        <v/>
      </c>
      <c r="W205" t="str">
        <f t="shared" si="16"/>
        <v/>
      </c>
      <c r="X205" t="str">
        <f t="shared" si="17"/>
        <v/>
      </c>
      <c r="Y205" t="str">
        <f t="shared" si="18"/>
        <v/>
      </c>
      <c r="Z205" t="str">
        <f t="shared" si="19"/>
        <v/>
      </c>
      <c r="AA205" t="str">
        <f t="shared" si="20"/>
        <v/>
      </c>
      <c r="AB205" t="str">
        <f t="shared" si="21"/>
        <v/>
      </c>
      <c r="AC205" t="str">
        <f t="shared" si="22"/>
        <v/>
      </c>
      <c r="AD205" t="str">
        <f t="shared" si="23"/>
        <v/>
      </c>
      <c r="AE205" t="str">
        <f t="shared" si="24"/>
        <v/>
      </c>
      <c r="AF205" t="str">
        <f t="shared" si="25"/>
        <v/>
      </c>
      <c r="AG205" t="str">
        <f t="shared" si="26"/>
        <v/>
      </c>
      <c r="AH205" s="65" t="str">
        <f t="array" ref="AH205">if(sum(H205:AG205)=0,,sum(sort(TRANSPOSE(H205:AG205),1,false)))</f>
        <v/>
      </c>
    </row>
    <row r="206" hidden="1">
      <c r="F206" s="4">
        <v>74.0</v>
      </c>
      <c r="H206" t="str">
        <f t="shared" si="1"/>
        <v/>
      </c>
      <c r="I206" t="str">
        <f t="shared" si="2"/>
        <v/>
      </c>
      <c r="J206" t="str">
        <f t="shared" si="3"/>
        <v/>
      </c>
      <c r="K206" t="str">
        <f t="shared" si="4"/>
        <v/>
      </c>
      <c r="L206" t="str">
        <f t="shared" si="5"/>
        <v/>
      </c>
      <c r="M206" t="str">
        <f t="shared" si="6"/>
        <v/>
      </c>
      <c r="N206" t="str">
        <f t="shared" si="7"/>
        <v/>
      </c>
      <c r="O206" t="str">
        <f t="shared" si="8"/>
        <v/>
      </c>
      <c r="P206" t="str">
        <f t="shared" si="9"/>
        <v/>
      </c>
      <c r="Q206" t="str">
        <f t="shared" si="10"/>
        <v/>
      </c>
      <c r="R206" t="str">
        <f t="shared" si="11"/>
        <v/>
      </c>
      <c r="S206" t="str">
        <f t="shared" si="12"/>
        <v/>
      </c>
      <c r="T206" t="str">
        <f t="shared" si="13"/>
        <v/>
      </c>
      <c r="U206" t="str">
        <f t="shared" si="14"/>
        <v/>
      </c>
      <c r="V206" t="str">
        <f t="shared" si="15"/>
        <v/>
      </c>
      <c r="W206" t="str">
        <f t="shared" si="16"/>
        <v/>
      </c>
      <c r="X206" t="str">
        <f t="shared" si="17"/>
        <v/>
      </c>
      <c r="Y206" t="str">
        <f t="shared" si="18"/>
        <v/>
      </c>
      <c r="Z206" t="str">
        <f t="shared" si="19"/>
        <v/>
      </c>
      <c r="AA206" t="str">
        <f t="shared" si="20"/>
        <v/>
      </c>
      <c r="AB206" t="str">
        <f t="shared" si="21"/>
        <v/>
      </c>
      <c r="AC206" t="str">
        <f t="shared" si="22"/>
        <v/>
      </c>
      <c r="AD206" t="str">
        <f t="shared" si="23"/>
        <v/>
      </c>
      <c r="AE206" t="str">
        <f t="shared" si="24"/>
        <v/>
      </c>
      <c r="AF206" t="str">
        <f t="shared" si="25"/>
        <v/>
      </c>
      <c r="AG206" t="str">
        <f t="shared" si="26"/>
        <v/>
      </c>
      <c r="AH206" s="65" t="str">
        <f t="array" ref="AH206">if(sum(H206:AG206)=0,,sum(sort(TRANSPOSE(H206:AG206),1,false)))</f>
        <v/>
      </c>
    </row>
    <row r="207" hidden="1">
      <c r="F207" s="4">
        <v>75.0</v>
      </c>
      <c r="H207" t="str">
        <f t="shared" si="1"/>
        <v/>
      </c>
      <c r="I207" t="str">
        <f t="shared" si="2"/>
        <v/>
      </c>
      <c r="J207" t="str">
        <f t="shared" si="3"/>
        <v/>
      </c>
      <c r="K207" t="str">
        <f t="shared" si="4"/>
        <v/>
      </c>
      <c r="L207" t="str">
        <f t="shared" si="5"/>
        <v/>
      </c>
      <c r="M207" t="str">
        <f t="shared" si="6"/>
        <v/>
      </c>
      <c r="N207" t="str">
        <f t="shared" si="7"/>
        <v/>
      </c>
      <c r="O207" t="str">
        <f t="shared" si="8"/>
        <v/>
      </c>
      <c r="P207" t="str">
        <f t="shared" si="9"/>
        <v/>
      </c>
      <c r="Q207" t="str">
        <f t="shared" si="10"/>
        <v/>
      </c>
      <c r="R207" t="str">
        <f t="shared" si="11"/>
        <v/>
      </c>
      <c r="S207" t="str">
        <f t="shared" si="12"/>
        <v/>
      </c>
      <c r="T207" t="str">
        <f t="shared" si="13"/>
        <v/>
      </c>
      <c r="U207" t="str">
        <f t="shared" si="14"/>
        <v/>
      </c>
      <c r="V207" t="str">
        <f t="shared" si="15"/>
        <v/>
      </c>
      <c r="W207" t="str">
        <f t="shared" si="16"/>
        <v/>
      </c>
      <c r="X207" t="str">
        <f t="shared" si="17"/>
        <v/>
      </c>
      <c r="Y207" t="str">
        <f t="shared" si="18"/>
        <v/>
      </c>
      <c r="Z207" t="str">
        <f t="shared" si="19"/>
        <v/>
      </c>
      <c r="AA207" t="str">
        <f t="shared" si="20"/>
        <v/>
      </c>
      <c r="AB207" t="str">
        <f t="shared" si="21"/>
        <v/>
      </c>
      <c r="AC207" t="str">
        <f t="shared" si="22"/>
        <v/>
      </c>
      <c r="AD207" t="str">
        <f t="shared" si="23"/>
        <v/>
      </c>
      <c r="AE207" t="str">
        <f t="shared" si="24"/>
        <v/>
      </c>
      <c r="AF207" t="str">
        <f t="shared" si="25"/>
        <v/>
      </c>
      <c r="AG207" t="str">
        <f t="shared" si="26"/>
        <v/>
      </c>
      <c r="AH207" s="65" t="str">
        <f t="array" ref="AH207">if(sum(H207:AG207)=0,,sum(sort(TRANSPOSE(H207:AG207),1,false)))</f>
        <v/>
      </c>
    </row>
    <row r="208" hidden="1">
      <c r="F208" s="4">
        <v>76.0</v>
      </c>
      <c r="H208" t="str">
        <f t="shared" si="1"/>
        <v/>
      </c>
      <c r="I208" t="str">
        <f t="shared" si="2"/>
        <v/>
      </c>
      <c r="J208" t="str">
        <f t="shared" si="3"/>
        <v/>
      </c>
      <c r="K208" t="str">
        <f t="shared" si="4"/>
        <v/>
      </c>
      <c r="L208" t="str">
        <f t="shared" si="5"/>
        <v/>
      </c>
      <c r="M208" t="str">
        <f t="shared" si="6"/>
        <v/>
      </c>
      <c r="N208" t="str">
        <f t="shared" si="7"/>
        <v/>
      </c>
      <c r="O208" t="str">
        <f t="shared" si="8"/>
        <v/>
      </c>
      <c r="P208" t="str">
        <f t="shared" si="9"/>
        <v/>
      </c>
      <c r="Q208" t="str">
        <f t="shared" si="10"/>
        <v/>
      </c>
      <c r="R208" t="str">
        <f t="shared" si="11"/>
        <v/>
      </c>
      <c r="S208" t="str">
        <f t="shared" si="12"/>
        <v/>
      </c>
      <c r="T208" t="str">
        <f t="shared" si="13"/>
        <v/>
      </c>
      <c r="U208" t="str">
        <f t="shared" si="14"/>
        <v/>
      </c>
      <c r="V208" t="str">
        <f t="shared" si="15"/>
        <v/>
      </c>
      <c r="W208" t="str">
        <f t="shared" si="16"/>
        <v/>
      </c>
      <c r="X208" t="str">
        <f t="shared" si="17"/>
        <v/>
      </c>
      <c r="Y208" t="str">
        <f t="shared" si="18"/>
        <v/>
      </c>
      <c r="Z208" t="str">
        <f t="shared" si="19"/>
        <v/>
      </c>
      <c r="AA208" t="str">
        <f t="shared" si="20"/>
        <v/>
      </c>
      <c r="AB208" t="str">
        <f t="shared" si="21"/>
        <v/>
      </c>
      <c r="AC208" t="str">
        <f t="shared" si="22"/>
        <v/>
      </c>
      <c r="AD208" t="str">
        <f t="shared" si="23"/>
        <v/>
      </c>
      <c r="AE208" t="str">
        <f t="shared" si="24"/>
        <v/>
      </c>
      <c r="AF208" t="str">
        <f t="shared" si="25"/>
        <v/>
      </c>
      <c r="AG208" t="str">
        <f t="shared" si="26"/>
        <v/>
      </c>
      <c r="AH208" s="65" t="str">
        <f t="array" ref="AH208">if(sum(H208:AG208)=0,,sum(sort(TRANSPOSE(H208:AG208),1,false)))</f>
        <v/>
      </c>
    </row>
    <row r="209" hidden="1">
      <c r="F209" s="4">
        <v>77.0</v>
      </c>
      <c r="H209" t="str">
        <f t="shared" si="1"/>
        <v/>
      </c>
      <c r="I209" t="str">
        <f t="shared" si="2"/>
        <v/>
      </c>
      <c r="J209" t="str">
        <f t="shared" si="3"/>
        <v/>
      </c>
      <c r="K209" t="str">
        <f t="shared" si="4"/>
        <v/>
      </c>
      <c r="L209" t="str">
        <f t="shared" si="5"/>
        <v/>
      </c>
      <c r="M209" t="str">
        <f t="shared" si="6"/>
        <v/>
      </c>
      <c r="N209" t="str">
        <f t="shared" si="7"/>
        <v/>
      </c>
      <c r="O209" t="str">
        <f t="shared" si="8"/>
        <v/>
      </c>
      <c r="P209" t="str">
        <f t="shared" si="9"/>
        <v/>
      </c>
      <c r="Q209" t="str">
        <f t="shared" si="10"/>
        <v/>
      </c>
      <c r="R209" t="str">
        <f t="shared" si="11"/>
        <v/>
      </c>
      <c r="S209" t="str">
        <f t="shared" si="12"/>
        <v/>
      </c>
      <c r="T209" t="str">
        <f t="shared" si="13"/>
        <v/>
      </c>
      <c r="U209" t="str">
        <f t="shared" si="14"/>
        <v/>
      </c>
      <c r="V209" t="str">
        <f t="shared" si="15"/>
        <v/>
      </c>
      <c r="W209" t="str">
        <f t="shared" si="16"/>
        <v/>
      </c>
      <c r="X209" t="str">
        <f t="shared" si="17"/>
        <v/>
      </c>
      <c r="Y209" t="str">
        <f t="shared" si="18"/>
        <v/>
      </c>
      <c r="Z209" t="str">
        <f t="shared" si="19"/>
        <v/>
      </c>
      <c r="AA209" t="str">
        <f t="shared" si="20"/>
        <v/>
      </c>
      <c r="AB209" t="str">
        <f t="shared" si="21"/>
        <v/>
      </c>
      <c r="AC209" t="str">
        <f t="shared" si="22"/>
        <v/>
      </c>
      <c r="AD209" t="str">
        <f t="shared" si="23"/>
        <v/>
      </c>
      <c r="AE209" t="str">
        <f t="shared" si="24"/>
        <v/>
      </c>
      <c r="AF209" t="str">
        <f t="shared" si="25"/>
        <v/>
      </c>
      <c r="AG209" t="str">
        <f t="shared" si="26"/>
        <v/>
      </c>
      <c r="AH209" s="65" t="str">
        <f t="array" ref="AH209">if(sum(H209:AG209)=0,,sum(sort(TRANSPOSE(H209:AG209),1,false)))</f>
        <v/>
      </c>
    </row>
    <row r="210" hidden="1">
      <c r="F210" s="4">
        <v>78.0</v>
      </c>
      <c r="H210" t="str">
        <f t="shared" si="1"/>
        <v/>
      </c>
      <c r="I210" t="str">
        <f t="shared" si="2"/>
        <v/>
      </c>
      <c r="J210" t="str">
        <f t="shared" si="3"/>
        <v/>
      </c>
      <c r="K210" t="str">
        <f t="shared" si="4"/>
        <v/>
      </c>
      <c r="L210" t="str">
        <f t="shared" si="5"/>
        <v/>
      </c>
      <c r="M210" t="str">
        <f t="shared" si="6"/>
        <v/>
      </c>
      <c r="N210" t="str">
        <f t="shared" si="7"/>
        <v/>
      </c>
      <c r="O210" t="str">
        <f t="shared" si="8"/>
        <v/>
      </c>
      <c r="P210" t="str">
        <f t="shared" si="9"/>
        <v/>
      </c>
      <c r="Q210" t="str">
        <f t="shared" si="10"/>
        <v/>
      </c>
      <c r="R210" t="str">
        <f t="shared" si="11"/>
        <v/>
      </c>
      <c r="S210" t="str">
        <f t="shared" si="12"/>
        <v/>
      </c>
      <c r="T210" t="str">
        <f t="shared" si="13"/>
        <v/>
      </c>
      <c r="U210" t="str">
        <f t="shared" si="14"/>
        <v/>
      </c>
      <c r="V210" t="str">
        <f t="shared" si="15"/>
        <v/>
      </c>
      <c r="W210" t="str">
        <f t="shared" si="16"/>
        <v/>
      </c>
      <c r="X210" t="str">
        <f t="shared" si="17"/>
        <v/>
      </c>
      <c r="Y210" t="str">
        <f t="shared" si="18"/>
        <v/>
      </c>
      <c r="Z210" t="str">
        <f t="shared" si="19"/>
        <v/>
      </c>
      <c r="AA210" t="str">
        <f t="shared" si="20"/>
        <v/>
      </c>
      <c r="AB210" t="str">
        <f t="shared" si="21"/>
        <v/>
      </c>
      <c r="AC210" t="str">
        <f t="shared" si="22"/>
        <v/>
      </c>
      <c r="AD210" t="str">
        <f t="shared" si="23"/>
        <v/>
      </c>
      <c r="AE210" t="str">
        <f t="shared" si="24"/>
        <v/>
      </c>
      <c r="AF210" t="str">
        <f t="shared" si="25"/>
        <v/>
      </c>
      <c r="AG210" t="str">
        <f t="shared" si="26"/>
        <v/>
      </c>
      <c r="AH210" s="65" t="str">
        <f t="array" ref="AH210">if(sum(H210:AG210)=0,,sum(sort(TRANSPOSE(H210:AG210),1,false)))</f>
        <v/>
      </c>
    </row>
    <row r="211" hidden="1">
      <c r="F211" s="4">
        <v>79.0</v>
      </c>
      <c r="H211" t="str">
        <f t="shared" si="1"/>
        <v/>
      </c>
      <c r="I211" t="str">
        <f t="shared" si="2"/>
        <v/>
      </c>
      <c r="J211" t="str">
        <f t="shared" si="3"/>
        <v/>
      </c>
      <c r="K211" t="str">
        <f t="shared" si="4"/>
        <v/>
      </c>
      <c r="L211" t="str">
        <f t="shared" si="5"/>
        <v/>
      </c>
      <c r="M211" t="str">
        <f t="shared" si="6"/>
        <v/>
      </c>
      <c r="N211" t="str">
        <f t="shared" si="7"/>
        <v/>
      </c>
      <c r="O211" t="str">
        <f t="shared" si="8"/>
        <v/>
      </c>
      <c r="P211" t="str">
        <f t="shared" si="9"/>
        <v/>
      </c>
      <c r="Q211" t="str">
        <f t="shared" si="10"/>
        <v/>
      </c>
      <c r="R211" t="str">
        <f t="shared" si="11"/>
        <v/>
      </c>
      <c r="S211" t="str">
        <f t="shared" si="12"/>
        <v/>
      </c>
      <c r="T211" t="str">
        <f t="shared" si="13"/>
        <v/>
      </c>
      <c r="U211" t="str">
        <f t="shared" si="14"/>
        <v/>
      </c>
      <c r="V211" t="str">
        <f t="shared" si="15"/>
        <v/>
      </c>
      <c r="W211" t="str">
        <f t="shared" si="16"/>
        <v/>
      </c>
      <c r="X211" t="str">
        <f t="shared" si="17"/>
        <v/>
      </c>
      <c r="Y211" t="str">
        <f t="shared" si="18"/>
        <v/>
      </c>
      <c r="Z211" t="str">
        <f t="shared" si="19"/>
        <v/>
      </c>
      <c r="AA211" t="str">
        <f t="shared" si="20"/>
        <v/>
      </c>
      <c r="AB211" t="str">
        <f t="shared" si="21"/>
        <v/>
      </c>
      <c r="AC211" t="str">
        <f t="shared" si="22"/>
        <v/>
      </c>
      <c r="AD211" t="str">
        <f t="shared" si="23"/>
        <v/>
      </c>
      <c r="AE211" t="str">
        <f t="shared" si="24"/>
        <v/>
      </c>
      <c r="AF211" t="str">
        <f t="shared" si="25"/>
        <v/>
      </c>
      <c r="AG211" t="str">
        <f t="shared" si="26"/>
        <v/>
      </c>
      <c r="AH211" s="65" t="str">
        <f t="array" ref="AH211">if(sum(H211:AG211)=0,,sum(sort(TRANSPOSE(H211:AG211),1,false)))</f>
        <v/>
      </c>
    </row>
    <row r="212" hidden="1">
      <c r="F212" s="4">
        <v>80.0</v>
      </c>
      <c r="H212" t="str">
        <f t="shared" si="1"/>
        <v/>
      </c>
      <c r="I212" t="str">
        <f t="shared" si="2"/>
        <v/>
      </c>
      <c r="J212" t="str">
        <f t="shared" si="3"/>
        <v/>
      </c>
      <c r="K212" t="str">
        <f t="shared" si="4"/>
        <v/>
      </c>
      <c r="L212" t="str">
        <f t="shared" si="5"/>
        <v/>
      </c>
      <c r="M212" t="str">
        <f t="shared" si="6"/>
        <v/>
      </c>
      <c r="N212" t="str">
        <f t="shared" si="7"/>
        <v/>
      </c>
      <c r="O212" t="str">
        <f t="shared" si="8"/>
        <v/>
      </c>
      <c r="P212" t="str">
        <f t="shared" si="9"/>
        <v/>
      </c>
      <c r="Q212" t="str">
        <f t="shared" si="10"/>
        <v/>
      </c>
      <c r="R212" t="str">
        <f t="shared" si="11"/>
        <v/>
      </c>
      <c r="S212" t="str">
        <f t="shared" si="12"/>
        <v/>
      </c>
      <c r="T212" t="str">
        <f t="shared" si="13"/>
        <v/>
      </c>
      <c r="U212" t="str">
        <f t="shared" si="14"/>
        <v/>
      </c>
      <c r="V212" t="str">
        <f t="shared" si="15"/>
        <v/>
      </c>
      <c r="W212" t="str">
        <f t="shared" si="16"/>
        <v/>
      </c>
      <c r="X212" t="str">
        <f t="shared" si="17"/>
        <v/>
      </c>
      <c r="Y212" t="str">
        <f t="shared" si="18"/>
        <v/>
      </c>
      <c r="Z212" t="str">
        <f t="shared" si="19"/>
        <v/>
      </c>
      <c r="AA212" t="str">
        <f t="shared" si="20"/>
        <v/>
      </c>
      <c r="AB212" t="str">
        <f t="shared" si="21"/>
        <v/>
      </c>
      <c r="AC212" t="str">
        <f t="shared" si="22"/>
        <v/>
      </c>
      <c r="AD212" t="str">
        <f t="shared" si="23"/>
        <v/>
      </c>
      <c r="AE212" t="str">
        <f t="shared" si="24"/>
        <v/>
      </c>
      <c r="AF212" t="str">
        <f t="shared" si="25"/>
        <v/>
      </c>
      <c r="AG212" t="str">
        <f t="shared" si="26"/>
        <v/>
      </c>
      <c r="AH212" s="65" t="str">
        <f t="array" ref="AH212">if(sum(H212:AG212)=0,,sum(sort(TRANSPOSE(H212:AG212),1,false)))</f>
        <v/>
      </c>
    </row>
    <row r="213" hidden="1">
      <c r="F213" s="4">
        <v>81.0</v>
      </c>
      <c r="H213" t="str">
        <f t="shared" si="1"/>
        <v/>
      </c>
      <c r="I213" t="str">
        <f t="shared" si="2"/>
        <v/>
      </c>
      <c r="J213" t="str">
        <f t="shared" si="3"/>
        <v/>
      </c>
      <c r="K213" t="str">
        <f t="shared" si="4"/>
        <v/>
      </c>
      <c r="L213" t="str">
        <f t="shared" si="5"/>
        <v/>
      </c>
      <c r="M213" t="str">
        <f t="shared" si="6"/>
        <v/>
      </c>
      <c r="N213" t="str">
        <f t="shared" si="7"/>
        <v/>
      </c>
      <c r="O213" t="str">
        <f t="shared" si="8"/>
        <v/>
      </c>
      <c r="P213" t="str">
        <f t="shared" si="9"/>
        <v/>
      </c>
      <c r="Q213" t="str">
        <f t="shared" si="10"/>
        <v/>
      </c>
      <c r="R213" t="str">
        <f t="shared" si="11"/>
        <v/>
      </c>
      <c r="S213" t="str">
        <f t="shared" si="12"/>
        <v/>
      </c>
      <c r="T213" t="str">
        <f t="shared" si="13"/>
        <v/>
      </c>
      <c r="U213" t="str">
        <f t="shared" si="14"/>
        <v/>
      </c>
      <c r="V213" t="str">
        <f t="shared" si="15"/>
        <v/>
      </c>
      <c r="W213" t="str">
        <f t="shared" si="16"/>
        <v/>
      </c>
      <c r="X213" t="str">
        <f t="shared" si="17"/>
        <v/>
      </c>
      <c r="Y213" t="str">
        <f t="shared" si="18"/>
        <v/>
      </c>
      <c r="Z213" t="str">
        <f t="shared" si="19"/>
        <v/>
      </c>
      <c r="AA213" t="str">
        <f t="shared" si="20"/>
        <v/>
      </c>
      <c r="AB213" t="str">
        <f t="shared" si="21"/>
        <v/>
      </c>
      <c r="AC213" t="str">
        <f t="shared" si="22"/>
        <v/>
      </c>
      <c r="AD213" t="str">
        <f t="shared" si="23"/>
        <v/>
      </c>
      <c r="AE213" t="str">
        <f t="shared" si="24"/>
        <v/>
      </c>
      <c r="AF213" t="str">
        <f t="shared" si="25"/>
        <v/>
      </c>
      <c r="AG213" t="str">
        <f t="shared" si="26"/>
        <v/>
      </c>
      <c r="AH213" s="65" t="str">
        <f t="array" ref="AH213">if(sum(H213:AG213)=0,,sum(sort(TRANSPOSE(H213:AG213),1,false)))</f>
        <v/>
      </c>
    </row>
    <row r="214" hidden="1">
      <c r="F214" s="4">
        <v>82.0</v>
      </c>
      <c r="H214" t="str">
        <f t="shared" si="1"/>
        <v/>
      </c>
      <c r="I214" t="str">
        <f t="shared" si="2"/>
        <v/>
      </c>
      <c r="J214" t="str">
        <f t="shared" si="3"/>
        <v/>
      </c>
      <c r="K214" t="str">
        <f t="shared" si="4"/>
        <v/>
      </c>
      <c r="L214" t="str">
        <f t="shared" si="5"/>
        <v/>
      </c>
      <c r="M214" t="str">
        <f t="shared" si="6"/>
        <v/>
      </c>
      <c r="N214" t="str">
        <f t="shared" si="7"/>
        <v/>
      </c>
      <c r="O214" t="str">
        <f t="shared" si="8"/>
        <v/>
      </c>
      <c r="P214" t="str">
        <f t="shared" si="9"/>
        <v/>
      </c>
      <c r="Q214" t="str">
        <f t="shared" si="10"/>
        <v/>
      </c>
      <c r="R214" t="str">
        <f t="shared" si="11"/>
        <v/>
      </c>
      <c r="S214" t="str">
        <f t="shared" si="12"/>
        <v/>
      </c>
      <c r="T214" t="str">
        <f t="shared" si="13"/>
        <v/>
      </c>
      <c r="U214" t="str">
        <f t="shared" si="14"/>
        <v/>
      </c>
      <c r="V214" t="str">
        <f t="shared" si="15"/>
        <v/>
      </c>
      <c r="W214" t="str">
        <f t="shared" si="16"/>
        <v/>
      </c>
      <c r="X214" t="str">
        <f t="shared" si="17"/>
        <v/>
      </c>
      <c r="Y214" t="str">
        <f t="shared" si="18"/>
        <v/>
      </c>
      <c r="Z214" t="str">
        <f t="shared" si="19"/>
        <v/>
      </c>
      <c r="AA214" t="str">
        <f t="shared" si="20"/>
        <v/>
      </c>
      <c r="AB214" t="str">
        <f t="shared" si="21"/>
        <v/>
      </c>
      <c r="AC214" t="str">
        <f t="shared" si="22"/>
        <v/>
      </c>
      <c r="AD214" t="str">
        <f t="shared" si="23"/>
        <v/>
      </c>
      <c r="AE214" t="str">
        <f t="shared" si="24"/>
        <v/>
      </c>
      <c r="AF214" t="str">
        <f t="shared" si="25"/>
        <v/>
      </c>
      <c r="AG214" t="str">
        <f t="shared" si="26"/>
        <v/>
      </c>
      <c r="AH214" s="65" t="str">
        <f t="array" ref="AH214">if(sum(H214:AG214)=0,,sum(sort(TRANSPOSE(H214:AG214),1,false)))</f>
        <v/>
      </c>
    </row>
    <row r="215" hidden="1">
      <c r="F215" s="4">
        <v>83.0</v>
      </c>
      <c r="H215" t="str">
        <f t="shared" si="1"/>
        <v/>
      </c>
      <c r="I215" t="str">
        <f t="shared" si="2"/>
        <v/>
      </c>
      <c r="J215" t="str">
        <f t="shared" si="3"/>
        <v/>
      </c>
      <c r="K215" t="str">
        <f t="shared" si="4"/>
        <v/>
      </c>
      <c r="L215" t="str">
        <f t="shared" si="5"/>
        <v/>
      </c>
      <c r="M215" t="str">
        <f t="shared" si="6"/>
        <v/>
      </c>
      <c r="N215" t="str">
        <f t="shared" si="7"/>
        <v/>
      </c>
      <c r="O215" t="str">
        <f t="shared" si="8"/>
        <v/>
      </c>
      <c r="P215" t="str">
        <f t="shared" si="9"/>
        <v/>
      </c>
      <c r="Q215" t="str">
        <f t="shared" si="10"/>
        <v/>
      </c>
      <c r="R215" t="str">
        <f t="shared" si="11"/>
        <v/>
      </c>
      <c r="S215" t="str">
        <f t="shared" si="12"/>
        <v/>
      </c>
      <c r="T215" t="str">
        <f t="shared" si="13"/>
        <v/>
      </c>
      <c r="U215" t="str">
        <f t="shared" si="14"/>
        <v/>
      </c>
      <c r="V215" t="str">
        <f t="shared" si="15"/>
        <v/>
      </c>
      <c r="W215" t="str">
        <f t="shared" si="16"/>
        <v/>
      </c>
      <c r="X215" t="str">
        <f t="shared" si="17"/>
        <v/>
      </c>
      <c r="Y215" t="str">
        <f t="shared" si="18"/>
        <v/>
      </c>
      <c r="Z215" t="str">
        <f t="shared" si="19"/>
        <v/>
      </c>
      <c r="AA215" t="str">
        <f t="shared" si="20"/>
        <v/>
      </c>
      <c r="AB215" t="str">
        <f t="shared" si="21"/>
        <v/>
      </c>
      <c r="AC215" t="str">
        <f t="shared" si="22"/>
        <v/>
      </c>
      <c r="AD215" t="str">
        <f t="shared" si="23"/>
        <v/>
      </c>
      <c r="AE215" t="str">
        <f t="shared" si="24"/>
        <v/>
      </c>
      <c r="AF215" t="str">
        <f t="shared" si="25"/>
        <v/>
      </c>
      <c r="AG215" t="str">
        <f t="shared" si="26"/>
        <v/>
      </c>
      <c r="AH215" s="65" t="str">
        <f t="array" ref="AH215">if(sum(H215:AG215)=0,,sum(sort(TRANSPOSE(H215:AG215),1,false)))</f>
        <v/>
      </c>
    </row>
    <row r="216" hidden="1">
      <c r="F216" s="4">
        <v>84.0</v>
      </c>
      <c r="H216" t="str">
        <f t="shared" si="1"/>
        <v/>
      </c>
      <c r="I216" t="str">
        <f t="shared" si="2"/>
        <v/>
      </c>
      <c r="J216" t="str">
        <f t="shared" si="3"/>
        <v/>
      </c>
      <c r="K216" t="str">
        <f t="shared" si="4"/>
        <v/>
      </c>
      <c r="L216" t="str">
        <f t="shared" si="5"/>
        <v/>
      </c>
      <c r="M216" t="str">
        <f t="shared" si="6"/>
        <v/>
      </c>
      <c r="N216" t="str">
        <f t="shared" si="7"/>
        <v/>
      </c>
      <c r="O216" t="str">
        <f t="shared" si="8"/>
        <v/>
      </c>
      <c r="P216" t="str">
        <f t="shared" si="9"/>
        <v/>
      </c>
      <c r="Q216" t="str">
        <f t="shared" si="10"/>
        <v/>
      </c>
      <c r="R216" t="str">
        <f t="shared" si="11"/>
        <v/>
      </c>
      <c r="S216" t="str">
        <f t="shared" si="12"/>
        <v/>
      </c>
      <c r="T216" t="str">
        <f t="shared" si="13"/>
        <v/>
      </c>
      <c r="U216" t="str">
        <f t="shared" si="14"/>
        <v/>
      </c>
      <c r="V216" t="str">
        <f t="shared" si="15"/>
        <v/>
      </c>
      <c r="W216" t="str">
        <f t="shared" si="16"/>
        <v/>
      </c>
      <c r="X216" t="str">
        <f t="shared" si="17"/>
        <v/>
      </c>
      <c r="Y216" t="str">
        <f t="shared" si="18"/>
        <v/>
      </c>
      <c r="Z216" t="str">
        <f t="shared" si="19"/>
        <v/>
      </c>
      <c r="AA216" t="str">
        <f t="shared" si="20"/>
        <v/>
      </c>
      <c r="AB216" t="str">
        <f t="shared" si="21"/>
        <v/>
      </c>
      <c r="AC216" t="str">
        <f t="shared" si="22"/>
        <v/>
      </c>
      <c r="AD216" t="str">
        <f t="shared" si="23"/>
        <v/>
      </c>
      <c r="AE216" t="str">
        <f t="shared" si="24"/>
        <v/>
      </c>
      <c r="AF216" t="str">
        <f t="shared" si="25"/>
        <v/>
      </c>
      <c r="AG216" t="str">
        <f t="shared" si="26"/>
        <v/>
      </c>
      <c r="AH216" s="65" t="str">
        <f t="array" ref="AH216">if(sum(H216:AG216)=0,,sum(sort(TRANSPOSE(H216:AG216),1,false)))</f>
        <v/>
      </c>
    </row>
    <row r="217" hidden="1">
      <c r="F217" s="4">
        <v>85.0</v>
      </c>
      <c r="H217" t="str">
        <f t="shared" si="1"/>
        <v/>
      </c>
      <c r="I217" t="str">
        <f t="shared" si="2"/>
        <v/>
      </c>
      <c r="J217" t="str">
        <f t="shared" si="3"/>
        <v/>
      </c>
      <c r="K217" t="str">
        <f t="shared" si="4"/>
        <v/>
      </c>
      <c r="L217" t="str">
        <f t="shared" si="5"/>
        <v/>
      </c>
      <c r="M217" t="str">
        <f t="shared" si="6"/>
        <v/>
      </c>
      <c r="N217" t="str">
        <f t="shared" si="7"/>
        <v/>
      </c>
      <c r="O217" t="str">
        <f t="shared" si="8"/>
        <v/>
      </c>
      <c r="P217" t="str">
        <f t="shared" si="9"/>
        <v/>
      </c>
      <c r="Q217" t="str">
        <f t="shared" si="10"/>
        <v/>
      </c>
      <c r="R217" t="str">
        <f t="shared" si="11"/>
        <v/>
      </c>
      <c r="S217" t="str">
        <f t="shared" si="12"/>
        <v/>
      </c>
      <c r="T217" t="str">
        <f t="shared" si="13"/>
        <v/>
      </c>
      <c r="U217" t="str">
        <f t="shared" si="14"/>
        <v/>
      </c>
      <c r="V217" t="str">
        <f t="shared" si="15"/>
        <v/>
      </c>
      <c r="W217" t="str">
        <f t="shared" si="16"/>
        <v/>
      </c>
      <c r="X217" t="str">
        <f t="shared" si="17"/>
        <v/>
      </c>
      <c r="Y217" t="str">
        <f t="shared" si="18"/>
        <v/>
      </c>
      <c r="Z217" t="str">
        <f t="shared" si="19"/>
        <v/>
      </c>
      <c r="AA217" t="str">
        <f t="shared" si="20"/>
        <v/>
      </c>
      <c r="AB217" t="str">
        <f t="shared" si="21"/>
        <v/>
      </c>
      <c r="AC217" t="str">
        <f t="shared" si="22"/>
        <v/>
      </c>
      <c r="AD217" t="str">
        <f t="shared" si="23"/>
        <v/>
      </c>
      <c r="AE217" t="str">
        <f t="shared" si="24"/>
        <v/>
      </c>
      <c r="AF217" t="str">
        <f t="shared" si="25"/>
        <v/>
      </c>
      <c r="AG217" t="str">
        <f t="shared" si="26"/>
        <v/>
      </c>
      <c r="AH217" s="65" t="str">
        <f t="array" ref="AH217">if(sum(H217:AG217)=0,,sum(sort(TRANSPOSE(H217:AG217),1,false)))</f>
        <v/>
      </c>
    </row>
    <row r="218" hidden="1">
      <c r="F218" s="4">
        <v>86.0</v>
      </c>
      <c r="H218" t="str">
        <f t="shared" si="1"/>
        <v/>
      </c>
      <c r="I218" t="str">
        <f t="shared" si="2"/>
        <v/>
      </c>
      <c r="J218" t="str">
        <f t="shared" si="3"/>
        <v/>
      </c>
      <c r="K218" t="str">
        <f t="shared" si="4"/>
        <v/>
      </c>
      <c r="L218" t="str">
        <f t="shared" si="5"/>
        <v/>
      </c>
      <c r="M218" t="str">
        <f t="shared" si="6"/>
        <v/>
      </c>
      <c r="N218" t="str">
        <f t="shared" si="7"/>
        <v/>
      </c>
      <c r="O218" t="str">
        <f t="shared" si="8"/>
        <v/>
      </c>
      <c r="P218" t="str">
        <f t="shared" si="9"/>
        <v/>
      </c>
      <c r="Q218" t="str">
        <f t="shared" si="10"/>
        <v/>
      </c>
      <c r="R218" t="str">
        <f t="shared" si="11"/>
        <v/>
      </c>
      <c r="S218" t="str">
        <f t="shared" si="12"/>
        <v/>
      </c>
      <c r="T218" t="str">
        <f t="shared" si="13"/>
        <v/>
      </c>
      <c r="U218" t="str">
        <f t="shared" si="14"/>
        <v/>
      </c>
      <c r="V218" t="str">
        <f t="shared" si="15"/>
        <v/>
      </c>
      <c r="W218" t="str">
        <f t="shared" si="16"/>
        <v/>
      </c>
      <c r="X218" t="str">
        <f t="shared" si="17"/>
        <v/>
      </c>
      <c r="Y218" t="str">
        <f t="shared" si="18"/>
        <v/>
      </c>
      <c r="Z218" t="str">
        <f t="shared" si="19"/>
        <v/>
      </c>
      <c r="AA218" t="str">
        <f t="shared" si="20"/>
        <v/>
      </c>
      <c r="AB218" t="str">
        <f t="shared" si="21"/>
        <v/>
      </c>
      <c r="AC218" t="str">
        <f t="shared" si="22"/>
        <v/>
      </c>
      <c r="AD218" t="str">
        <f t="shared" si="23"/>
        <v/>
      </c>
      <c r="AE218" t="str">
        <f t="shared" si="24"/>
        <v/>
      </c>
      <c r="AF218" t="str">
        <f t="shared" si="25"/>
        <v/>
      </c>
      <c r="AG218" t="str">
        <f t="shared" si="26"/>
        <v/>
      </c>
      <c r="AH218" s="65" t="str">
        <f t="array" ref="AH218">if(sum(H218:AG218)=0,,sum(sort(TRANSPOSE(H218:AG218),1,false)))</f>
        <v/>
      </c>
    </row>
    <row r="219" hidden="1">
      <c r="F219" s="4">
        <v>87.0</v>
      </c>
      <c r="H219" t="str">
        <f t="shared" si="1"/>
        <v/>
      </c>
      <c r="I219" t="str">
        <f t="shared" si="2"/>
        <v/>
      </c>
      <c r="J219" t="str">
        <f t="shared" si="3"/>
        <v/>
      </c>
      <c r="K219" t="str">
        <f t="shared" si="4"/>
        <v/>
      </c>
      <c r="L219" t="str">
        <f t="shared" si="5"/>
        <v/>
      </c>
      <c r="M219" t="str">
        <f t="shared" si="6"/>
        <v/>
      </c>
      <c r="N219" t="str">
        <f t="shared" si="7"/>
        <v/>
      </c>
      <c r="O219" t="str">
        <f t="shared" si="8"/>
        <v/>
      </c>
      <c r="P219" t="str">
        <f t="shared" si="9"/>
        <v/>
      </c>
      <c r="Q219" t="str">
        <f t="shared" si="10"/>
        <v/>
      </c>
      <c r="R219" t="str">
        <f t="shared" si="11"/>
        <v/>
      </c>
      <c r="S219" t="str">
        <f t="shared" si="12"/>
        <v/>
      </c>
      <c r="T219" t="str">
        <f t="shared" si="13"/>
        <v/>
      </c>
      <c r="U219" t="str">
        <f t="shared" si="14"/>
        <v/>
      </c>
      <c r="V219" t="str">
        <f t="shared" si="15"/>
        <v/>
      </c>
      <c r="W219" t="str">
        <f t="shared" si="16"/>
        <v/>
      </c>
      <c r="X219" t="str">
        <f t="shared" si="17"/>
        <v/>
      </c>
      <c r="Y219" t="str">
        <f t="shared" si="18"/>
        <v/>
      </c>
      <c r="Z219" t="str">
        <f t="shared" si="19"/>
        <v/>
      </c>
      <c r="AA219" t="str">
        <f t="shared" si="20"/>
        <v/>
      </c>
      <c r="AB219" t="str">
        <f t="shared" si="21"/>
        <v/>
      </c>
      <c r="AC219" t="str">
        <f t="shared" si="22"/>
        <v/>
      </c>
      <c r="AD219" t="str">
        <f t="shared" si="23"/>
        <v/>
      </c>
      <c r="AE219" t="str">
        <f t="shared" si="24"/>
        <v/>
      </c>
      <c r="AF219" t="str">
        <f t="shared" si="25"/>
        <v/>
      </c>
      <c r="AG219" t="str">
        <f t="shared" si="26"/>
        <v/>
      </c>
      <c r="AH219" s="65" t="str">
        <f t="array" ref="AH219">if(sum(H219:AG219)=0,,sum(sort(TRANSPOSE(H219:AG219),1,false)))</f>
        <v/>
      </c>
    </row>
    <row r="220" hidden="1">
      <c r="F220" s="4">
        <v>88.0</v>
      </c>
      <c r="H220" t="str">
        <f t="shared" si="1"/>
        <v/>
      </c>
      <c r="I220" t="str">
        <f t="shared" si="2"/>
        <v/>
      </c>
      <c r="J220" t="str">
        <f t="shared" si="3"/>
        <v/>
      </c>
      <c r="K220" t="str">
        <f t="shared" si="4"/>
        <v/>
      </c>
      <c r="L220" t="str">
        <f t="shared" si="5"/>
        <v/>
      </c>
      <c r="M220" t="str">
        <f t="shared" si="6"/>
        <v/>
      </c>
      <c r="N220" t="str">
        <f t="shared" si="7"/>
        <v/>
      </c>
      <c r="O220" t="str">
        <f t="shared" si="8"/>
        <v/>
      </c>
      <c r="P220" t="str">
        <f t="shared" si="9"/>
        <v/>
      </c>
      <c r="Q220" t="str">
        <f t="shared" si="10"/>
        <v/>
      </c>
      <c r="R220" t="str">
        <f t="shared" si="11"/>
        <v/>
      </c>
      <c r="S220" t="str">
        <f t="shared" si="12"/>
        <v/>
      </c>
      <c r="T220" t="str">
        <f t="shared" si="13"/>
        <v/>
      </c>
      <c r="U220" t="str">
        <f t="shared" si="14"/>
        <v/>
      </c>
      <c r="V220" t="str">
        <f t="shared" si="15"/>
        <v/>
      </c>
      <c r="W220" t="str">
        <f t="shared" si="16"/>
        <v/>
      </c>
      <c r="X220" t="str">
        <f t="shared" si="17"/>
        <v/>
      </c>
      <c r="Y220" t="str">
        <f t="shared" si="18"/>
        <v/>
      </c>
      <c r="Z220" t="str">
        <f t="shared" si="19"/>
        <v/>
      </c>
      <c r="AA220" t="str">
        <f t="shared" si="20"/>
        <v/>
      </c>
      <c r="AB220" t="str">
        <f t="shared" si="21"/>
        <v/>
      </c>
      <c r="AC220" t="str">
        <f t="shared" si="22"/>
        <v/>
      </c>
      <c r="AD220" t="str">
        <f t="shared" si="23"/>
        <v/>
      </c>
      <c r="AE220" t="str">
        <f t="shared" si="24"/>
        <v/>
      </c>
      <c r="AF220" t="str">
        <f t="shared" si="25"/>
        <v/>
      </c>
      <c r="AG220" t="str">
        <f t="shared" si="26"/>
        <v/>
      </c>
      <c r="AH220" s="65" t="str">
        <f t="array" ref="AH220">if(sum(H220:AG220)=0,,sum(sort(TRANSPOSE(H220:AG220),1,false)))</f>
        <v/>
      </c>
    </row>
    <row r="221" hidden="1">
      <c r="F221" s="4">
        <v>89.0</v>
      </c>
      <c r="H221" t="str">
        <f t="shared" si="1"/>
        <v/>
      </c>
      <c r="I221" t="str">
        <f t="shared" si="2"/>
        <v/>
      </c>
      <c r="J221" t="str">
        <f t="shared" si="3"/>
        <v/>
      </c>
      <c r="K221" t="str">
        <f t="shared" si="4"/>
        <v/>
      </c>
      <c r="L221" t="str">
        <f t="shared" si="5"/>
        <v/>
      </c>
      <c r="M221" t="str">
        <f t="shared" si="6"/>
        <v/>
      </c>
      <c r="N221" t="str">
        <f t="shared" si="7"/>
        <v/>
      </c>
      <c r="O221" t="str">
        <f t="shared" si="8"/>
        <v/>
      </c>
      <c r="P221" t="str">
        <f t="shared" si="9"/>
        <v/>
      </c>
      <c r="Q221" t="str">
        <f t="shared" si="10"/>
        <v/>
      </c>
      <c r="R221" t="str">
        <f t="shared" si="11"/>
        <v/>
      </c>
      <c r="S221" t="str">
        <f t="shared" si="12"/>
        <v/>
      </c>
      <c r="T221" t="str">
        <f t="shared" si="13"/>
        <v/>
      </c>
      <c r="U221" t="str">
        <f t="shared" si="14"/>
        <v/>
      </c>
      <c r="V221" t="str">
        <f t="shared" si="15"/>
        <v/>
      </c>
      <c r="W221" t="str">
        <f t="shared" si="16"/>
        <v/>
      </c>
      <c r="X221" t="str">
        <f t="shared" si="17"/>
        <v/>
      </c>
      <c r="Y221" t="str">
        <f t="shared" si="18"/>
        <v/>
      </c>
      <c r="Z221" t="str">
        <f t="shared" si="19"/>
        <v/>
      </c>
      <c r="AA221" t="str">
        <f t="shared" si="20"/>
        <v/>
      </c>
      <c r="AB221" t="str">
        <f t="shared" si="21"/>
        <v/>
      </c>
      <c r="AC221" t="str">
        <f t="shared" si="22"/>
        <v/>
      </c>
      <c r="AD221" t="str">
        <f t="shared" si="23"/>
        <v/>
      </c>
      <c r="AE221" t="str">
        <f t="shared" si="24"/>
        <v/>
      </c>
      <c r="AF221" t="str">
        <f t="shared" si="25"/>
        <v/>
      </c>
      <c r="AG221" t="str">
        <f t="shared" si="26"/>
        <v/>
      </c>
      <c r="AH221" s="65" t="str">
        <f t="array" ref="AH221">if(sum(H221:AG221)=0,,sum(sort(TRANSPOSE(H221:AG221),1,false)))</f>
        <v/>
      </c>
    </row>
    <row r="222" hidden="1">
      <c r="F222" s="4">
        <v>90.0</v>
      </c>
      <c r="H222" t="str">
        <f t="shared" si="1"/>
        <v/>
      </c>
      <c r="I222" t="str">
        <f t="shared" si="2"/>
        <v/>
      </c>
      <c r="J222" t="str">
        <f t="shared" si="3"/>
        <v/>
      </c>
      <c r="K222" t="str">
        <f t="shared" si="4"/>
        <v/>
      </c>
      <c r="L222" t="str">
        <f t="shared" si="5"/>
        <v/>
      </c>
      <c r="M222" t="str">
        <f t="shared" si="6"/>
        <v/>
      </c>
      <c r="N222" t="str">
        <f t="shared" si="7"/>
        <v/>
      </c>
      <c r="O222" t="str">
        <f t="shared" si="8"/>
        <v/>
      </c>
      <c r="P222" t="str">
        <f t="shared" si="9"/>
        <v/>
      </c>
      <c r="Q222" t="str">
        <f t="shared" si="10"/>
        <v/>
      </c>
      <c r="R222" t="str">
        <f t="shared" si="11"/>
        <v/>
      </c>
      <c r="S222" t="str">
        <f t="shared" si="12"/>
        <v/>
      </c>
      <c r="T222" t="str">
        <f t="shared" si="13"/>
        <v/>
      </c>
      <c r="U222" t="str">
        <f t="shared" si="14"/>
        <v/>
      </c>
      <c r="V222" t="str">
        <f t="shared" si="15"/>
        <v/>
      </c>
      <c r="W222" t="str">
        <f t="shared" si="16"/>
        <v/>
      </c>
      <c r="X222" t="str">
        <f t="shared" si="17"/>
        <v/>
      </c>
      <c r="Y222" t="str">
        <f t="shared" si="18"/>
        <v/>
      </c>
      <c r="Z222" t="str">
        <f t="shared" si="19"/>
        <v/>
      </c>
      <c r="AA222" t="str">
        <f t="shared" si="20"/>
        <v/>
      </c>
      <c r="AB222" t="str">
        <f t="shared" si="21"/>
        <v/>
      </c>
      <c r="AC222" t="str">
        <f t="shared" si="22"/>
        <v/>
      </c>
      <c r="AD222" t="str">
        <f t="shared" si="23"/>
        <v/>
      </c>
      <c r="AE222" t="str">
        <f t="shared" si="24"/>
        <v/>
      </c>
      <c r="AF222" t="str">
        <f t="shared" si="25"/>
        <v/>
      </c>
      <c r="AG222" t="str">
        <f t="shared" si="26"/>
        <v/>
      </c>
      <c r="AH222" s="65" t="str">
        <f t="array" ref="AH222">if(sum(H222:AG222)=0,,sum(sort(TRANSPOSE(H222:AG222),1,false)))</f>
        <v/>
      </c>
    </row>
    <row r="223" hidden="1">
      <c r="F223" s="4">
        <v>91.0</v>
      </c>
      <c r="H223" t="str">
        <f t="shared" si="1"/>
        <v/>
      </c>
      <c r="I223" t="str">
        <f t="shared" si="2"/>
        <v/>
      </c>
      <c r="J223" t="str">
        <f t="shared" si="3"/>
        <v/>
      </c>
      <c r="K223" t="str">
        <f t="shared" si="4"/>
        <v/>
      </c>
      <c r="L223" t="str">
        <f t="shared" si="5"/>
        <v/>
      </c>
      <c r="M223" t="str">
        <f t="shared" si="6"/>
        <v/>
      </c>
      <c r="N223" t="str">
        <f t="shared" si="7"/>
        <v/>
      </c>
      <c r="O223" t="str">
        <f t="shared" si="8"/>
        <v/>
      </c>
      <c r="P223" t="str">
        <f t="shared" si="9"/>
        <v/>
      </c>
      <c r="Q223" t="str">
        <f t="shared" si="10"/>
        <v/>
      </c>
      <c r="R223" t="str">
        <f t="shared" si="11"/>
        <v/>
      </c>
      <c r="S223" t="str">
        <f t="shared" si="12"/>
        <v/>
      </c>
      <c r="T223" t="str">
        <f t="shared" si="13"/>
        <v/>
      </c>
      <c r="U223" t="str">
        <f t="shared" si="14"/>
        <v/>
      </c>
      <c r="V223" t="str">
        <f t="shared" si="15"/>
        <v/>
      </c>
      <c r="W223" t="str">
        <f t="shared" si="16"/>
        <v/>
      </c>
      <c r="X223" t="str">
        <f t="shared" si="17"/>
        <v/>
      </c>
      <c r="Y223" t="str">
        <f t="shared" si="18"/>
        <v/>
      </c>
      <c r="Z223" t="str">
        <f t="shared" si="19"/>
        <v/>
      </c>
      <c r="AA223" t="str">
        <f t="shared" si="20"/>
        <v/>
      </c>
      <c r="AB223" t="str">
        <f t="shared" si="21"/>
        <v/>
      </c>
      <c r="AC223" t="str">
        <f t="shared" si="22"/>
        <v/>
      </c>
      <c r="AD223" t="str">
        <f t="shared" si="23"/>
        <v/>
      </c>
      <c r="AE223" t="str">
        <f t="shared" si="24"/>
        <v/>
      </c>
      <c r="AF223" t="str">
        <f t="shared" si="25"/>
        <v/>
      </c>
      <c r="AG223" t="str">
        <f t="shared" si="26"/>
        <v/>
      </c>
      <c r="AH223" s="65" t="str">
        <f t="array" ref="AH223">if(sum(H223:AG223)=0,,sum(sort(TRANSPOSE(H223:AG223),1,false)))</f>
        <v/>
      </c>
    </row>
    <row r="224" hidden="1">
      <c r="F224" s="4">
        <v>92.0</v>
      </c>
      <c r="H224" t="str">
        <f t="shared" si="1"/>
        <v/>
      </c>
      <c r="I224" t="str">
        <f t="shared" si="2"/>
        <v/>
      </c>
      <c r="J224" t="str">
        <f t="shared" si="3"/>
        <v/>
      </c>
      <c r="K224" t="str">
        <f t="shared" si="4"/>
        <v/>
      </c>
      <c r="L224" t="str">
        <f t="shared" si="5"/>
        <v/>
      </c>
      <c r="M224" t="str">
        <f t="shared" si="6"/>
        <v/>
      </c>
      <c r="N224" t="str">
        <f t="shared" si="7"/>
        <v/>
      </c>
      <c r="O224" t="str">
        <f t="shared" si="8"/>
        <v/>
      </c>
      <c r="P224" t="str">
        <f t="shared" si="9"/>
        <v/>
      </c>
      <c r="Q224" t="str">
        <f t="shared" si="10"/>
        <v/>
      </c>
      <c r="R224" t="str">
        <f t="shared" si="11"/>
        <v/>
      </c>
      <c r="S224" t="str">
        <f t="shared" si="12"/>
        <v/>
      </c>
      <c r="T224" t="str">
        <f t="shared" si="13"/>
        <v/>
      </c>
      <c r="U224" t="str">
        <f t="shared" si="14"/>
        <v/>
      </c>
      <c r="V224" t="str">
        <f t="shared" si="15"/>
        <v/>
      </c>
      <c r="W224" t="str">
        <f t="shared" si="16"/>
        <v/>
      </c>
      <c r="X224" t="str">
        <f t="shared" si="17"/>
        <v/>
      </c>
      <c r="Y224" t="str">
        <f t="shared" si="18"/>
        <v/>
      </c>
      <c r="Z224" t="str">
        <f t="shared" si="19"/>
        <v/>
      </c>
      <c r="AA224" t="str">
        <f t="shared" si="20"/>
        <v/>
      </c>
      <c r="AB224" t="str">
        <f t="shared" si="21"/>
        <v/>
      </c>
      <c r="AC224" t="str">
        <f t="shared" si="22"/>
        <v/>
      </c>
      <c r="AD224" t="str">
        <f t="shared" si="23"/>
        <v/>
      </c>
      <c r="AE224" t="str">
        <f t="shared" si="24"/>
        <v/>
      </c>
      <c r="AF224" t="str">
        <f t="shared" si="25"/>
        <v/>
      </c>
      <c r="AG224" t="str">
        <f t="shared" si="26"/>
        <v/>
      </c>
      <c r="AH224" s="65" t="str">
        <f t="array" ref="AH224">if(sum(H224:AG224)=0,,sum(sort(TRANSPOSE(H224:AG224),1,false)))</f>
        <v/>
      </c>
    </row>
    <row r="225" hidden="1">
      <c r="F225" s="4">
        <v>93.0</v>
      </c>
      <c r="H225" t="str">
        <f t="shared" si="1"/>
        <v/>
      </c>
      <c r="I225" t="str">
        <f t="shared" si="2"/>
        <v/>
      </c>
      <c r="J225" t="str">
        <f t="shared" si="3"/>
        <v/>
      </c>
      <c r="K225" t="str">
        <f t="shared" si="4"/>
        <v/>
      </c>
      <c r="L225" t="str">
        <f t="shared" si="5"/>
        <v/>
      </c>
      <c r="M225" t="str">
        <f t="shared" si="6"/>
        <v/>
      </c>
      <c r="N225" t="str">
        <f t="shared" si="7"/>
        <v/>
      </c>
      <c r="O225" t="str">
        <f t="shared" si="8"/>
        <v/>
      </c>
      <c r="P225" t="str">
        <f t="shared" si="9"/>
        <v/>
      </c>
      <c r="Q225" t="str">
        <f t="shared" si="10"/>
        <v/>
      </c>
      <c r="R225" t="str">
        <f t="shared" si="11"/>
        <v/>
      </c>
      <c r="S225" t="str">
        <f t="shared" si="12"/>
        <v/>
      </c>
      <c r="T225" t="str">
        <f t="shared" si="13"/>
        <v/>
      </c>
      <c r="U225" t="str">
        <f t="shared" si="14"/>
        <v/>
      </c>
      <c r="V225" t="str">
        <f t="shared" si="15"/>
        <v/>
      </c>
      <c r="W225" t="str">
        <f t="shared" si="16"/>
        <v/>
      </c>
      <c r="X225" t="str">
        <f t="shared" si="17"/>
        <v/>
      </c>
      <c r="Y225" t="str">
        <f t="shared" si="18"/>
        <v/>
      </c>
      <c r="Z225" t="str">
        <f t="shared" si="19"/>
        <v/>
      </c>
      <c r="AA225" t="str">
        <f t="shared" si="20"/>
        <v/>
      </c>
      <c r="AB225" t="str">
        <f t="shared" si="21"/>
        <v/>
      </c>
      <c r="AC225" t="str">
        <f t="shared" si="22"/>
        <v/>
      </c>
      <c r="AD225" t="str">
        <f t="shared" si="23"/>
        <v/>
      </c>
      <c r="AE225" t="str">
        <f t="shared" si="24"/>
        <v/>
      </c>
      <c r="AF225" t="str">
        <f t="shared" si="25"/>
        <v/>
      </c>
      <c r="AG225" t="str">
        <f t="shared" si="26"/>
        <v/>
      </c>
      <c r="AH225" s="65" t="str">
        <f t="array" ref="AH225">if(sum(H225:AG225)=0,,sum(sort(TRANSPOSE(H225:AG225),1,false)))</f>
        <v/>
      </c>
    </row>
    <row r="226" hidden="1">
      <c r="F226" s="4">
        <v>94.0</v>
      </c>
      <c r="H226" t="str">
        <f t="shared" si="1"/>
        <v/>
      </c>
      <c r="I226" t="str">
        <f t="shared" si="2"/>
        <v/>
      </c>
      <c r="J226" t="str">
        <f t="shared" si="3"/>
        <v/>
      </c>
      <c r="K226" t="str">
        <f t="shared" si="4"/>
        <v/>
      </c>
      <c r="L226" t="str">
        <f t="shared" si="5"/>
        <v/>
      </c>
      <c r="M226" t="str">
        <f t="shared" si="6"/>
        <v/>
      </c>
      <c r="N226" t="str">
        <f t="shared" si="7"/>
        <v/>
      </c>
      <c r="O226" t="str">
        <f t="shared" si="8"/>
        <v/>
      </c>
      <c r="P226" t="str">
        <f t="shared" si="9"/>
        <v/>
      </c>
      <c r="Q226" t="str">
        <f t="shared" si="10"/>
        <v/>
      </c>
      <c r="R226" t="str">
        <f t="shared" si="11"/>
        <v/>
      </c>
      <c r="S226" t="str">
        <f t="shared" si="12"/>
        <v/>
      </c>
      <c r="T226" t="str">
        <f t="shared" si="13"/>
        <v/>
      </c>
      <c r="U226" t="str">
        <f t="shared" si="14"/>
        <v/>
      </c>
      <c r="V226" t="str">
        <f t="shared" si="15"/>
        <v/>
      </c>
      <c r="W226" t="str">
        <f t="shared" si="16"/>
        <v/>
      </c>
      <c r="X226" t="str">
        <f t="shared" si="17"/>
        <v/>
      </c>
      <c r="Y226" t="str">
        <f t="shared" si="18"/>
        <v/>
      </c>
      <c r="Z226" t="str">
        <f t="shared" si="19"/>
        <v/>
      </c>
      <c r="AA226" t="str">
        <f t="shared" si="20"/>
        <v/>
      </c>
      <c r="AB226" t="str">
        <f t="shared" si="21"/>
        <v/>
      </c>
      <c r="AC226" t="str">
        <f t="shared" si="22"/>
        <v/>
      </c>
      <c r="AD226" t="str">
        <f t="shared" si="23"/>
        <v/>
      </c>
      <c r="AE226" t="str">
        <f t="shared" si="24"/>
        <v/>
      </c>
      <c r="AF226" t="str">
        <f t="shared" si="25"/>
        <v/>
      </c>
      <c r="AG226" t="str">
        <f t="shared" si="26"/>
        <v/>
      </c>
      <c r="AH226" s="65" t="str">
        <f t="array" ref="AH226">if(sum(H226:AG226)=0,,sum(sort(TRANSPOSE(H226:AG226),1,false)))</f>
        <v/>
      </c>
    </row>
    <row r="227" hidden="1">
      <c r="F227" s="4">
        <v>95.0</v>
      </c>
      <c r="H227" t="str">
        <f t="shared" si="1"/>
        <v/>
      </c>
      <c r="I227" t="str">
        <f t="shared" si="2"/>
        <v/>
      </c>
      <c r="J227" t="str">
        <f t="shared" si="3"/>
        <v/>
      </c>
      <c r="K227" t="str">
        <f t="shared" si="4"/>
        <v/>
      </c>
      <c r="L227" t="str">
        <f t="shared" si="5"/>
        <v/>
      </c>
      <c r="M227" t="str">
        <f t="shared" si="6"/>
        <v/>
      </c>
      <c r="N227" t="str">
        <f t="shared" si="7"/>
        <v/>
      </c>
      <c r="O227" t="str">
        <f t="shared" si="8"/>
        <v/>
      </c>
      <c r="P227" t="str">
        <f t="shared" si="9"/>
        <v/>
      </c>
      <c r="Q227" t="str">
        <f t="shared" si="10"/>
        <v/>
      </c>
      <c r="R227" t="str">
        <f t="shared" si="11"/>
        <v/>
      </c>
      <c r="S227" t="str">
        <f t="shared" si="12"/>
        <v/>
      </c>
      <c r="T227" t="str">
        <f t="shared" si="13"/>
        <v/>
      </c>
      <c r="U227" t="str">
        <f t="shared" si="14"/>
        <v/>
      </c>
      <c r="V227" t="str">
        <f t="shared" si="15"/>
        <v/>
      </c>
      <c r="W227" t="str">
        <f t="shared" si="16"/>
        <v/>
      </c>
      <c r="X227" t="str">
        <f t="shared" si="17"/>
        <v/>
      </c>
      <c r="Y227" t="str">
        <f t="shared" si="18"/>
        <v/>
      </c>
      <c r="Z227" t="str">
        <f t="shared" si="19"/>
        <v/>
      </c>
      <c r="AA227" t="str">
        <f t="shared" si="20"/>
        <v/>
      </c>
      <c r="AB227" t="str">
        <f t="shared" si="21"/>
        <v/>
      </c>
      <c r="AC227" t="str">
        <f t="shared" si="22"/>
        <v/>
      </c>
      <c r="AD227" t="str">
        <f t="shared" si="23"/>
        <v/>
      </c>
      <c r="AE227" t="str">
        <f t="shared" si="24"/>
        <v/>
      </c>
      <c r="AF227" t="str">
        <f t="shared" si="25"/>
        <v/>
      </c>
      <c r="AG227" t="str">
        <f t="shared" si="26"/>
        <v/>
      </c>
      <c r="AH227" s="65" t="str">
        <f t="array" ref="AH227">if(sum(H227:AG227)=0,,sum(sort(TRANSPOSE(H227:AG227),1,false)))</f>
        <v/>
      </c>
    </row>
    <row r="228" hidden="1">
      <c r="F228" s="4">
        <v>96.0</v>
      </c>
      <c r="H228" t="str">
        <f t="shared" si="1"/>
        <v/>
      </c>
      <c r="I228" t="str">
        <f t="shared" si="2"/>
        <v/>
      </c>
      <c r="J228" t="str">
        <f t="shared" si="3"/>
        <v/>
      </c>
      <c r="K228" t="str">
        <f t="shared" si="4"/>
        <v/>
      </c>
      <c r="L228" t="str">
        <f t="shared" si="5"/>
        <v/>
      </c>
      <c r="M228" t="str">
        <f t="shared" si="6"/>
        <v/>
      </c>
      <c r="N228" t="str">
        <f t="shared" si="7"/>
        <v/>
      </c>
      <c r="O228" t="str">
        <f t="shared" si="8"/>
        <v/>
      </c>
      <c r="P228" t="str">
        <f t="shared" si="9"/>
        <v/>
      </c>
      <c r="Q228" t="str">
        <f t="shared" si="10"/>
        <v/>
      </c>
      <c r="R228" t="str">
        <f t="shared" si="11"/>
        <v/>
      </c>
      <c r="S228" t="str">
        <f t="shared" si="12"/>
        <v/>
      </c>
      <c r="T228" t="str">
        <f t="shared" si="13"/>
        <v/>
      </c>
      <c r="U228" t="str">
        <f t="shared" si="14"/>
        <v/>
      </c>
      <c r="V228" t="str">
        <f t="shared" si="15"/>
        <v/>
      </c>
      <c r="W228" t="str">
        <f t="shared" si="16"/>
        <v/>
      </c>
      <c r="X228" t="str">
        <f t="shared" si="17"/>
        <v/>
      </c>
      <c r="Y228" t="str">
        <f t="shared" si="18"/>
        <v/>
      </c>
      <c r="Z228" t="str">
        <f t="shared" si="19"/>
        <v/>
      </c>
      <c r="AA228" t="str">
        <f t="shared" si="20"/>
        <v/>
      </c>
      <c r="AB228" t="str">
        <f t="shared" si="21"/>
        <v/>
      </c>
      <c r="AC228" t="str">
        <f t="shared" si="22"/>
        <v/>
      </c>
      <c r="AD228" t="str">
        <f t="shared" si="23"/>
        <v/>
      </c>
      <c r="AE228" t="str">
        <f t="shared" si="24"/>
        <v/>
      </c>
      <c r="AF228" t="str">
        <f t="shared" si="25"/>
        <v/>
      </c>
      <c r="AG228" t="str">
        <f t="shared" si="26"/>
        <v/>
      </c>
      <c r="AH228" s="65" t="str">
        <f t="array" ref="AH228">if(sum(H228:AG228)=0,,sum(sort(TRANSPOSE(H228:AG228),1,false)))</f>
        <v/>
      </c>
    </row>
    <row r="229" hidden="1">
      <c r="F229" s="4">
        <v>97.0</v>
      </c>
      <c r="H229" t="str">
        <f t="shared" si="1"/>
        <v/>
      </c>
      <c r="I229" t="str">
        <f t="shared" si="2"/>
        <v/>
      </c>
      <c r="J229" t="str">
        <f t="shared" si="3"/>
        <v/>
      </c>
      <c r="K229" t="str">
        <f t="shared" si="4"/>
        <v/>
      </c>
      <c r="L229" t="str">
        <f t="shared" si="5"/>
        <v/>
      </c>
      <c r="M229" t="str">
        <f t="shared" si="6"/>
        <v/>
      </c>
      <c r="N229" t="str">
        <f t="shared" si="7"/>
        <v/>
      </c>
      <c r="O229" t="str">
        <f t="shared" si="8"/>
        <v/>
      </c>
      <c r="P229" t="str">
        <f t="shared" si="9"/>
        <v/>
      </c>
      <c r="Q229" t="str">
        <f t="shared" si="10"/>
        <v/>
      </c>
      <c r="R229" t="str">
        <f t="shared" si="11"/>
        <v/>
      </c>
      <c r="S229" t="str">
        <f t="shared" si="12"/>
        <v/>
      </c>
      <c r="T229" t="str">
        <f t="shared" si="13"/>
        <v/>
      </c>
      <c r="U229" t="str">
        <f t="shared" si="14"/>
        <v/>
      </c>
      <c r="V229" t="str">
        <f t="shared" si="15"/>
        <v/>
      </c>
      <c r="W229" t="str">
        <f t="shared" si="16"/>
        <v/>
      </c>
      <c r="X229" t="str">
        <f t="shared" si="17"/>
        <v/>
      </c>
      <c r="Y229" t="str">
        <f t="shared" si="18"/>
        <v/>
      </c>
      <c r="Z229" t="str">
        <f t="shared" si="19"/>
        <v/>
      </c>
      <c r="AA229" t="str">
        <f t="shared" si="20"/>
        <v/>
      </c>
      <c r="AB229" t="str">
        <f t="shared" si="21"/>
        <v/>
      </c>
      <c r="AC229" t="str">
        <f t="shared" si="22"/>
        <v/>
      </c>
      <c r="AD229" t="str">
        <f t="shared" si="23"/>
        <v/>
      </c>
      <c r="AE229" t="str">
        <f t="shared" si="24"/>
        <v/>
      </c>
      <c r="AF229" t="str">
        <f t="shared" si="25"/>
        <v/>
      </c>
      <c r="AG229" t="str">
        <f t="shared" si="26"/>
        <v/>
      </c>
      <c r="AH229" s="65" t="str">
        <f t="array" ref="AH229">if(sum(H229:AG229)=0,,sum(sort(TRANSPOSE(H229:AG229),1,false)))</f>
        <v/>
      </c>
    </row>
    <row r="230" hidden="1">
      <c r="F230" s="4">
        <v>98.0</v>
      </c>
      <c r="H230" t="str">
        <f t="shared" si="1"/>
        <v/>
      </c>
      <c r="I230" t="str">
        <f t="shared" si="2"/>
        <v/>
      </c>
      <c r="J230" t="str">
        <f t="shared" si="3"/>
        <v/>
      </c>
      <c r="K230" t="str">
        <f t="shared" si="4"/>
        <v/>
      </c>
      <c r="L230" t="str">
        <f t="shared" si="5"/>
        <v/>
      </c>
      <c r="M230" t="str">
        <f t="shared" si="6"/>
        <v/>
      </c>
      <c r="N230" t="str">
        <f t="shared" si="7"/>
        <v/>
      </c>
      <c r="O230" t="str">
        <f t="shared" si="8"/>
        <v/>
      </c>
      <c r="P230" t="str">
        <f t="shared" si="9"/>
        <v/>
      </c>
      <c r="Q230" t="str">
        <f t="shared" si="10"/>
        <v/>
      </c>
      <c r="R230" t="str">
        <f t="shared" si="11"/>
        <v/>
      </c>
      <c r="S230" t="str">
        <f t="shared" si="12"/>
        <v/>
      </c>
      <c r="T230" t="str">
        <f t="shared" si="13"/>
        <v/>
      </c>
      <c r="U230" t="str">
        <f t="shared" si="14"/>
        <v/>
      </c>
      <c r="V230" t="str">
        <f t="shared" si="15"/>
        <v/>
      </c>
      <c r="W230" t="str">
        <f t="shared" si="16"/>
        <v/>
      </c>
      <c r="X230" t="str">
        <f t="shared" si="17"/>
        <v/>
      </c>
      <c r="Y230" t="str">
        <f t="shared" si="18"/>
        <v/>
      </c>
      <c r="Z230" t="str">
        <f t="shared" si="19"/>
        <v/>
      </c>
      <c r="AA230" t="str">
        <f t="shared" si="20"/>
        <v/>
      </c>
      <c r="AB230" t="str">
        <f t="shared" si="21"/>
        <v/>
      </c>
      <c r="AC230" t="str">
        <f t="shared" si="22"/>
        <v/>
      </c>
      <c r="AD230" t="str">
        <f t="shared" si="23"/>
        <v/>
      </c>
      <c r="AE230" t="str">
        <f t="shared" si="24"/>
        <v/>
      </c>
      <c r="AF230" t="str">
        <f t="shared" si="25"/>
        <v/>
      </c>
      <c r="AG230" t="str">
        <f t="shared" si="26"/>
        <v/>
      </c>
      <c r="AH230" s="65" t="str">
        <f t="array" ref="AH230">if(sum(H230:AG230)=0,,sum(sort(TRANSPOSE(H230:AG230),1,false)))</f>
        <v/>
      </c>
    </row>
    <row r="231" hidden="1">
      <c r="F231" s="4">
        <v>99.0</v>
      </c>
      <c r="H231" t="str">
        <f t="shared" si="1"/>
        <v/>
      </c>
      <c r="I231" t="str">
        <f t="shared" si="2"/>
        <v/>
      </c>
      <c r="J231" t="str">
        <f t="shared" si="3"/>
        <v/>
      </c>
      <c r="K231" t="str">
        <f t="shared" si="4"/>
        <v/>
      </c>
      <c r="L231" t="str">
        <f t="shared" si="5"/>
        <v/>
      </c>
      <c r="M231" t="str">
        <f t="shared" si="6"/>
        <v/>
      </c>
      <c r="N231" t="str">
        <f t="shared" si="7"/>
        <v/>
      </c>
      <c r="O231" t="str">
        <f t="shared" si="8"/>
        <v/>
      </c>
      <c r="P231" t="str">
        <f t="shared" si="9"/>
        <v/>
      </c>
      <c r="Q231" t="str">
        <f t="shared" si="10"/>
        <v/>
      </c>
      <c r="R231" t="str">
        <f t="shared" si="11"/>
        <v/>
      </c>
      <c r="S231" t="str">
        <f t="shared" si="12"/>
        <v/>
      </c>
      <c r="T231" t="str">
        <f t="shared" si="13"/>
        <v/>
      </c>
      <c r="U231" t="str">
        <f t="shared" si="14"/>
        <v/>
      </c>
      <c r="V231" t="str">
        <f t="shared" si="15"/>
        <v/>
      </c>
      <c r="W231" t="str">
        <f t="shared" si="16"/>
        <v/>
      </c>
      <c r="X231" t="str">
        <f t="shared" si="17"/>
        <v/>
      </c>
      <c r="Y231" t="str">
        <f t="shared" si="18"/>
        <v/>
      </c>
      <c r="Z231" t="str">
        <f t="shared" si="19"/>
        <v/>
      </c>
      <c r="AA231" t="str">
        <f t="shared" si="20"/>
        <v/>
      </c>
      <c r="AB231" t="str">
        <f t="shared" si="21"/>
        <v/>
      </c>
      <c r="AC231" t="str">
        <f t="shared" si="22"/>
        <v/>
      </c>
      <c r="AD231" t="str">
        <f t="shared" si="23"/>
        <v/>
      </c>
      <c r="AE231" t="str">
        <f t="shared" si="24"/>
        <v/>
      </c>
      <c r="AF231" t="str">
        <f t="shared" si="25"/>
        <v/>
      </c>
      <c r="AG231" t="str">
        <f t="shared" si="26"/>
        <v/>
      </c>
      <c r="AH231" s="65" t="str">
        <f t="array" ref="AH231">if(sum(H231:AG231)=0,,sum(sort(TRANSPOSE(H231:AG231),1,false)))</f>
        <v/>
      </c>
    </row>
    <row r="232" hidden="1">
      <c r="F232" s="4">
        <v>100.0</v>
      </c>
      <c r="H232" t="str">
        <f t="shared" si="1"/>
        <v/>
      </c>
      <c r="I232" t="str">
        <f t="shared" si="2"/>
        <v/>
      </c>
      <c r="J232" t="str">
        <f t="shared" si="3"/>
        <v/>
      </c>
      <c r="K232" t="str">
        <f t="shared" si="4"/>
        <v/>
      </c>
      <c r="L232" t="str">
        <f t="shared" si="5"/>
        <v/>
      </c>
      <c r="M232" t="str">
        <f t="shared" si="6"/>
        <v/>
      </c>
      <c r="N232" t="str">
        <f t="shared" si="7"/>
        <v/>
      </c>
      <c r="O232" t="str">
        <f t="shared" si="8"/>
        <v/>
      </c>
      <c r="P232" t="str">
        <f t="shared" si="9"/>
        <v/>
      </c>
      <c r="Q232" t="str">
        <f t="shared" si="10"/>
        <v/>
      </c>
      <c r="R232" t="str">
        <f t="shared" si="11"/>
        <v/>
      </c>
      <c r="S232" t="str">
        <f t="shared" si="12"/>
        <v/>
      </c>
      <c r="T232" t="str">
        <f t="shared" si="13"/>
        <v/>
      </c>
      <c r="U232" t="str">
        <f t="shared" si="14"/>
        <v/>
      </c>
      <c r="V232" t="str">
        <f t="shared" si="15"/>
        <v/>
      </c>
      <c r="W232" t="str">
        <f t="shared" si="16"/>
        <v/>
      </c>
      <c r="X232" t="str">
        <f t="shared" si="17"/>
        <v/>
      </c>
      <c r="Y232" t="str">
        <f t="shared" si="18"/>
        <v/>
      </c>
      <c r="Z232" t="str">
        <f t="shared" si="19"/>
        <v/>
      </c>
      <c r="AA232" t="str">
        <f t="shared" si="20"/>
        <v/>
      </c>
      <c r="AB232" t="str">
        <f t="shared" si="21"/>
        <v/>
      </c>
      <c r="AC232" t="str">
        <f t="shared" si="22"/>
        <v/>
      </c>
      <c r="AD232" t="str">
        <f t="shared" si="23"/>
        <v/>
      </c>
      <c r="AE232" t="str">
        <f t="shared" si="24"/>
        <v/>
      </c>
      <c r="AF232" t="str">
        <f t="shared" si="25"/>
        <v/>
      </c>
      <c r="AG232" t="str">
        <f t="shared" si="26"/>
        <v/>
      </c>
      <c r="AH232" s="65" t="str">
        <f t="array" ref="AH232">if(sum(H232:AG232)=0,,sum(sort(TRANSPOSE(H232:AG232),1,false)))</f>
        <v/>
      </c>
    </row>
    <row r="233" hidden="1">
      <c r="F233" s="4">
        <v>101.0</v>
      </c>
      <c r="H233" t="str">
        <f t="shared" si="1"/>
        <v/>
      </c>
      <c r="I233" t="str">
        <f t="shared" si="2"/>
        <v/>
      </c>
      <c r="J233" t="str">
        <f t="shared" si="3"/>
        <v/>
      </c>
      <c r="K233" t="str">
        <f t="shared" si="4"/>
        <v/>
      </c>
      <c r="L233" t="str">
        <f t="shared" si="5"/>
        <v/>
      </c>
      <c r="M233" t="str">
        <f t="shared" si="6"/>
        <v/>
      </c>
      <c r="N233" t="str">
        <f t="shared" si="7"/>
        <v/>
      </c>
      <c r="O233" t="str">
        <f t="shared" si="8"/>
        <v/>
      </c>
      <c r="P233" t="str">
        <f t="shared" si="9"/>
        <v/>
      </c>
      <c r="Q233" t="str">
        <f t="shared" si="10"/>
        <v/>
      </c>
      <c r="R233" t="str">
        <f t="shared" si="11"/>
        <v/>
      </c>
      <c r="S233" t="str">
        <f t="shared" si="12"/>
        <v/>
      </c>
      <c r="T233" t="str">
        <f t="shared" si="13"/>
        <v/>
      </c>
      <c r="U233" t="str">
        <f t="shared" si="14"/>
        <v/>
      </c>
      <c r="V233" t="str">
        <f t="shared" si="15"/>
        <v/>
      </c>
      <c r="W233" t="str">
        <f t="shared" si="16"/>
        <v/>
      </c>
      <c r="X233" t="str">
        <f t="shared" si="17"/>
        <v/>
      </c>
      <c r="Y233" t="str">
        <f t="shared" si="18"/>
        <v/>
      </c>
      <c r="Z233" t="str">
        <f t="shared" si="19"/>
        <v/>
      </c>
      <c r="AA233" t="str">
        <f t="shared" si="20"/>
        <v/>
      </c>
      <c r="AB233" t="str">
        <f t="shared" si="21"/>
        <v/>
      </c>
      <c r="AC233" t="str">
        <f t="shared" si="22"/>
        <v/>
      </c>
      <c r="AD233" t="str">
        <f t="shared" si="23"/>
        <v/>
      </c>
      <c r="AE233" t="str">
        <f t="shared" si="24"/>
        <v/>
      </c>
      <c r="AF233" t="str">
        <f t="shared" si="25"/>
        <v/>
      </c>
      <c r="AG233" t="str">
        <f t="shared" si="26"/>
        <v/>
      </c>
      <c r="AH233" s="65" t="str">
        <f t="array" ref="AH233">if(sum(H233:AG233)=0,,sum(sort(TRANSPOSE(H233:AG233),1,false)))</f>
        <v/>
      </c>
    </row>
    <row r="234" hidden="1">
      <c r="F234" s="4">
        <v>102.0</v>
      </c>
      <c r="H234" t="str">
        <f t="shared" si="1"/>
        <v/>
      </c>
      <c r="I234" t="str">
        <f t="shared" si="2"/>
        <v/>
      </c>
      <c r="J234" t="str">
        <f t="shared" si="3"/>
        <v/>
      </c>
      <c r="K234" t="str">
        <f t="shared" si="4"/>
        <v/>
      </c>
      <c r="L234" t="str">
        <f t="shared" si="5"/>
        <v/>
      </c>
      <c r="M234" t="str">
        <f t="shared" si="6"/>
        <v/>
      </c>
      <c r="N234" t="str">
        <f t="shared" si="7"/>
        <v/>
      </c>
      <c r="O234" t="str">
        <f t="shared" si="8"/>
        <v/>
      </c>
      <c r="P234" t="str">
        <f t="shared" si="9"/>
        <v/>
      </c>
      <c r="Q234" t="str">
        <f t="shared" si="10"/>
        <v/>
      </c>
      <c r="R234" t="str">
        <f t="shared" si="11"/>
        <v/>
      </c>
      <c r="S234" t="str">
        <f t="shared" si="12"/>
        <v/>
      </c>
      <c r="T234" t="str">
        <f t="shared" si="13"/>
        <v/>
      </c>
      <c r="U234" t="str">
        <f t="shared" si="14"/>
        <v/>
      </c>
      <c r="V234" t="str">
        <f t="shared" si="15"/>
        <v/>
      </c>
      <c r="W234" t="str">
        <f t="shared" si="16"/>
        <v/>
      </c>
      <c r="X234" t="str">
        <f t="shared" si="17"/>
        <v/>
      </c>
      <c r="Y234" t="str">
        <f t="shared" si="18"/>
        <v/>
      </c>
      <c r="Z234" t="str">
        <f t="shared" si="19"/>
        <v/>
      </c>
      <c r="AA234" t="str">
        <f t="shared" si="20"/>
        <v/>
      </c>
      <c r="AB234" t="str">
        <f t="shared" si="21"/>
        <v/>
      </c>
      <c r="AC234" t="str">
        <f t="shared" si="22"/>
        <v/>
      </c>
      <c r="AD234" t="str">
        <f t="shared" si="23"/>
        <v/>
      </c>
      <c r="AE234" t="str">
        <f t="shared" si="24"/>
        <v/>
      </c>
      <c r="AF234" t="str">
        <f t="shared" si="25"/>
        <v/>
      </c>
      <c r="AG234" t="str">
        <f t="shared" si="26"/>
        <v/>
      </c>
      <c r="AH234" s="65" t="str">
        <f t="array" ref="AH234">if(sum(H234:AG234)=0,,sum(sort(TRANSPOSE(H234:AG234),1,false)))</f>
        <v/>
      </c>
    </row>
    <row r="235" hidden="1">
      <c r="F235" s="4">
        <v>103.0</v>
      </c>
      <c r="H235" t="str">
        <f t="shared" si="1"/>
        <v/>
      </c>
      <c r="I235" t="str">
        <f t="shared" si="2"/>
        <v/>
      </c>
      <c r="J235" t="str">
        <f t="shared" si="3"/>
        <v/>
      </c>
      <c r="K235" t="str">
        <f t="shared" si="4"/>
        <v/>
      </c>
      <c r="L235" t="str">
        <f t="shared" si="5"/>
        <v/>
      </c>
      <c r="M235" t="str">
        <f t="shared" si="6"/>
        <v/>
      </c>
      <c r="N235" t="str">
        <f t="shared" si="7"/>
        <v/>
      </c>
      <c r="O235" t="str">
        <f t="shared" si="8"/>
        <v/>
      </c>
      <c r="P235" t="str">
        <f t="shared" si="9"/>
        <v/>
      </c>
      <c r="Q235" t="str">
        <f t="shared" si="10"/>
        <v/>
      </c>
      <c r="R235" t="str">
        <f t="shared" si="11"/>
        <v/>
      </c>
      <c r="S235" t="str">
        <f t="shared" si="12"/>
        <v/>
      </c>
      <c r="T235" t="str">
        <f t="shared" si="13"/>
        <v/>
      </c>
      <c r="U235" t="str">
        <f t="shared" si="14"/>
        <v/>
      </c>
      <c r="V235" t="str">
        <f t="shared" si="15"/>
        <v/>
      </c>
      <c r="W235" t="str">
        <f t="shared" si="16"/>
        <v/>
      </c>
      <c r="X235" t="str">
        <f t="shared" si="17"/>
        <v/>
      </c>
      <c r="Y235" t="str">
        <f t="shared" si="18"/>
        <v/>
      </c>
      <c r="Z235" t="str">
        <f t="shared" si="19"/>
        <v/>
      </c>
      <c r="AA235" t="str">
        <f t="shared" si="20"/>
        <v/>
      </c>
      <c r="AB235" t="str">
        <f t="shared" si="21"/>
        <v/>
      </c>
      <c r="AC235" t="str">
        <f t="shared" si="22"/>
        <v/>
      </c>
      <c r="AD235" t="str">
        <f t="shared" si="23"/>
        <v/>
      </c>
      <c r="AE235" t="str">
        <f t="shared" si="24"/>
        <v/>
      </c>
      <c r="AF235" t="str">
        <f t="shared" si="25"/>
        <v/>
      </c>
      <c r="AG235" t="str">
        <f t="shared" si="26"/>
        <v/>
      </c>
      <c r="AH235" s="65" t="str">
        <f t="array" ref="AH235">if(sum(H235:AG235)=0,,sum(sort(TRANSPOSE(H235:AG235),1,false)))</f>
        <v/>
      </c>
    </row>
    <row r="236" hidden="1">
      <c r="F236" s="4">
        <v>104.0</v>
      </c>
      <c r="H236" t="str">
        <f t="shared" si="1"/>
        <v/>
      </c>
      <c r="I236" t="str">
        <f t="shared" si="2"/>
        <v/>
      </c>
      <c r="J236" t="str">
        <f t="shared" si="3"/>
        <v/>
      </c>
      <c r="K236" t="str">
        <f t="shared" si="4"/>
        <v/>
      </c>
      <c r="L236" t="str">
        <f t="shared" si="5"/>
        <v/>
      </c>
      <c r="M236" t="str">
        <f t="shared" si="6"/>
        <v/>
      </c>
      <c r="N236" t="str">
        <f t="shared" si="7"/>
        <v/>
      </c>
      <c r="O236" t="str">
        <f t="shared" si="8"/>
        <v/>
      </c>
      <c r="P236" t="str">
        <f t="shared" si="9"/>
        <v/>
      </c>
      <c r="Q236" t="str">
        <f t="shared" si="10"/>
        <v/>
      </c>
      <c r="R236" t="str">
        <f t="shared" si="11"/>
        <v/>
      </c>
      <c r="S236" t="str">
        <f t="shared" si="12"/>
        <v/>
      </c>
      <c r="T236" t="str">
        <f t="shared" si="13"/>
        <v/>
      </c>
      <c r="U236" t="str">
        <f t="shared" si="14"/>
        <v/>
      </c>
      <c r="V236" t="str">
        <f t="shared" si="15"/>
        <v/>
      </c>
      <c r="W236" t="str">
        <f t="shared" si="16"/>
        <v/>
      </c>
      <c r="X236" t="str">
        <f t="shared" si="17"/>
        <v/>
      </c>
      <c r="Y236" t="str">
        <f t="shared" si="18"/>
        <v/>
      </c>
      <c r="Z236" t="str">
        <f t="shared" si="19"/>
        <v/>
      </c>
      <c r="AA236" t="str">
        <f t="shared" si="20"/>
        <v/>
      </c>
      <c r="AB236" t="str">
        <f t="shared" si="21"/>
        <v/>
      </c>
      <c r="AC236" t="str">
        <f t="shared" si="22"/>
        <v/>
      </c>
      <c r="AD236" t="str">
        <f t="shared" si="23"/>
        <v/>
      </c>
      <c r="AE236" t="str">
        <f t="shared" si="24"/>
        <v/>
      </c>
      <c r="AF236" t="str">
        <f t="shared" si="25"/>
        <v/>
      </c>
      <c r="AG236" t="str">
        <f t="shared" si="26"/>
        <v/>
      </c>
      <c r="AH236" s="65" t="str">
        <f t="array" ref="AH236">if(sum(H236:AG236)=0,,sum(sort(TRANSPOSE(H236:AG236),1,false)))</f>
        <v/>
      </c>
    </row>
    <row r="237" hidden="1">
      <c r="F237" s="4">
        <v>105.0</v>
      </c>
      <c r="H237" t="str">
        <f t="shared" si="1"/>
        <v/>
      </c>
      <c r="I237" t="str">
        <f t="shared" si="2"/>
        <v/>
      </c>
      <c r="J237" t="str">
        <f t="shared" si="3"/>
        <v/>
      </c>
      <c r="K237" t="str">
        <f t="shared" si="4"/>
        <v/>
      </c>
      <c r="L237" t="str">
        <f t="shared" si="5"/>
        <v/>
      </c>
      <c r="M237" t="str">
        <f t="shared" si="6"/>
        <v/>
      </c>
      <c r="N237" t="str">
        <f t="shared" si="7"/>
        <v/>
      </c>
      <c r="O237" t="str">
        <f t="shared" si="8"/>
        <v/>
      </c>
      <c r="P237" t="str">
        <f t="shared" si="9"/>
        <v/>
      </c>
      <c r="Q237" t="str">
        <f t="shared" si="10"/>
        <v/>
      </c>
      <c r="R237" t="str">
        <f t="shared" si="11"/>
        <v/>
      </c>
      <c r="S237" t="str">
        <f t="shared" si="12"/>
        <v/>
      </c>
      <c r="T237" t="str">
        <f t="shared" si="13"/>
        <v/>
      </c>
      <c r="U237" t="str">
        <f t="shared" si="14"/>
        <v/>
      </c>
      <c r="V237" t="str">
        <f t="shared" si="15"/>
        <v/>
      </c>
      <c r="W237" t="str">
        <f t="shared" si="16"/>
        <v/>
      </c>
      <c r="X237" t="str">
        <f t="shared" si="17"/>
        <v/>
      </c>
      <c r="Y237" t="str">
        <f t="shared" si="18"/>
        <v/>
      </c>
      <c r="Z237" t="str">
        <f t="shared" si="19"/>
        <v/>
      </c>
      <c r="AA237" t="str">
        <f t="shared" si="20"/>
        <v/>
      </c>
      <c r="AB237" t="str">
        <f t="shared" si="21"/>
        <v/>
      </c>
      <c r="AC237" t="str">
        <f t="shared" si="22"/>
        <v/>
      </c>
      <c r="AD237" t="str">
        <f t="shared" si="23"/>
        <v/>
      </c>
      <c r="AE237" t="str">
        <f t="shared" si="24"/>
        <v/>
      </c>
      <c r="AF237" t="str">
        <f t="shared" si="25"/>
        <v/>
      </c>
      <c r="AG237" t="str">
        <f t="shared" si="26"/>
        <v/>
      </c>
      <c r="AH237" s="65" t="str">
        <f t="array" ref="AH237">if(sum(H237:AG237)=0,,sum(sort(TRANSPOSE(H237:AG237),1,false)))</f>
        <v/>
      </c>
    </row>
    <row r="238" hidden="1">
      <c r="F238" s="4">
        <v>106.0</v>
      </c>
      <c r="H238" t="str">
        <f t="shared" si="1"/>
        <v/>
      </c>
      <c r="I238" t="str">
        <f t="shared" si="2"/>
        <v/>
      </c>
      <c r="J238" t="str">
        <f t="shared" si="3"/>
        <v/>
      </c>
      <c r="K238" t="str">
        <f t="shared" si="4"/>
        <v/>
      </c>
      <c r="L238" t="str">
        <f t="shared" si="5"/>
        <v/>
      </c>
      <c r="M238" t="str">
        <f t="shared" si="6"/>
        <v/>
      </c>
      <c r="N238" t="str">
        <f t="shared" si="7"/>
        <v/>
      </c>
      <c r="O238" t="str">
        <f t="shared" si="8"/>
        <v/>
      </c>
      <c r="P238" t="str">
        <f t="shared" si="9"/>
        <v/>
      </c>
      <c r="Q238" t="str">
        <f t="shared" si="10"/>
        <v/>
      </c>
      <c r="R238" t="str">
        <f t="shared" si="11"/>
        <v/>
      </c>
      <c r="S238" t="str">
        <f t="shared" si="12"/>
        <v/>
      </c>
      <c r="T238" t="str">
        <f t="shared" si="13"/>
        <v/>
      </c>
      <c r="U238" t="str">
        <f t="shared" si="14"/>
        <v/>
      </c>
      <c r="V238" t="str">
        <f t="shared" si="15"/>
        <v/>
      </c>
      <c r="W238" t="str">
        <f t="shared" si="16"/>
        <v/>
      </c>
      <c r="X238" t="str">
        <f t="shared" si="17"/>
        <v/>
      </c>
      <c r="Y238" t="str">
        <f t="shared" si="18"/>
        <v/>
      </c>
      <c r="Z238" t="str">
        <f t="shared" si="19"/>
        <v/>
      </c>
      <c r="AA238" t="str">
        <f t="shared" si="20"/>
        <v/>
      </c>
      <c r="AB238" t="str">
        <f t="shared" si="21"/>
        <v/>
      </c>
      <c r="AC238" t="str">
        <f t="shared" si="22"/>
        <v/>
      </c>
      <c r="AD238" t="str">
        <f t="shared" si="23"/>
        <v/>
      </c>
      <c r="AE238" t="str">
        <f t="shared" si="24"/>
        <v/>
      </c>
      <c r="AF238" t="str">
        <f t="shared" si="25"/>
        <v/>
      </c>
      <c r="AG238" t="str">
        <f t="shared" si="26"/>
        <v/>
      </c>
      <c r="AH238" s="65" t="str">
        <f t="array" ref="AH238">if(sum(H238:AG238)=0,,sum(sort(TRANSPOSE(H238:AG238),1,false)))</f>
        <v/>
      </c>
    </row>
    <row r="239" hidden="1">
      <c r="F239" s="4">
        <v>107.0</v>
      </c>
      <c r="H239" t="str">
        <f t="shared" si="1"/>
        <v/>
      </c>
      <c r="I239" t="str">
        <f t="shared" si="2"/>
        <v/>
      </c>
      <c r="J239" t="str">
        <f t="shared" si="3"/>
        <v/>
      </c>
      <c r="K239" t="str">
        <f t="shared" si="4"/>
        <v/>
      </c>
      <c r="L239" t="str">
        <f t="shared" si="5"/>
        <v/>
      </c>
      <c r="M239" t="str">
        <f t="shared" si="6"/>
        <v/>
      </c>
      <c r="N239" t="str">
        <f t="shared" si="7"/>
        <v/>
      </c>
      <c r="O239" t="str">
        <f t="shared" si="8"/>
        <v/>
      </c>
      <c r="P239" t="str">
        <f t="shared" si="9"/>
        <v/>
      </c>
      <c r="Q239" t="str">
        <f t="shared" si="10"/>
        <v/>
      </c>
      <c r="R239" t="str">
        <f t="shared" si="11"/>
        <v/>
      </c>
      <c r="S239" t="str">
        <f t="shared" si="12"/>
        <v/>
      </c>
      <c r="T239" t="str">
        <f t="shared" si="13"/>
        <v/>
      </c>
      <c r="U239" t="str">
        <f t="shared" si="14"/>
        <v/>
      </c>
      <c r="V239" t="str">
        <f t="shared" si="15"/>
        <v/>
      </c>
      <c r="W239" t="str">
        <f t="shared" si="16"/>
        <v/>
      </c>
      <c r="X239" t="str">
        <f t="shared" si="17"/>
        <v/>
      </c>
      <c r="Y239" t="str">
        <f t="shared" si="18"/>
        <v/>
      </c>
      <c r="Z239" t="str">
        <f t="shared" si="19"/>
        <v/>
      </c>
      <c r="AA239" t="str">
        <f t="shared" si="20"/>
        <v/>
      </c>
      <c r="AB239" t="str">
        <f t="shared" si="21"/>
        <v/>
      </c>
      <c r="AC239" t="str">
        <f t="shared" si="22"/>
        <v/>
      </c>
      <c r="AD239" t="str">
        <f t="shared" si="23"/>
        <v/>
      </c>
      <c r="AE239" t="str">
        <f t="shared" si="24"/>
        <v/>
      </c>
      <c r="AF239" t="str">
        <f t="shared" si="25"/>
        <v/>
      </c>
      <c r="AG239" t="str">
        <f t="shared" si="26"/>
        <v/>
      </c>
      <c r="AH239" s="65" t="str">
        <f t="array" ref="AH239">if(sum(H239:AG239)=0,,sum(sort(TRANSPOSE(H239:AG239),1,false)))</f>
        <v/>
      </c>
    </row>
    <row r="240" hidden="1">
      <c r="F240" s="4">
        <v>108.0</v>
      </c>
      <c r="H240" t="str">
        <f t="shared" si="1"/>
        <v/>
      </c>
      <c r="I240" t="str">
        <f t="shared" si="2"/>
        <v/>
      </c>
      <c r="J240" t="str">
        <f t="shared" si="3"/>
        <v/>
      </c>
      <c r="K240" t="str">
        <f t="shared" si="4"/>
        <v/>
      </c>
      <c r="L240" t="str">
        <f t="shared" si="5"/>
        <v/>
      </c>
      <c r="M240" t="str">
        <f t="shared" si="6"/>
        <v/>
      </c>
      <c r="N240" t="str">
        <f t="shared" si="7"/>
        <v/>
      </c>
      <c r="O240" t="str">
        <f t="shared" si="8"/>
        <v/>
      </c>
      <c r="P240" t="str">
        <f t="shared" si="9"/>
        <v/>
      </c>
      <c r="Q240" t="str">
        <f t="shared" si="10"/>
        <v/>
      </c>
      <c r="R240" t="str">
        <f t="shared" si="11"/>
        <v/>
      </c>
      <c r="S240" t="str">
        <f t="shared" si="12"/>
        <v/>
      </c>
      <c r="T240" t="str">
        <f t="shared" si="13"/>
        <v/>
      </c>
      <c r="U240" t="str">
        <f t="shared" si="14"/>
        <v/>
      </c>
      <c r="V240" t="str">
        <f t="shared" si="15"/>
        <v/>
      </c>
      <c r="W240" t="str">
        <f t="shared" si="16"/>
        <v/>
      </c>
      <c r="X240" t="str">
        <f t="shared" si="17"/>
        <v/>
      </c>
      <c r="Y240" t="str">
        <f t="shared" si="18"/>
        <v/>
      </c>
      <c r="Z240" t="str">
        <f t="shared" si="19"/>
        <v/>
      </c>
      <c r="AA240" t="str">
        <f t="shared" si="20"/>
        <v/>
      </c>
      <c r="AB240" t="str">
        <f t="shared" si="21"/>
        <v/>
      </c>
      <c r="AC240" t="str">
        <f t="shared" si="22"/>
        <v/>
      </c>
      <c r="AD240" t="str">
        <f t="shared" si="23"/>
        <v/>
      </c>
      <c r="AE240" t="str">
        <f t="shared" si="24"/>
        <v/>
      </c>
      <c r="AF240" t="str">
        <f t="shared" si="25"/>
        <v/>
      </c>
      <c r="AG240" t="str">
        <f t="shared" si="26"/>
        <v/>
      </c>
      <c r="AH240" s="65" t="str">
        <f t="array" ref="AH240">if(sum(H240:AG240)=0,,sum(sort(TRANSPOSE(H240:AG240),1,false)))</f>
        <v/>
      </c>
    </row>
    <row r="241" hidden="1">
      <c r="F241" s="4">
        <v>109.0</v>
      </c>
      <c r="H241" t="str">
        <f t="shared" si="1"/>
        <v/>
      </c>
      <c r="I241" t="str">
        <f t="shared" si="2"/>
        <v/>
      </c>
      <c r="J241" t="str">
        <f t="shared" si="3"/>
        <v/>
      </c>
      <c r="K241" t="str">
        <f t="shared" si="4"/>
        <v/>
      </c>
      <c r="L241" t="str">
        <f t="shared" si="5"/>
        <v/>
      </c>
      <c r="M241" t="str">
        <f t="shared" si="6"/>
        <v/>
      </c>
      <c r="N241" t="str">
        <f t="shared" si="7"/>
        <v/>
      </c>
      <c r="O241" t="str">
        <f t="shared" si="8"/>
        <v/>
      </c>
      <c r="P241" t="str">
        <f t="shared" si="9"/>
        <v/>
      </c>
      <c r="Q241" t="str">
        <f t="shared" si="10"/>
        <v/>
      </c>
      <c r="R241" t="str">
        <f t="shared" si="11"/>
        <v/>
      </c>
      <c r="S241" t="str">
        <f t="shared" si="12"/>
        <v/>
      </c>
      <c r="T241" t="str">
        <f t="shared" si="13"/>
        <v/>
      </c>
      <c r="U241" t="str">
        <f t="shared" si="14"/>
        <v/>
      </c>
      <c r="V241" t="str">
        <f t="shared" si="15"/>
        <v/>
      </c>
      <c r="W241" t="str">
        <f t="shared" si="16"/>
        <v/>
      </c>
      <c r="X241" t="str">
        <f t="shared" si="17"/>
        <v/>
      </c>
      <c r="Y241" t="str">
        <f t="shared" si="18"/>
        <v/>
      </c>
      <c r="Z241" t="str">
        <f t="shared" si="19"/>
        <v/>
      </c>
      <c r="AA241" t="str">
        <f t="shared" si="20"/>
        <v/>
      </c>
      <c r="AB241" t="str">
        <f t="shared" si="21"/>
        <v/>
      </c>
      <c r="AC241" t="str">
        <f t="shared" si="22"/>
        <v/>
      </c>
      <c r="AD241" t="str">
        <f t="shared" si="23"/>
        <v/>
      </c>
      <c r="AE241" t="str">
        <f t="shared" si="24"/>
        <v/>
      </c>
      <c r="AF241" t="str">
        <f t="shared" si="25"/>
        <v/>
      </c>
      <c r="AG241" t="str">
        <f t="shared" si="26"/>
        <v/>
      </c>
      <c r="AH241" s="65" t="str">
        <f t="array" ref="AH241">if(sum(H241:AG241)=0,,sum(sort(TRANSPOSE(H241:AG241),1,false)))</f>
        <v/>
      </c>
    </row>
    <row r="242" hidden="1">
      <c r="F242" s="4">
        <v>110.0</v>
      </c>
      <c r="H242" t="str">
        <f t="shared" si="1"/>
        <v/>
      </c>
      <c r="I242" t="str">
        <f t="shared" si="2"/>
        <v/>
      </c>
      <c r="J242" t="str">
        <f t="shared" si="3"/>
        <v/>
      </c>
      <c r="K242" t="str">
        <f t="shared" si="4"/>
        <v/>
      </c>
      <c r="L242" t="str">
        <f t="shared" si="5"/>
        <v/>
      </c>
      <c r="M242" t="str">
        <f t="shared" si="6"/>
        <v/>
      </c>
      <c r="N242" t="str">
        <f t="shared" si="7"/>
        <v/>
      </c>
      <c r="O242" t="str">
        <f t="shared" si="8"/>
        <v/>
      </c>
      <c r="P242" t="str">
        <f t="shared" si="9"/>
        <v/>
      </c>
      <c r="Q242" t="str">
        <f t="shared" si="10"/>
        <v/>
      </c>
      <c r="R242" t="str">
        <f t="shared" si="11"/>
        <v/>
      </c>
      <c r="S242" t="str">
        <f t="shared" si="12"/>
        <v/>
      </c>
      <c r="T242" t="str">
        <f t="shared" si="13"/>
        <v/>
      </c>
      <c r="U242" t="str">
        <f t="shared" si="14"/>
        <v/>
      </c>
      <c r="V242" t="str">
        <f t="shared" si="15"/>
        <v/>
      </c>
      <c r="W242" t="str">
        <f t="shared" si="16"/>
        <v/>
      </c>
      <c r="X242" t="str">
        <f t="shared" si="17"/>
        <v/>
      </c>
      <c r="Y242" t="str">
        <f t="shared" si="18"/>
        <v/>
      </c>
      <c r="Z242" t="str">
        <f t="shared" si="19"/>
        <v/>
      </c>
      <c r="AA242" t="str">
        <f t="shared" si="20"/>
        <v/>
      </c>
      <c r="AB242" t="str">
        <f t="shared" si="21"/>
        <v/>
      </c>
      <c r="AC242" t="str">
        <f t="shared" si="22"/>
        <v/>
      </c>
      <c r="AD242" t="str">
        <f t="shared" si="23"/>
        <v/>
      </c>
      <c r="AE242" t="str">
        <f t="shared" si="24"/>
        <v/>
      </c>
      <c r="AF242" t="str">
        <f t="shared" si="25"/>
        <v/>
      </c>
      <c r="AG242" t="str">
        <f t="shared" si="26"/>
        <v/>
      </c>
      <c r="AH242" s="65" t="str">
        <f t="array" ref="AH242">if(sum(H242:AG242)=0,,sum(sort(TRANSPOSE(H242:AG242),1,false)))</f>
        <v/>
      </c>
    </row>
    <row r="243" hidden="1">
      <c r="F243" s="4">
        <v>111.0</v>
      </c>
      <c r="H243" t="str">
        <f t="shared" si="1"/>
        <v/>
      </c>
      <c r="I243" t="str">
        <f t="shared" si="2"/>
        <v/>
      </c>
      <c r="J243" t="str">
        <f t="shared" si="3"/>
        <v/>
      </c>
      <c r="K243" t="str">
        <f t="shared" si="4"/>
        <v/>
      </c>
      <c r="L243" t="str">
        <f t="shared" si="5"/>
        <v/>
      </c>
      <c r="M243" t="str">
        <f t="shared" si="6"/>
        <v/>
      </c>
      <c r="N243" t="str">
        <f t="shared" si="7"/>
        <v/>
      </c>
      <c r="O243" t="str">
        <f t="shared" si="8"/>
        <v/>
      </c>
      <c r="P243" t="str">
        <f t="shared" si="9"/>
        <v/>
      </c>
      <c r="Q243" t="str">
        <f t="shared" si="10"/>
        <v/>
      </c>
      <c r="R243" t="str">
        <f t="shared" si="11"/>
        <v/>
      </c>
      <c r="S243" t="str">
        <f t="shared" si="12"/>
        <v/>
      </c>
      <c r="T243" t="str">
        <f t="shared" si="13"/>
        <v/>
      </c>
      <c r="U243" t="str">
        <f t="shared" si="14"/>
        <v/>
      </c>
      <c r="V243" t="str">
        <f t="shared" si="15"/>
        <v/>
      </c>
      <c r="W243" t="str">
        <f t="shared" si="16"/>
        <v/>
      </c>
      <c r="X243" t="str">
        <f t="shared" si="17"/>
        <v/>
      </c>
      <c r="Y243" t="str">
        <f t="shared" si="18"/>
        <v/>
      </c>
      <c r="Z243" t="str">
        <f t="shared" si="19"/>
        <v/>
      </c>
      <c r="AA243" t="str">
        <f t="shared" si="20"/>
        <v/>
      </c>
      <c r="AB243" t="str">
        <f t="shared" si="21"/>
        <v/>
      </c>
      <c r="AC243" t="str">
        <f t="shared" si="22"/>
        <v/>
      </c>
      <c r="AD243" t="str">
        <f t="shared" si="23"/>
        <v/>
      </c>
      <c r="AE243" t="str">
        <f t="shared" si="24"/>
        <v/>
      </c>
      <c r="AF243" t="str">
        <f t="shared" si="25"/>
        <v/>
      </c>
      <c r="AG243" t="str">
        <f t="shared" si="26"/>
        <v/>
      </c>
      <c r="AH243" s="65" t="str">
        <f t="array" ref="AH243">if(sum(H243:AG243)=0,,sum(sort(TRANSPOSE(H243:AG243),1,false)))</f>
        <v/>
      </c>
    </row>
    <row r="244" hidden="1">
      <c r="F244" s="4">
        <v>112.0</v>
      </c>
      <c r="H244" t="str">
        <f t="shared" si="1"/>
        <v/>
      </c>
      <c r="I244" t="str">
        <f t="shared" si="2"/>
        <v/>
      </c>
      <c r="J244" t="str">
        <f t="shared" si="3"/>
        <v/>
      </c>
      <c r="K244" t="str">
        <f t="shared" si="4"/>
        <v/>
      </c>
      <c r="L244" t="str">
        <f t="shared" si="5"/>
        <v/>
      </c>
      <c r="M244" t="str">
        <f t="shared" si="6"/>
        <v/>
      </c>
      <c r="N244" t="str">
        <f t="shared" si="7"/>
        <v/>
      </c>
      <c r="O244" t="str">
        <f t="shared" si="8"/>
        <v/>
      </c>
      <c r="P244" t="str">
        <f t="shared" si="9"/>
        <v/>
      </c>
      <c r="Q244" t="str">
        <f t="shared" si="10"/>
        <v/>
      </c>
      <c r="R244" t="str">
        <f t="shared" si="11"/>
        <v/>
      </c>
      <c r="S244" t="str">
        <f t="shared" si="12"/>
        <v/>
      </c>
      <c r="T244" t="str">
        <f t="shared" si="13"/>
        <v/>
      </c>
      <c r="U244" t="str">
        <f t="shared" si="14"/>
        <v/>
      </c>
      <c r="V244" t="str">
        <f t="shared" si="15"/>
        <v/>
      </c>
      <c r="W244" t="str">
        <f t="shared" si="16"/>
        <v/>
      </c>
      <c r="X244" t="str">
        <f t="shared" si="17"/>
        <v/>
      </c>
      <c r="Y244" t="str">
        <f t="shared" si="18"/>
        <v/>
      </c>
      <c r="Z244" t="str">
        <f t="shared" si="19"/>
        <v/>
      </c>
      <c r="AA244" t="str">
        <f t="shared" si="20"/>
        <v/>
      </c>
      <c r="AB244" t="str">
        <f t="shared" si="21"/>
        <v/>
      </c>
      <c r="AC244" t="str">
        <f t="shared" si="22"/>
        <v/>
      </c>
      <c r="AD244" t="str">
        <f t="shared" si="23"/>
        <v/>
      </c>
      <c r="AE244" t="str">
        <f t="shared" si="24"/>
        <v/>
      </c>
      <c r="AF244" t="str">
        <f t="shared" si="25"/>
        <v/>
      </c>
      <c r="AG244" t="str">
        <f t="shared" si="26"/>
        <v/>
      </c>
      <c r="AH244" s="65" t="str">
        <f t="array" ref="AH244">if(sum(H244:AG244)=0,,sum(sort(TRANSPOSE(H244:AG244),1,false)))</f>
        <v/>
      </c>
    </row>
    <row r="245" hidden="1">
      <c r="F245" s="4">
        <v>113.0</v>
      </c>
      <c r="H245" t="str">
        <f t="shared" si="1"/>
        <v/>
      </c>
      <c r="I245" t="str">
        <f t="shared" si="2"/>
        <v/>
      </c>
      <c r="J245" t="str">
        <f t="shared" si="3"/>
        <v/>
      </c>
      <c r="K245" t="str">
        <f t="shared" si="4"/>
        <v/>
      </c>
      <c r="L245" t="str">
        <f t="shared" si="5"/>
        <v/>
      </c>
      <c r="M245" t="str">
        <f t="shared" si="6"/>
        <v/>
      </c>
      <c r="N245" t="str">
        <f t="shared" si="7"/>
        <v/>
      </c>
      <c r="O245" t="str">
        <f t="shared" si="8"/>
        <v/>
      </c>
      <c r="P245" t="str">
        <f t="shared" si="9"/>
        <v/>
      </c>
      <c r="Q245" t="str">
        <f t="shared" si="10"/>
        <v/>
      </c>
      <c r="R245" t="str">
        <f t="shared" si="11"/>
        <v/>
      </c>
      <c r="S245" t="str">
        <f t="shared" si="12"/>
        <v/>
      </c>
      <c r="T245" t="str">
        <f t="shared" si="13"/>
        <v/>
      </c>
      <c r="U245" t="str">
        <f t="shared" si="14"/>
        <v/>
      </c>
      <c r="V245" t="str">
        <f t="shared" si="15"/>
        <v/>
      </c>
      <c r="W245" t="str">
        <f t="shared" si="16"/>
        <v/>
      </c>
      <c r="X245" t="str">
        <f t="shared" si="17"/>
        <v/>
      </c>
      <c r="Y245" t="str">
        <f t="shared" si="18"/>
        <v/>
      </c>
      <c r="Z245" t="str">
        <f t="shared" si="19"/>
        <v/>
      </c>
      <c r="AA245" t="str">
        <f t="shared" si="20"/>
        <v/>
      </c>
      <c r="AB245" t="str">
        <f t="shared" si="21"/>
        <v/>
      </c>
      <c r="AC245" t="str">
        <f t="shared" si="22"/>
        <v/>
      </c>
      <c r="AD245" t="str">
        <f t="shared" si="23"/>
        <v/>
      </c>
      <c r="AE245" t="str">
        <f t="shared" si="24"/>
        <v/>
      </c>
      <c r="AF245" t="str">
        <f t="shared" si="25"/>
        <v/>
      </c>
      <c r="AG245" t="str">
        <f t="shared" si="26"/>
        <v/>
      </c>
      <c r="AH245" s="65" t="str">
        <f t="array" ref="AH245">if(sum(H245:AG245)=0,,sum(sort(TRANSPOSE(H245:AG245),1,false)))</f>
        <v/>
      </c>
    </row>
    <row r="246" hidden="1">
      <c r="F246" s="4">
        <v>114.0</v>
      </c>
      <c r="H246" t="str">
        <f t="shared" si="1"/>
        <v/>
      </c>
      <c r="I246" t="str">
        <f t="shared" si="2"/>
        <v/>
      </c>
      <c r="J246" t="str">
        <f t="shared" si="3"/>
        <v/>
      </c>
      <c r="K246" t="str">
        <f t="shared" si="4"/>
        <v/>
      </c>
      <c r="L246" t="str">
        <f t="shared" si="5"/>
        <v/>
      </c>
      <c r="M246" t="str">
        <f t="shared" si="6"/>
        <v/>
      </c>
      <c r="N246" t="str">
        <f t="shared" si="7"/>
        <v/>
      </c>
      <c r="O246" t="str">
        <f t="shared" si="8"/>
        <v/>
      </c>
      <c r="P246" t="str">
        <f t="shared" si="9"/>
        <v/>
      </c>
      <c r="Q246" t="str">
        <f t="shared" si="10"/>
        <v/>
      </c>
      <c r="R246" t="str">
        <f t="shared" si="11"/>
        <v/>
      </c>
      <c r="S246" t="str">
        <f t="shared" si="12"/>
        <v/>
      </c>
      <c r="T246" t="str">
        <f t="shared" si="13"/>
        <v/>
      </c>
      <c r="U246" t="str">
        <f t="shared" si="14"/>
        <v/>
      </c>
      <c r="V246" t="str">
        <f t="shared" si="15"/>
        <v/>
      </c>
      <c r="W246" t="str">
        <f t="shared" si="16"/>
        <v/>
      </c>
      <c r="X246" t="str">
        <f t="shared" si="17"/>
        <v/>
      </c>
      <c r="Y246" t="str">
        <f t="shared" si="18"/>
        <v/>
      </c>
      <c r="Z246" t="str">
        <f t="shared" si="19"/>
        <v/>
      </c>
      <c r="AA246" t="str">
        <f t="shared" si="20"/>
        <v/>
      </c>
      <c r="AB246" t="str">
        <f t="shared" si="21"/>
        <v/>
      </c>
      <c r="AC246" t="str">
        <f t="shared" si="22"/>
        <v/>
      </c>
      <c r="AD246" t="str">
        <f t="shared" si="23"/>
        <v/>
      </c>
      <c r="AE246" t="str">
        <f t="shared" si="24"/>
        <v/>
      </c>
      <c r="AF246" t="str">
        <f t="shared" si="25"/>
        <v/>
      </c>
      <c r="AG246" t="str">
        <f t="shared" si="26"/>
        <v/>
      </c>
      <c r="AH246" s="65" t="str">
        <f t="array" ref="AH246">if(sum(H246:AG246)=0,,sum(sort(TRANSPOSE(H246:AG246),1,false)))</f>
        <v/>
      </c>
    </row>
    <row r="247" hidden="1">
      <c r="F247" s="4">
        <v>115.0</v>
      </c>
      <c r="H247" t="str">
        <f t="shared" si="1"/>
        <v/>
      </c>
      <c r="I247" t="str">
        <f t="shared" si="2"/>
        <v/>
      </c>
      <c r="J247" t="str">
        <f t="shared" si="3"/>
        <v/>
      </c>
      <c r="K247" t="str">
        <f t="shared" si="4"/>
        <v/>
      </c>
      <c r="L247" t="str">
        <f t="shared" si="5"/>
        <v/>
      </c>
      <c r="M247" t="str">
        <f t="shared" si="6"/>
        <v/>
      </c>
      <c r="N247" t="str">
        <f t="shared" si="7"/>
        <v/>
      </c>
      <c r="O247" t="str">
        <f t="shared" si="8"/>
        <v/>
      </c>
      <c r="P247" t="str">
        <f t="shared" si="9"/>
        <v/>
      </c>
      <c r="Q247" t="str">
        <f t="shared" si="10"/>
        <v/>
      </c>
      <c r="R247" t="str">
        <f t="shared" si="11"/>
        <v/>
      </c>
      <c r="S247" t="str">
        <f t="shared" si="12"/>
        <v/>
      </c>
      <c r="T247" t="str">
        <f t="shared" si="13"/>
        <v/>
      </c>
      <c r="U247" t="str">
        <f t="shared" si="14"/>
        <v/>
      </c>
      <c r="V247" t="str">
        <f t="shared" si="15"/>
        <v/>
      </c>
      <c r="W247" t="str">
        <f t="shared" si="16"/>
        <v/>
      </c>
      <c r="X247" t="str">
        <f t="shared" si="17"/>
        <v/>
      </c>
      <c r="Y247" t="str">
        <f t="shared" si="18"/>
        <v/>
      </c>
      <c r="Z247" t="str">
        <f t="shared" si="19"/>
        <v/>
      </c>
      <c r="AA247" t="str">
        <f t="shared" si="20"/>
        <v/>
      </c>
      <c r="AB247" t="str">
        <f t="shared" si="21"/>
        <v/>
      </c>
      <c r="AC247" t="str">
        <f t="shared" si="22"/>
        <v/>
      </c>
      <c r="AD247" t="str">
        <f t="shared" si="23"/>
        <v/>
      </c>
      <c r="AE247" t="str">
        <f t="shared" si="24"/>
        <v/>
      </c>
      <c r="AF247" t="str">
        <f t="shared" si="25"/>
        <v/>
      </c>
      <c r="AG247" t="str">
        <f t="shared" si="26"/>
        <v/>
      </c>
      <c r="AH247" s="65" t="str">
        <f t="array" ref="AH247">if(sum(H247:AG247)=0,,sum(sort(TRANSPOSE(H247:AG247),1,false)))</f>
        <v/>
      </c>
    </row>
    <row r="248" hidden="1">
      <c r="F248" s="4">
        <v>116.0</v>
      </c>
      <c r="H248" t="str">
        <f t="shared" si="1"/>
        <v/>
      </c>
      <c r="I248" t="str">
        <f t="shared" si="2"/>
        <v/>
      </c>
      <c r="J248" t="str">
        <f t="shared" si="3"/>
        <v/>
      </c>
      <c r="K248" t="str">
        <f t="shared" si="4"/>
        <v/>
      </c>
      <c r="L248" t="str">
        <f t="shared" si="5"/>
        <v/>
      </c>
      <c r="M248" t="str">
        <f t="shared" si="6"/>
        <v/>
      </c>
      <c r="N248" t="str">
        <f t="shared" si="7"/>
        <v/>
      </c>
      <c r="O248" t="str">
        <f t="shared" si="8"/>
        <v/>
      </c>
      <c r="P248" t="str">
        <f t="shared" si="9"/>
        <v/>
      </c>
      <c r="Q248" t="str">
        <f t="shared" si="10"/>
        <v/>
      </c>
      <c r="R248" t="str">
        <f t="shared" si="11"/>
        <v/>
      </c>
      <c r="S248" t="str">
        <f t="shared" si="12"/>
        <v/>
      </c>
      <c r="T248" t="str">
        <f t="shared" si="13"/>
        <v/>
      </c>
      <c r="U248" t="str">
        <f t="shared" si="14"/>
        <v/>
      </c>
      <c r="V248" t="str">
        <f t="shared" si="15"/>
        <v/>
      </c>
      <c r="W248" t="str">
        <f t="shared" si="16"/>
        <v/>
      </c>
      <c r="X248" t="str">
        <f t="shared" si="17"/>
        <v/>
      </c>
      <c r="Y248" t="str">
        <f t="shared" si="18"/>
        <v/>
      </c>
      <c r="Z248" t="str">
        <f t="shared" si="19"/>
        <v/>
      </c>
      <c r="AA248" t="str">
        <f t="shared" si="20"/>
        <v/>
      </c>
      <c r="AB248" t="str">
        <f t="shared" si="21"/>
        <v/>
      </c>
      <c r="AC248" t="str">
        <f t="shared" si="22"/>
        <v/>
      </c>
      <c r="AD248" t="str">
        <f t="shared" si="23"/>
        <v/>
      </c>
      <c r="AE248" t="str">
        <f t="shared" si="24"/>
        <v/>
      </c>
      <c r="AF248" t="str">
        <f t="shared" si="25"/>
        <v/>
      </c>
      <c r="AG248" t="str">
        <f t="shared" si="26"/>
        <v/>
      </c>
      <c r="AH248" s="65" t="str">
        <f t="array" ref="AH248">if(sum(H248:AG248)=0,,sum(sort(TRANSPOSE(H248:AG248),1,false)))</f>
        <v/>
      </c>
    </row>
    <row r="249" hidden="1">
      <c r="F249" s="4">
        <v>117.0</v>
      </c>
      <c r="H249" t="str">
        <f t="shared" si="1"/>
        <v/>
      </c>
      <c r="I249" t="str">
        <f t="shared" si="2"/>
        <v/>
      </c>
      <c r="J249" t="str">
        <f t="shared" si="3"/>
        <v/>
      </c>
      <c r="K249" t="str">
        <f t="shared" si="4"/>
        <v/>
      </c>
      <c r="L249" t="str">
        <f t="shared" si="5"/>
        <v/>
      </c>
      <c r="M249" t="str">
        <f t="shared" si="6"/>
        <v/>
      </c>
      <c r="N249" t="str">
        <f t="shared" si="7"/>
        <v/>
      </c>
      <c r="O249" t="str">
        <f t="shared" si="8"/>
        <v/>
      </c>
      <c r="P249" t="str">
        <f t="shared" si="9"/>
        <v/>
      </c>
      <c r="Q249" t="str">
        <f t="shared" si="10"/>
        <v/>
      </c>
      <c r="R249" t="str">
        <f t="shared" si="11"/>
        <v/>
      </c>
      <c r="S249" t="str">
        <f t="shared" si="12"/>
        <v/>
      </c>
      <c r="T249" t="str">
        <f t="shared" si="13"/>
        <v/>
      </c>
      <c r="U249" t="str">
        <f t="shared" si="14"/>
        <v/>
      </c>
      <c r="V249" t="str">
        <f t="shared" si="15"/>
        <v/>
      </c>
      <c r="W249" t="str">
        <f t="shared" si="16"/>
        <v/>
      </c>
      <c r="X249" t="str">
        <f t="shared" si="17"/>
        <v/>
      </c>
      <c r="Y249" t="str">
        <f t="shared" si="18"/>
        <v/>
      </c>
      <c r="Z249" t="str">
        <f t="shared" si="19"/>
        <v/>
      </c>
      <c r="AA249" t="str">
        <f t="shared" si="20"/>
        <v/>
      </c>
      <c r="AB249" t="str">
        <f t="shared" si="21"/>
        <v/>
      </c>
      <c r="AC249" t="str">
        <f t="shared" si="22"/>
        <v/>
      </c>
      <c r="AD249" t="str">
        <f t="shared" si="23"/>
        <v/>
      </c>
      <c r="AE249" t="str">
        <f t="shared" si="24"/>
        <v/>
      </c>
      <c r="AF249" t="str">
        <f t="shared" si="25"/>
        <v/>
      </c>
      <c r="AG249" t="str">
        <f t="shared" si="26"/>
        <v/>
      </c>
      <c r="AH249" s="65" t="str">
        <f t="array" ref="AH249">if(sum(H249:AG249)=0,,sum(sort(TRANSPOSE(H249:AG249),1,false)))</f>
        <v/>
      </c>
    </row>
    <row r="250" hidden="1">
      <c r="F250" s="4">
        <v>118.0</v>
      </c>
      <c r="H250" t="str">
        <f t="shared" si="1"/>
        <v/>
      </c>
      <c r="I250" t="str">
        <f t="shared" si="2"/>
        <v/>
      </c>
      <c r="J250" t="str">
        <f t="shared" si="3"/>
        <v/>
      </c>
      <c r="K250" t="str">
        <f t="shared" si="4"/>
        <v/>
      </c>
      <c r="L250" t="str">
        <f t="shared" si="5"/>
        <v/>
      </c>
      <c r="M250" t="str">
        <f t="shared" si="6"/>
        <v/>
      </c>
      <c r="N250" t="str">
        <f t="shared" si="7"/>
        <v/>
      </c>
      <c r="O250" t="str">
        <f t="shared" si="8"/>
        <v/>
      </c>
      <c r="P250" t="str">
        <f t="shared" si="9"/>
        <v/>
      </c>
      <c r="Q250" t="str">
        <f t="shared" si="10"/>
        <v/>
      </c>
      <c r="R250" t="str">
        <f t="shared" si="11"/>
        <v/>
      </c>
      <c r="S250" t="str">
        <f t="shared" si="12"/>
        <v/>
      </c>
      <c r="T250" t="str">
        <f t="shared" si="13"/>
        <v/>
      </c>
      <c r="U250" t="str">
        <f t="shared" si="14"/>
        <v/>
      </c>
      <c r="V250" t="str">
        <f t="shared" si="15"/>
        <v/>
      </c>
      <c r="W250" t="str">
        <f t="shared" si="16"/>
        <v/>
      </c>
      <c r="X250" t="str">
        <f t="shared" si="17"/>
        <v/>
      </c>
      <c r="Y250" t="str">
        <f t="shared" si="18"/>
        <v/>
      </c>
      <c r="Z250" t="str">
        <f t="shared" si="19"/>
        <v/>
      </c>
      <c r="AA250" t="str">
        <f t="shared" si="20"/>
        <v/>
      </c>
      <c r="AB250" t="str">
        <f t="shared" si="21"/>
        <v/>
      </c>
      <c r="AC250" t="str">
        <f t="shared" si="22"/>
        <v/>
      </c>
      <c r="AD250" t="str">
        <f t="shared" si="23"/>
        <v/>
      </c>
      <c r="AE250" t="str">
        <f t="shared" si="24"/>
        <v/>
      </c>
      <c r="AF250" t="str">
        <f t="shared" si="25"/>
        <v/>
      </c>
      <c r="AG250" t="str">
        <f t="shared" si="26"/>
        <v/>
      </c>
      <c r="AH250" s="65" t="str">
        <f t="array" ref="AH250">if(sum(H250:AG250)=0,,sum(sort(TRANSPOSE(H250:AG250),1,false)))</f>
        <v/>
      </c>
    </row>
    <row r="251" hidden="1">
      <c r="F251" s="4">
        <v>119.0</v>
      </c>
      <c r="H251" t="str">
        <f t="shared" si="1"/>
        <v/>
      </c>
      <c r="I251" t="str">
        <f t="shared" si="2"/>
        <v/>
      </c>
      <c r="J251" t="str">
        <f t="shared" si="3"/>
        <v/>
      </c>
      <c r="K251" t="str">
        <f t="shared" si="4"/>
        <v/>
      </c>
      <c r="L251" t="str">
        <f t="shared" si="5"/>
        <v/>
      </c>
      <c r="M251" t="str">
        <f t="shared" si="6"/>
        <v/>
      </c>
      <c r="N251" t="str">
        <f t="shared" si="7"/>
        <v/>
      </c>
      <c r="O251" t="str">
        <f t="shared" si="8"/>
        <v/>
      </c>
      <c r="P251" t="str">
        <f t="shared" si="9"/>
        <v/>
      </c>
      <c r="Q251" t="str">
        <f t="shared" si="10"/>
        <v/>
      </c>
      <c r="R251" t="str">
        <f t="shared" si="11"/>
        <v/>
      </c>
      <c r="S251" t="str">
        <f t="shared" si="12"/>
        <v/>
      </c>
      <c r="T251" t="str">
        <f t="shared" si="13"/>
        <v/>
      </c>
      <c r="U251" t="str">
        <f t="shared" si="14"/>
        <v/>
      </c>
      <c r="V251" t="str">
        <f t="shared" si="15"/>
        <v/>
      </c>
      <c r="W251" t="str">
        <f t="shared" si="16"/>
        <v/>
      </c>
      <c r="X251" t="str">
        <f t="shared" si="17"/>
        <v/>
      </c>
      <c r="Y251" t="str">
        <f t="shared" si="18"/>
        <v/>
      </c>
      <c r="Z251" t="str">
        <f t="shared" si="19"/>
        <v/>
      </c>
      <c r="AA251" t="str">
        <f t="shared" si="20"/>
        <v/>
      </c>
      <c r="AB251" t="str">
        <f t="shared" si="21"/>
        <v/>
      </c>
      <c r="AC251" t="str">
        <f t="shared" si="22"/>
        <v/>
      </c>
      <c r="AD251" t="str">
        <f t="shared" si="23"/>
        <v/>
      </c>
      <c r="AE251" t="str">
        <f t="shared" si="24"/>
        <v/>
      </c>
      <c r="AF251" t="str">
        <f t="shared" si="25"/>
        <v/>
      </c>
      <c r="AG251" t="str">
        <f t="shared" si="26"/>
        <v/>
      </c>
      <c r="AH251" s="65" t="str">
        <f t="array" ref="AH251">if(sum(H251:AG251)=0,,sum(sort(TRANSPOSE(H251:AG251),1,false)))</f>
        <v/>
      </c>
    </row>
    <row r="252" hidden="1">
      <c r="F252" s="4">
        <v>120.0</v>
      </c>
      <c r="H252" t="str">
        <f t="shared" si="1"/>
        <v/>
      </c>
      <c r="I252" t="str">
        <f t="shared" si="2"/>
        <v/>
      </c>
      <c r="J252" t="str">
        <f t="shared" si="3"/>
        <v/>
      </c>
      <c r="K252" t="str">
        <f t="shared" si="4"/>
        <v/>
      </c>
      <c r="L252" t="str">
        <f t="shared" si="5"/>
        <v/>
      </c>
      <c r="M252" t="str">
        <f t="shared" si="6"/>
        <v/>
      </c>
      <c r="N252" t="str">
        <f t="shared" si="7"/>
        <v/>
      </c>
      <c r="O252" t="str">
        <f t="shared" si="8"/>
        <v/>
      </c>
      <c r="P252" t="str">
        <f t="shared" si="9"/>
        <v/>
      </c>
      <c r="Q252" t="str">
        <f t="shared" si="10"/>
        <v/>
      </c>
      <c r="R252" t="str">
        <f t="shared" si="11"/>
        <v/>
      </c>
      <c r="S252" t="str">
        <f t="shared" si="12"/>
        <v/>
      </c>
      <c r="T252" t="str">
        <f t="shared" si="13"/>
        <v/>
      </c>
      <c r="U252" t="str">
        <f t="shared" si="14"/>
        <v/>
      </c>
      <c r="V252" t="str">
        <f t="shared" si="15"/>
        <v/>
      </c>
      <c r="W252" t="str">
        <f t="shared" si="16"/>
        <v/>
      </c>
      <c r="X252" t="str">
        <f t="shared" si="17"/>
        <v/>
      </c>
      <c r="Y252" t="str">
        <f t="shared" si="18"/>
        <v/>
      </c>
      <c r="Z252" t="str">
        <f t="shared" si="19"/>
        <v/>
      </c>
      <c r="AA252" t="str">
        <f t="shared" si="20"/>
        <v/>
      </c>
      <c r="AB252" t="str">
        <f t="shared" si="21"/>
        <v/>
      </c>
      <c r="AC252" t="str">
        <f t="shared" si="22"/>
        <v/>
      </c>
      <c r="AD252" t="str">
        <f t="shared" si="23"/>
        <v/>
      </c>
      <c r="AE252" t="str">
        <f t="shared" si="24"/>
        <v/>
      </c>
      <c r="AF252" t="str">
        <f t="shared" si="25"/>
        <v/>
      </c>
      <c r="AG252" t="str">
        <f t="shared" si="26"/>
        <v/>
      </c>
      <c r="AH252" s="65" t="str">
        <f t="array" ref="AH252">if(sum(H252:AG252)=0,,sum(sort(TRANSPOSE(H252:AG252),1,false)))</f>
        <v/>
      </c>
    </row>
    <row r="253" hidden="1">
      <c r="F253" s="4">
        <v>121.0</v>
      </c>
      <c r="H253" t="str">
        <f t="shared" si="1"/>
        <v/>
      </c>
      <c r="I253" t="str">
        <f t="shared" si="2"/>
        <v/>
      </c>
      <c r="J253" t="str">
        <f t="shared" si="3"/>
        <v/>
      </c>
      <c r="K253" t="str">
        <f t="shared" si="4"/>
        <v/>
      </c>
      <c r="L253" t="str">
        <f t="shared" si="5"/>
        <v/>
      </c>
      <c r="M253" t="str">
        <f t="shared" si="6"/>
        <v/>
      </c>
      <c r="N253" t="str">
        <f t="shared" si="7"/>
        <v/>
      </c>
      <c r="O253" t="str">
        <f t="shared" si="8"/>
        <v/>
      </c>
      <c r="P253" t="str">
        <f t="shared" si="9"/>
        <v/>
      </c>
      <c r="Q253" t="str">
        <f t="shared" si="10"/>
        <v/>
      </c>
      <c r="R253" t="str">
        <f t="shared" si="11"/>
        <v/>
      </c>
      <c r="S253" t="str">
        <f t="shared" si="12"/>
        <v/>
      </c>
      <c r="T253" t="str">
        <f t="shared" si="13"/>
        <v/>
      </c>
      <c r="U253" t="str">
        <f t="shared" si="14"/>
        <v/>
      </c>
      <c r="V253" t="str">
        <f t="shared" si="15"/>
        <v/>
      </c>
      <c r="W253" t="str">
        <f t="shared" si="16"/>
        <v/>
      </c>
      <c r="X253" t="str">
        <f t="shared" si="17"/>
        <v/>
      </c>
      <c r="Y253" t="str">
        <f t="shared" si="18"/>
        <v/>
      </c>
      <c r="Z253" t="str">
        <f t="shared" si="19"/>
        <v/>
      </c>
      <c r="AA253" t="str">
        <f t="shared" si="20"/>
        <v/>
      </c>
      <c r="AB253" t="str">
        <f t="shared" si="21"/>
        <v/>
      </c>
      <c r="AC253" t="str">
        <f t="shared" si="22"/>
        <v/>
      </c>
      <c r="AD253" t="str">
        <f t="shared" si="23"/>
        <v/>
      </c>
      <c r="AE253" t="str">
        <f t="shared" si="24"/>
        <v/>
      </c>
      <c r="AF253" t="str">
        <f t="shared" si="25"/>
        <v/>
      </c>
      <c r="AG253" t="str">
        <f t="shared" si="26"/>
        <v/>
      </c>
      <c r="AH253" s="65" t="str">
        <f t="array" ref="AH253">if(sum(H253:AG253)=0,,sum(sort(TRANSPOSE(H253:AG253),1,false)))</f>
        <v/>
      </c>
    </row>
    <row r="254" hidden="1">
      <c r="F254" s="4">
        <v>122.0</v>
      </c>
      <c r="H254" t="str">
        <f t="shared" si="1"/>
        <v/>
      </c>
      <c r="I254" t="str">
        <f t="shared" si="2"/>
        <v/>
      </c>
      <c r="J254" t="str">
        <f t="shared" si="3"/>
        <v/>
      </c>
      <c r="K254" t="str">
        <f t="shared" si="4"/>
        <v/>
      </c>
      <c r="L254" t="str">
        <f t="shared" si="5"/>
        <v/>
      </c>
      <c r="M254" t="str">
        <f t="shared" si="6"/>
        <v/>
      </c>
      <c r="N254" t="str">
        <f t="shared" si="7"/>
        <v/>
      </c>
      <c r="O254" t="str">
        <f t="shared" si="8"/>
        <v/>
      </c>
      <c r="P254" t="str">
        <f t="shared" si="9"/>
        <v/>
      </c>
      <c r="Q254" t="str">
        <f t="shared" si="10"/>
        <v/>
      </c>
      <c r="R254" t="str">
        <f t="shared" si="11"/>
        <v/>
      </c>
      <c r="S254" t="str">
        <f t="shared" si="12"/>
        <v/>
      </c>
      <c r="T254" t="str">
        <f t="shared" si="13"/>
        <v/>
      </c>
      <c r="U254" t="str">
        <f t="shared" si="14"/>
        <v/>
      </c>
      <c r="V254" t="str">
        <f t="shared" si="15"/>
        <v/>
      </c>
      <c r="W254" t="str">
        <f t="shared" si="16"/>
        <v/>
      </c>
      <c r="X254" t="str">
        <f t="shared" si="17"/>
        <v/>
      </c>
      <c r="Y254" t="str">
        <f t="shared" si="18"/>
        <v/>
      </c>
      <c r="Z254" t="str">
        <f t="shared" si="19"/>
        <v/>
      </c>
      <c r="AA254" t="str">
        <f t="shared" si="20"/>
        <v/>
      </c>
      <c r="AB254" t="str">
        <f t="shared" si="21"/>
        <v/>
      </c>
      <c r="AC254" t="str">
        <f t="shared" si="22"/>
        <v/>
      </c>
      <c r="AD254" t="str">
        <f t="shared" si="23"/>
        <v/>
      </c>
      <c r="AE254" t="str">
        <f t="shared" si="24"/>
        <v/>
      </c>
      <c r="AF254" t="str">
        <f t="shared" si="25"/>
        <v/>
      </c>
      <c r="AG254" t="str">
        <f t="shared" si="26"/>
        <v/>
      </c>
      <c r="AH254" s="65" t="str">
        <f t="array" ref="AH254">if(sum(H254:AG254)=0,,sum(sort(TRANSPOSE(H254:AG254),1,false)))</f>
        <v/>
      </c>
    </row>
    <row r="255" hidden="1">
      <c r="F255" s="4">
        <v>123.0</v>
      </c>
      <c r="H255" t="str">
        <f t="shared" si="1"/>
        <v/>
      </c>
      <c r="I255" t="str">
        <f t="shared" si="2"/>
        <v/>
      </c>
      <c r="J255" t="str">
        <f t="shared" si="3"/>
        <v/>
      </c>
      <c r="K255" t="str">
        <f t="shared" si="4"/>
        <v/>
      </c>
      <c r="L255" t="str">
        <f t="shared" si="5"/>
        <v/>
      </c>
      <c r="M255" t="str">
        <f t="shared" si="6"/>
        <v/>
      </c>
      <c r="N255" t="str">
        <f t="shared" si="7"/>
        <v/>
      </c>
      <c r="O255" t="str">
        <f t="shared" si="8"/>
        <v/>
      </c>
      <c r="P255" t="str">
        <f t="shared" si="9"/>
        <v/>
      </c>
      <c r="Q255" t="str">
        <f t="shared" si="10"/>
        <v/>
      </c>
      <c r="R255" t="str">
        <f t="shared" si="11"/>
        <v/>
      </c>
      <c r="S255" t="str">
        <f t="shared" si="12"/>
        <v/>
      </c>
      <c r="T255" t="str">
        <f t="shared" si="13"/>
        <v/>
      </c>
      <c r="U255" t="str">
        <f t="shared" si="14"/>
        <v/>
      </c>
      <c r="V255" t="str">
        <f t="shared" si="15"/>
        <v/>
      </c>
      <c r="W255" t="str">
        <f t="shared" si="16"/>
        <v/>
      </c>
      <c r="X255" t="str">
        <f t="shared" si="17"/>
        <v/>
      </c>
      <c r="Y255" t="str">
        <f t="shared" si="18"/>
        <v/>
      </c>
      <c r="Z255" t="str">
        <f t="shared" si="19"/>
        <v/>
      </c>
      <c r="AA255" t="str">
        <f t="shared" si="20"/>
        <v/>
      </c>
      <c r="AB255" t="str">
        <f t="shared" si="21"/>
        <v/>
      </c>
      <c r="AC255" t="str">
        <f t="shared" si="22"/>
        <v/>
      </c>
      <c r="AD255" t="str">
        <f t="shared" si="23"/>
        <v/>
      </c>
      <c r="AE255" t="str">
        <f t="shared" si="24"/>
        <v/>
      </c>
      <c r="AF255" t="str">
        <f t="shared" si="25"/>
        <v/>
      </c>
      <c r="AG255" t="str">
        <f t="shared" si="26"/>
        <v/>
      </c>
      <c r="AH255" s="65" t="str">
        <f t="array" ref="AH255">if(sum(H255:AG255)=0,,sum(sort(TRANSPOSE(H255:AG255),1,false)))</f>
        <v/>
      </c>
    </row>
    <row r="256" hidden="1">
      <c r="F256" s="4">
        <v>124.0</v>
      </c>
      <c r="H256" t="str">
        <f t="shared" si="1"/>
        <v/>
      </c>
      <c r="I256" t="str">
        <f t="shared" si="2"/>
        <v/>
      </c>
      <c r="J256" t="str">
        <f t="shared" si="3"/>
        <v/>
      </c>
      <c r="K256" t="str">
        <f t="shared" si="4"/>
        <v/>
      </c>
      <c r="L256" t="str">
        <f t="shared" si="5"/>
        <v/>
      </c>
      <c r="M256" t="str">
        <f t="shared" si="6"/>
        <v/>
      </c>
      <c r="N256" t="str">
        <f t="shared" si="7"/>
        <v/>
      </c>
      <c r="O256" t="str">
        <f t="shared" si="8"/>
        <v/>
      </c>
      <c r="P256" t="str">
        <f t="shared" si="9"/>
        <v/>
      </c>
      <c r="Q256" t="str">
        <f t="shared" si="10"/>
        <v/>
      </c>
      <c r="R256" t="str">
        <f t="shared" si="11"/>
        <v/>
      </c>
      <c r="S256" t="str">
        <f t="shared" si="12"/>
        <v/>
      </c>
      <c r="T256" t="str">
        <f t="shared" si="13"/>
        <v/>
      </c>
      <c r="U256" t="str">
        <f t="shared" si="14"/>
        <v/>
      </c>
      <c r="V256" t="str">
        <f t="shared" si="15"/>
        <v/>
      </c>
      <c r="W256" t="str">
        <f t="shared" si="16"/>
        <v/>
      </c>
      <c r="X256" t="str">
        <f t="shared" si="17"/>
        <v/>
      </c>
      <c r="Y256" t="str">
        <f t="shared" si="18"/>
        <v/>
      </c>
      <c r="Z256" t="str">
        <f t="shared" si="19"/>
        <v/>
      </c>
      <c r="AA256" t="str">
        <f t="shared" si="20"/>
        <v/>
      </c>
      <c r="AB256" t="str">
        <f t="shared" si="21"/>
        <v/>
      </c>
      <c r="AC256" t="str">
        <f t="shared" si="22"/>
        <v/>
      </c>
      <c r="AD256" t="str">
        <f t="shared" si="23"/>
        <v/>
      </c>
      <c r="AE256" t="str">
        <f t="shared" si="24"/>
        <v/>
      </c>
      <c r="AF256" t="str">
        <f t="shared" si="25"/>
        <v/>
      </c>
      <c r="AG256" t="str">
        <f t="shared" si="26"/>
        <v/>
      </c>
      <c r="AH256" s="65" t="str">
        <f t="array" ref="AH256">if(sum(H256:AG256)=0,,sum(sort(TRANSPOSE(H256:AG256),1,false)))</f>
        <v/>
      </c>
    </row>
    <row r="257" hidden="1">
      <c r="F257" s="4">
        <v>125.0</v>
      </c>
      <c r="H257" t="str">
        <f t="shared" si="1"/>
        <v/>
      </c>
      <c r="I257" t="str">
        <f t="shared" si="2"/>
        <v/>
      </c>
      <c r="J257" t="str">
        <f t="shared" si="3"/>
        <v/>
      </c>
      <c r="K257" t="str">
        <f t="shared" si="4"/>
        <v/>
      </c>
      <c r="L257" t="str">
        <f t="shared" si="5"/>
        <v/>
      </c>
      <c r="M257" t="str">
        <f t="shared" si="6"/>
        <v/>
      </c>
      <c r="N257" t="str">
        <f t="shared" si="7"/>
        <v/>
      </c>
      <c r="O257" t="str">
        <f t="shared" si="8"/>
        <v/>
      </c>
      <c r="P257" t="str">
        <f t="shared" si="9"/>
        <v/>
      </c>
      <c r="Q257" t="str">
        <f t="shared" si="10"/>
        <v/>
      </c>
      <c r="R257" t="str">
        <f t="shared" si="11"/>
        <v/>
      </c>
      <c r="S257" t="str">
        <f t="shared" si="12"/>
        <v/>
      </c>
      <c r="T257" t="str">
        <f t="shared" si="13"/>
        <v/>
      </c>
      <c r="U257" t="str">
        <f t="shared" si="14"/>
        <v/>
      </c>
      <c r="V257" t="str">
        <f t="shared" si="15"/>
        <v/>
      </c>
      <c r="W257" t="str">
        <f t="shared" si="16"/>
        <v/>
      </c>
      <c r="X257" t="str">
        <f t="shared" si="17"/>
        <v/>
      </c>
      <c r="Y257" t="str">
        <f t="shared" si="18"/>
        <v/>
      </c>
      <c r="Z257" t="str">
        <f t="shared" si="19"/>
        <v/>
      </c>
      <c r="AA257" t="str">
        <f t="shared" si="20"/>
        <v/>
      </c>
      <c r="AB257" t="str">
        <f t="shared" si="21"/>
        <v/>
      </c>
      <c r="AC257" t="str">
        <f t="shared" si="22"/>
        <v/>
      </c>
      <c r="AD257" t="str">
        <f t="shared" si="23"/>
        <v/>
      </c>
      <c r="AE257" t="str">
        <f t="shared" si="24"/>
        <v/>
      </c>
      <c r="AF257" t="str">
        <f t="shared" si="25"/>
        <v/>
      </c>
      <c r="AG257" t="str">
        <f t="shared" si="26"/>
        <v/>
      </c>
      <c r="AH257" s="65" t="str">
        <f t="array" ref="AH257">if(sum(H257:AG257)=0,,sum(sort(TRANSPOSE(H257:AG257),1,false)))</f>
        <v/>
      </c>
    </row>
    <row r="258" hidden="1">
      <c r="F258" s="4">
        <v>126.0</v>
      </c>
      <c r="H258" t="str">
        <f t="shared" si="1"/>
        <v/>
      </c>
      <c r="I258" t="str">
        <f t="shared" si="2"/>
        <v/>
      </c>
      <c r="J258" t="str">
        <f t="shared" si="3"/>
        <v/>
      </c>
      <c r="K258" t="str">
        <f t="shared" si="4"/>
        <v/>
      </c>
      <c r="L258" t="str">
        <f t="shared" si="5"/>
        <v/>
      </c>
      <c r="M258" t="str">
        <f t="shared" si="6"/>
        <v/>
      </c>
      <c r="N258" t="str">
        <f t="shared" si="7"/>
        <v/>
      </c>
      <c r="O258" t="str">
        <f t="shared" si="8"/>
        <v/>
      </c>
      <c r="P258" t="str">
        <f t="shared" si="9"/>
        <v/>
      </c>
      <c r="Q258" t="str">
        <f t="shared" si="10"/>
        <v/>
      </c>
      <c r="R258" t="str">
        <f t="shared" si="11"/>
        <v/>
      </c>
      <c r="S258" t="str">
        <f t="shared" si="12"/>
        <v/>
      </c>
      <c r="T258" t="str">
        <f t="shared" si="13"/>
        <v/>
      </c>
      <c r="U258" t="str">
        <f t="shared" si="14"/>
        <v/>
      </c>
      <c r="V258" t="str">
        <f t="shared" si="15"/>
        <v/>
      </c>
      <c r="W258" t="str">
        <f t="shared" si="16"/>
        <v/>
      </c>
      <c r="X258" t="str">
        <f t="shared" si="17"/>
        <v/>
      </c>
      <c r="Y258" t="str">
        <f t="shared" si="18"/>
        <v/>
      </c>
      <c r="Z258" t="str">
        <f t="shared" si="19"/>
        <v/>
      </c>
      <c r="AA258" t="str">
        <f t="shared" si="20"/>
        <v/>
      </c>
      <c r="AB258" t="str">
        <f t="shared" si="21"/>
        <v/>
      </c>
      <c r="AC258" t="str">
        <f t="shared" si="22"/>
        <v/>
      </c>
      <c r="AD258" t="str">
        <f t="shared" si="23"/>
        <v/>
      </c>
      <c r="AE258" t="str">
        <f t="shared" si="24"/>
        <v/>
      </c>
      <c r="AF258" t="str">
        <f t="shared" si="25"/>
        <v/>
      </c>
      <c r="AG258" t="str">
        <f t="shared" si="26"/>
        <v/>
      </c>
      <c r="AH258" s="65" t="str">
        <f t="array" ref="AH258">if(sum(H258:AG258)=0,,sum(sort(TRANSPOSE(H258:AG258),1,false)))</f>
        <v/>
      </c>
    </row>
    <row r="259" hidden="1">
      <c r="F259" s="4">
        <v>127.0</v>
      </c>
      <c r="H259" t="str">
        <f t="shared" si="1"/>
        <v/>
      </c>
      <c r="I259" t="str">
        <f t="shared" si="2"/>
        <v/>
      </c>
      <c r="J259" t="str">
        <f t="shared" si="3"/>
        <v/>
      </c>
      <c r="K259" t="str">
        <f t="shared" si="4"/>
        <v/>
      </c>
      <c r="L259" t="str">
        <f t="shared" si="5"/>
        <v/>
      </c>
      <c r="M259" t="str">
        <f t="shared" si="6"/>
        <v/>
      </c>
      <c r="N259" t="str">
        <f t="shared" si="7"/>
        <v/>
      </c>
      <c r="O259" t="str">
        <f t="shared" si="8"/>
        <v/>
      </c>
      <c r="P259" t="str">
        <f t="shared" si="9"/>
        <v/>
      </c>
      <c r="Q259" t="str">
        <f t="shared" si="10"/>
        <v/>
      </c>
      <c r="R259" t="str">
        <f t="shared" si="11"/>
        <v/>
      </c>
      <c r="S259" t="str">
        <f t="shared" si="12"/>
        <v/>
      </c>
      <c r="T259" t="str">
        <f t="shared" si="13"/>
        <v/>
      </c>
      <c r="U259" t="str">
        <f t="shared" si="14"/>
        <v/>
      </c>
      <c r="V259" t="str">
        <f t="shared" si="15"/>
        <v/>
      </c>
      <c r="W259" t="str">
        <f t="shared" si="16"/>
        <v/>
      </c>
      <c r="X259" t="str">
        <f t="shared" si="17"/>
        <v/>
      </c>
      <c r="Y259" t="str">
        <f t="shared" si="18"/>
        <v/>
      </c>
      <c r="Z259" t="str">
        <f t="shared" si="19"/>
        <v/>
      </c>
      <c r="AA259" t="str">
        <f t="shared" si="20"/>
        <v/>
      </c>
      <c r="AB259" t="str">
        <f t="shared" si="21"/>
        <v/>
      </c>
      <c r="AC259" t="str">
        <f t="shared" si="22"/>
        <v/>
      </c>
      <c r="AD259" t="str">
        <f t="shared" si="23"/>
        <v/>
      </c>
      <c r="AE259" t="str">
        <f t="shared" si="24"/>
        <v/>
      </c>
      <c r="AF259" t="str">
        <f t="shared" si="25"/>
        <v/>
      </c>
      <c r="AG259" t="str">
        <f t="shared" si="26"/>
        <v/>
      </c>
      <c r="AH259" s="65" t="str">
        <f t="array" ref="AH259">if(sum(H259:AG259)=0,,sum(sort(TRANSPOSE(H259:AG259),1,false)))</f>
        <v/>
      </c>
    </row>
    <row r="260" hidden="1">
      <c r="F260" s="4">
        <v>128.0</v>
      </c>
      <c r="H260" t="str">
        <f t="shared" si="1"/>
        <v/>
      </c>
      <c r="I260" t="str">
        <f t="shared" si="2"/>
        <v/>
      </c>
      <c r="J260" t="str">
        <f t="shared" si="3"/>
        <v/>
      </c>
      <c r="K260" t="str">
        <f t="shared" si="4"/>
        <v/>
      </c>
      <c r="L260" t="str">
        <f t="shared" si="5"/>
        <v/>
      </c>
      <c r="M260" t="str">
        <f t="shared" si="6"/>
        <v/>
      </c>
      <c r="N260" t="str">
        <f t="shared" si="7"/>
        <v/>
      </c>
      <c r="O260" t="str">
        <f t="shared" si="8"/>
        <v/>
      </c>
      <c r="P260" t="str">
        <f t="shared" si="9"/>
        <v/>
      </c>
      <c r="Q260" t="str">
        <f t="shared" si="10"/>
        <v/>
      </c>
      <c r="R260" t="str">
        <f t="shared" si="11"/>
        <v/>
      </c>
      <c r="S260" t="str">
        <f t="shared" si="12"/>
        <v/>
      </c>
      <c r="T260" t="str">
        <f t="shared" si="13"/>
        <v/>
      </c>
      <c r="U260" t="str">
        <f t="shared" si="14"/>
        <v/>
      </c>
      <c r="V260" t="str">
        <f t="shared" si="15"/>
        <v/>
      </c>
      <c r="W260" t="str">
        <f t="shared" si="16"/>
        <v/>
      </c>
      <c r="X260" t="str">
        <f t="shared" si="17"/>
        <v/>
      </c>
      <c r="Y260" t="str">
        <f t="shared" si="18"/>
        <v/>
      </c>
      <c r="Z260" t="str">
        <f t="shared" si="19"/>
        <v/>
      </c>
      <c r="AA260" t="str">
        <f t="shared" si="20"/>
        <v/>
      </c>
      <c r="AB260" t="str">
        <f t="shared" si="21"/>
        <v/>
      </c>
      <c r="AC260" t="str">
        <f t="shared" si="22"/>
        <v/>
      </c>
      <c r="AD260" t="str">
        <f t="shared" si="23"/>
        <v/>
      </c>
      <c r="AE260" t="str">
        <f t="shared" si="24"/>
        <v/>
      </c>
      <c r="AF260" t="str">
        <f t="shared" si="25"/>
        <v/>
      </c>
      <c r="AG260" t="str">
        <f t="shared" si="26"/>
        <v/>
      </c>
      <c r="AH260" s="65" t="str">
        <f t="array" ref="AH260">if(sum(H260:AG260)=0,,sum(sort(TRANSPOSE(H260:AG260),1,false)))</f>
        <v/>
      </c>
    </row>
    <row r="261" hidden="1">
      <c r="F261" s="4">
        <v>129.0</v>
      </c>
      <c r="H261" t="str">
        <f t="shared" si="1"/>
        <v/>
      </c>
      <c r="I261" t="str">
        <f t="shared" si="2"/>
        <v/>
      </c>
      <c r="J261" t="str">
        <f t="shared" si="3"/>
        <v/>
      </c>
      <c r="K261" t="str">
        <f t="shared" si="4"/>
        <v/>
      </c>
      <c r="L261" t="str">
        <f t="shared" si="5"/>
        <v/>
      </c>
      <c r="M261" t="str">
        <f t="shared" si="6"/>
        <v/>
      </c>
      <c r="N261" t="str">
        <f t="shared" si="7"/>
        <v/>
      </c>
      <c r="O261" t="str">
        <f t="shared" si="8"/>
        <v/>
      </c>
      <c r="P261" t="str">
        <f t="shared" si="9"/>
        <v/>
      </c>
      <c r="Q261" t="str">
        <f t="shared" si="10"/>
        <v/>
      </c>
      <c r="R261" t="str">
        <f t="shared" si="11"/>
        <v/>
      </c>
      <c r="S261" t="str">
        <f t="shared" si="12"/>
        <v/>
      </c>
      <c r="T261" t="str">
        <f t="shared" si="13"/>
        <v/>
      </c>
      <c r="U261" t="str">
        <f t="shared" si="14"/>
        <v/>
      </c>
      <c r="V261" t="str">
        <f t="shared" si="15"/>
        <v/>
      </c>
      <c r="W261" t="str">
        <f t="shared" si="16"/>
        <v/>
      </c>
      <c r="X261" t="str">
        <f t="shared" si="17"/>
        <v/>
      </c>
      <c r="Y261" t="str">
        <f t="shared" si="18"/>
        <v/>
      </c>
      <c r="Z261" t="str">
        <f t="shared" si="19"/>
        <v/>
      </c>
      <c r="AA261" t="str">
        <f t="shared" si="20"/>
        <v/>
      </c>
      <c r="AB261" t="str">
        <f t="shared" si="21"/>
        <v/>
      </c>
      <c r="AC261" t="str">
        <f t="shared" si="22"/>
        <v/>
      </c>
      <c r="AD261" t="str">
        <f t="shared" si="23"/>
        <v/>
      </c>
      <c r="AE261" t="str">
        <f t="shared" si="24"/>
        <v/>
      </c>
      <c r="AF261" t="str">
        <f t="shared" si="25"/>
        <v/>
      </c>
      <c r="AG261" t="str">
        <f t="shared" si="26"/>
        <v/>
      </c>
      <c r="AH261" s="65" t="str">
        <f t="array" ref="AH261">if(sum(H261:AG261)=0,,sum(sort(TRANSPOSE(H261:AG261),1,false)))</f>
        <v/>
      </c>
    </row>
    <row r="262" hidden="1">
      <c r="F262" s="4">
        <v>130.0</v>
      </c>
      <c r="H262" t="str">
        <f t="shared" si="1"/>
        <v/>
      </c>
      <c r="I262" t="str">
        <f t="shared" si="2"/>
        <v/>
      </c>
      <c r="J262" t="str">
        <f t="shared" si="3"/>
        <v/>
      </c>
      <c r="K262" t="str">
        <f t="shared" si="4"/>
        <v/>
      </c>
      <c r="L262" t="str">
        <f t="shared" si="5"/>
        <v/>
      </c>
      <c r="M262" t="str">
        <f t="shared" si="6"/>
        <v/>
      </c>
      <c r="N262" t="str">
        <f t="shared" si="7"/>
        <v/>
      </c>
      <c r="O262" t="str">
        <f t="shared" si="8"/>
        <v/>
      </c>
      <c r="P262" t="str">
        <f t="shared" si="9"/>
        <v/>
      </c>
      <c r="Q262" t="str">
        <f t="shared" si="10"/>
        <v/>
      </c>
      <c r="R262" t="str">
        <f t="shared" si="11"/>
        <v/>
      </c>
      <c r="S262" t="str">
        <f t="shared" si="12"/>
        <v/>
      </c>
      <c r="T262" t="str">
        <f t="shared" si="13"/>
        <v/>
      </c>
      <c r="U262" t="str">
        <f t="shared" si="14"/>
        <v/>
      </c>
      <c r="V262" t="str">
        <f t="shared" si="15"/>
        <v/>
      </c>
      <c r="W262" t="str">
        <f t="shared" si="16"/>
        <v/>
      </c>
      <c r="X262" t="str">
        <f t="shared" si="17"/>
        <v/>
      </c>
      <c r="Y262" t="str">
        <f t="shared" si="18"/>
        <v/>
      </c>
      <c r="Z262" t="str">
        <f t="shared" si="19"/>
        <v/>
      </c>
      <c r="AA262" t="str">
        <f t="shared" si="20"/>
        <v/>
      </c>
      <c r="AB262" t="str">
        <f t="shared" si="21"/>
        <v/>
      </c>
      <c r="AC262" t="str">
        <f t="shared" si="22"/>
        <v/>
      </c>
      <c r="AD262" t="str">
        <f t="shared" si="23"/>
        <v/>
      </c>
      <c r="AE262" t="str">
        <f t="shared" si="24"/>
        <v/>
      </c>
      <c r="AF262" t="str">
        <f t="shared" si="25"/>
        <v/>
      </c>
      <c r="AG262" t="str">
        <f t="shared" si="26"/>
        <v/>
      </c>
      <c r="AH262" s="65" t="str">
        <f t="array" ref="AH262">if(sum(H262:AG262)=0,,sum(sort(TRANSPOSE(H262:AG262),1,false)))</f>
        <v/>
      </c>
    </row>
    <row r="263" hidden="1">
      <c r="F263" s="4">
        <v>131.0</v>
      </c>
      <c r="H263" t="str">
        <f t="shared" si="1"/>
        <v/>
      </c>
      <c r="I263" t="str">
        <f t="shared" si="2"/>
        <v/>
      </c>
      <c r="J263" t="str">
        <f t="shared" si="3"/>
        <v/>
      </c>
      <c r="K263" t="str">
        <f t="shared" si="4"/>
        <v/>
      </c>
      <c r="L263" t="str">
        <f t="shared" si="5"/>
        <v/>
      </c>
      <c r="M263" t="str">
        <f t="shared" si="6"/>
        <v/>
      </c>
      <c r="N263" t="str">
        <f t="shared" si="7"/>
        <v/>
      </c>
      <c r="O263" t="str">
        <f t="shared" si="8"/>
        <v/>
      </c>
      <c r="P263" t="str">
        <f t="shared" si="9"/>
        <v/>
      </c>
      <c r="Q263" t="str">
        <f t="shared" si="10"/>
        <v/>
      </c>
      <c r="R263" t="str">
        <f t="shared" si="11"/>
        <v/>
      </c>
      <c r="S263" t="str">
        <f t="shared" si="12"/>
        <v/>
      </c>
      <c r="T263" t="str">
        <f t="shared" si="13"/>
        <v/>
      </c>
      <c r="U263" t="str">
        <f t="shared" si="14"/>
        <v/>
      </c>
      <c r="V263" t="str">
        <f t="shared" si="15"/>
        <v/>
      </c>
      <c r="W263" t="str">
        <f t="shared" si="16"/>
        <v/>
      </c>
      <c r="X263" t="str">
        <f t="shared" si="17"/>
        <v/>
      </c>
      <c r="Y263" t="str">
        <f t="shared" si="18"/>
        <v/>
      </c>
      <c r="Z263" t="str">
        <f t="shared" si="19"/>
        <v/>
      </c>
      <c r="AA263" t="str">
        <f t="shared" si="20"/>
        <v/>
      </c>
      <c r="AB263" t="str">
        <f t="shared" si="21"/>
        <v/>
      </c>
      <c r="AC263" t="str">
        <f t="shared" si="22"/>
        <v/>
      </c>
      <c r="AD263" t="str">
        <f t="shared" si="23"/>
        <v/>
      </c>
      <c r="AE263" t="str">
        <f t="shared" si="24"/>
        <v/>
      </c>
      <c r="AF263" t="str">
        <f t="shared" si="25"/>
        <v/>
      </c>
      <c r="AG263" t="str">
        <f t="shared" si="26"/>
        <v/>
      </c>
      <c r="AH263" s="65" t="str">
        <f t="array" ref="AH263">if(sum(H263:AG263)=0,,sum(sort(TRANSPOSE(H263:AG263),1,false)))</f>
        <v/>
      </c>
    </row>
    <row r="264" hidden="1">
      <c r="F264" s="4">
        <v>132.0</v>
      </c>
      <c r="H264" t="str">
        <f t="shared" si="1"/>
        <v/>
      </c>
      <c r="I264" t="str">
        <f t="shared" si="2"/>
        <v/>
      </c>
      <c r="J264" t="str">
        <f t="shared" si="3"/>
        <v/>
      </c>
      <c r="K264" t="str">
        <f t="shared" si="4"/>
        <v/>
      </c>
      <c r="L264" t="str">
        <f t="shared" si="5"/>
        <v/>
      </c>
      <c r="M264" t="str">
        <f t="shared" si="6"/>
        <v/>
      </c>
      <c r="N264" t="str">
        <f t="shared" si="7"/>
        <v/>
      </c>
      <c r="O264" t="str">
        <f t="shared" si="8"/>
        <v/>
      </c>
      <c r="P264" t="str">
        <f t="shared" si="9"/>
        <v/>
      </c>
      <c r="Q264" t="str">
        <f t="shared" si="10"/>
        <v/>
      </c>
      <c r="R264" t="str">
        <f t="shared" si="11"/>
        <v/>
      </c>
      <c r="S264" t="str">
        <f t="shared" si="12"/>
        <v/>
      </c>
      <c r="T264" t="str">
        <f t="shared" si="13"/>
        <v/>
      </c>
      <c r="U264" t="str">
        <f t="shared" si="14"/>
        <v/>
      </c>
      <c r="V264" t="str">
        <f t="shared" si="15"/>
        <v/>
      </c>
      <c r="W264" t="str">
        <f t="shared" si="16"/>
        <v/>
      </c>
      <c r="X264" t="str">
        <f t="shared" si="17"/>
        <v/>
      </c>
      <c r="Y264" t="str">
        <f t="shared" si="18"/>
        <v/>
      </c>
      <c r="Z264" t="str">
        <f t="shared" si="19"/>
        <v/>
      </c>
      <c r="AA264" t="str">
        <f t="shared" si="20"/>
        <v/>
      </c>
      <c r="AB264" t="str">
        <f t="shared" si="21"/>
        <v/>
      </c>
      <c r="AC264" t="str">
        <f t="shared" si="22"/>
        <v/>
      </c>
      <c r="AD264" t="str">
        <f t="shared" si="23"/>
        <v/>
      </c>
      <c r="AE264" t="str">
        <f t="shared" si="24"/>
        <v/>
      </c>
      <c r="AF264" t="str">
        <f t="shared" si="25"/>
        <v/>
      </c>
      <c r="AG264" t="str">
        <f t="shared" si="26"/>
        <v/>
      </c>
      <c r="AH264" s="65" t="str">
        <f t="array" ref="AH264">if(sum(H264:AG264)=0,,sum(sort(TRANSPOSE(H264:AG264),1,false)))</f>
        <v/>
      </c>
    </row>
    <row r="265" hidden="1">
      <c r="F265" s="4">
        <v>133.0</v>
      </c>
      <c r="H265" t="str">
        <f t="shared" si="1"/>
        <v/>
      </c>
      <c r="I265" t="str">
        <f t="shared" si="2"/>
        <v/>
      </c>
      <c r="J265" t="str">
        <f t="shared" si="3"/>
        <v/>
      </c>
      <c r="K265" t="str">
        <f t="shared" si="4"/>
        <v/>
      </c>
      <c r="L265" t="str">
        <f t="shared" si="5"/>
        <v/>
      </c>
      <c r="M265" t="str">
        <f t="shared" si="6"/>
        <v/>
      </c>
      <c r="N265" t="str">
        <f t="shared" si="7"/>
        <v/>
      </c>
      <c r="O265" t="str">
        <f t="shared" si="8"/>
        <v/>
      </c>
      <c r="P265" t="str">
        <f t="shared" si="9"/>
        <v/>
      </c>
      <c r="Q265" t="str">
        <f t="shared" si="10"/>
        <v/>
      </c>
      <c r="R265" t="str">
        <f t="shared" si="11"/>
        <v/>
      </c>
      <c r="S265" t="str">
        <f t="shared" si="12"/>
        <v/>
      </c>
      <c r="T265" t="str">
        <f t="shared" si="13"/>
        <v/>
      </c>
      <c r="U265" t="str">
        <f t="shared" si="14"/>
        <v/>
      </c>
      <c r="V265" t="str">
        <f t="shared" si="15"/>
        <v/>
      </c>
      <c r="W265" t="str">
        <f t="shared" si="16"/>
        <v/>
      </c>
      <c r="X265" t="str">
        <f t="shared" si="17"/>
        <v/>
      </c>
      <c r="Y265" t="str">
        <f t="shared" si="18"/>
        <v/>
      </c>
      <c r="Z265" t="str">
        <f t="shared" si="19"/>
        <v/>
      </c>
      <c r="AA265" t="str">
        <f t="shared" si="20"/>
        <v/>
      </c>
      <c r="AB265" t="str">
        <f t="shared" si="21"/>
        <v/>
      </c>
      <c r="AC265" t="str">
        <f t="shared" si="22"/>
        <v/>
      </c>
      <c r="AD265" t="str">
        <f t="shared" si="23"/>
        <v/>
      </c>
      <c r="AE265" t="str">
        <f t="shared" si="24"/>
        <v/>
      </c>
      <c r="AF265" t="str">
        <f t="shared" si="25"/>
        <v/>
      </c>
      <c r="AG265" t="str">
        <f t="shared" si="26"/>
        <v/>
      </c>
      <c r="AH265" s="65" t="str">
        <f t="array" ref="AH265">if(sum(H265:AG265)=0,,sum(sort(TRANSPOSE(H265:AG265),1,false)))</f>
        <v/>
      </c>
    </row>
    <row r="266" hidden="1">
      <c r="F266" s="4">
        <v>134.0</v>
      </c>
      <c r="H266" t="str">
        <f t="shared" si="1"/>
        <v/>
      </c>
      <c r="I266" t="str">
        <f t="shared" si="2"/>
        <v/>
      </c>
      <c r="J266" t="str">
        <f t="shared" si="3"/>
        <v/>
      </c>
      <c r="K266" t="str">
        <f t="shared" si="4"/>
        <v/>
      </c>
      <c r="L266" t="str">
        <f t="shared" si="5"/>
        <v/>
      </c>
      <c r="M266" t="str">
        <f t="shared" si="6"/>
        <v/>
      </c>
      <c r="N266" t="str">
        <f t="shared" si="7"/>
        <v/>
      </c>
      <c r="O266" t="str">
        <f t="shared" si="8"/>
        <v/>
      </c>
      <c r="P266" t="str">
        <f t="shared" si="9"/>
        <v/>
      </c>
      <c r="Q266" t="str">
        <f t="shared" si="10"/>
        <v/>
      </c>
      <c r="R266" t="str">
        <f t="shared" si="11"/>
        <v/>
      </c>
      <c r="S266" t="str">
        <f t="shared" si="12"/>
        <v/>
      </c>
      <c r="T266" t="str">
        <f t="shared" si="13"/>
        <v/>
      </c>
      <c r="U266" t="str">
        <f t="shared" si="14"/>
        <v/>
      </c>
      <c r="V266" t="str">
        <f t="shared" si="15"/>
        <v/>
      </c>
      <c r="W266" t="str">
        <f t="shared" si="16"/>
        <v/>
      </c>
      <c r="X266" t="str">
        <f t="shared" si="17"/>
        <v/>
      </c>
      <c r="Y266" t="str">
        <f t="shared" si="18"/>
        <v/>
      </c>
      <c r="Z266" t="str">
        <f t="shared" si="19"/>
        <v/>
      </c>
      <c r="AA266" t="str">
        <f t="shared" si="20"/>
        <v/>
      </c>
      <c r="AB266" t="str">
        <f t="shared" si="21"/>
        <v/>
      </c>
      <c r="AC266" t="str">
        <f t="shared" si="22"/>
        <v/>
      </c>
      <c r="AD266" t="str">
        <f t="shared" si="23"/>
        <v/>
      </c>
      <c r="AE266" t="str">
        <f t="shared" si="24"/>
        <v/>
      </c>
      <c r="AF266" t="str">
        <f t="shared" si="25"/>
        <v/>
      </c>
      <c r="AG266" t="str">
        <f t="shared" si="26"/>
        <v/>
      </c>
      <c r="AH266" s="65" t="str">
        <f t="array" ref="AH266">if(sum(H266:AG266)=0,,sum(sort(TRANSPOSE(H266:AG266),1,false)))</f>
        <v/>
      </c>
    </row>
    <row r="267" hidden="1">
      <c r="F267" s="4">
        <v>135.0</v>
      </c>
      <c r="H267" t="str">
        <f t="shared" si="1"/>
        <v/>
      </c>
      <c r="I267" t="str">
        <f t="shared" si="2"/>
        <v/>
      </c>
      <c r="J267" t="str">
        <f t="shared" si="3"/>
        <v/>
      </c>
      <c r="K267" t="str">
        <f t="shared" si="4"/>
        <v/>
      </c>
      <c r="L267" t="str">
        <f t="shared" si="5"/>
        <v/>
      </c>
      <c r="M267" t="str">
        <f t="shared" si="6"/>
        <v/>
      </c>
      <c r="N267" t="str">
        <f t="shared" si="7"/>
        <v/>
      </c>
      <c r="O267" t="str">
        <f t="shared" si="8"/>
        <v/>
      </c>
      <c r="P267" t="str">
        <f t="shared" si="9"/>
        <v/>
      </c>
      <c r="Q267" t="str">
        <f t="shared" si="10"/>
        <v/>
      </c>
      <c r="R267" t="str">
        <f t="shared" si="11"/>
        <v/>
      </c>
      <c r="S267" t="str">
        <f t="shared" si="12"/>
        <v/>
      </c>
      <c r="T267" t="str">
        <f t="shared" si="13"/>
        <v/>
      </c>
      <c r="U267" t="str">
        <f t="shared" si="14"/>
        <v/>
      </c>
      <c r="V267" t="str">
        <f t="shared" si="15"/>
        <v/>
      </c>
      <c r="W267" t="str">
        <f t="shared" si="16"/>
        <v/>
      </c>
      <c r="X267" t="str">
        <f t="shared" si="17"/>
        <v/>
      </c>
      <c r="Y267" t="str">
        <f t="shared" si="18"/>
        <v/>
      </c>
      <c r="Z267" t="str">
        <f t="shared" si="19"/>
        <v/>
      </c>
      <c r="AA267" t="str">
        <f t="shared" si="20"/>
        <v/>
      </c>
      <c r="AB267" t="str">
        <f t="shared" si="21"/>
        <v/>
      </c>
      <c r="AC267" t="str">
        <f t="shared" si="22"/>
        <v/>
      </c>
      <c r="AD267" t="str">
        <f t="shared" si="23"/>
        <v/>
      </c>
      <c r="AE267" t="str">
        <f t="shared" si="24"/>
        <v/>
      </c>
      <c r="AF267" t="str">
        <f t="shared" si="25"/>
        <v/>
      </c>
      <c r="AG267" t="str">
        <f t="shared" si="26"/>
        <v/>
      </c>
      <c r="AH267" s="65" t="str">
        <f t="array" ref="AH267">if(sum(H267:AG267)=0,,sum(sort(TRANSPOSE(H267:AG267),1,false)))</f>
        <v/>
      </c>
    </row>
    <row r="268" hidden="1">
      <c r="F268" s="4">
        <v>136.0</v>
      </c>
      <c r="H268" t="str">
        <f t="shared" si="1"/>
        <v/>
      </c>
      <c r="I268" t="str">
        <f t="shared" si="2"/>
        <v/>
      </c>
      <c r="J268" t="str">
        <f t="shared" si="3"/>
        <v/>
      </c>
      <c r="K268" t="str">
        <f t="shared" si="4"/>
        <v/>
      </c>
      <c r="L268" t="str">
        <f t="shared" si="5"/>
        <v/>
      </c>
      <c r="M268" t="str">
        <f t="shared" si="6"/>
        <v/>
      </c>
      <c r="N268" t="str">
        <f t="shared" si="7"/>
        <v/>
      </c>
      <c r="O268" t="str">
        <f t="shared" si="8"/>
        <v/>
      </c>
      <c r="P268" t="str">
        <f t="shared" si="9"/>
        <v/>
      </c>
      <c r="Q268" t="str">
        <f t="shared" si="10"/>
        <v/>
      </c>
      <c r="R268" t="str">
        <f t="shared" si="11"/>
        <v/>
      </c>
      <c r="S268" t="str">
        <f t="shared" si="12"/>
        <v/>
      </c>
      <c r="T268" t="str">
        <f t="shared" si="13"/>
        <v/>
      </c>
      <c r="U268" t="str">
        <f t="shared" si="14"/>
        <v/>
      </c>
      <c r="V268" t="str">
        <f t="shared" si="15"/>
        <v/>
      </c>
      <c r="W268" t="str">
        <f t="shared" si="16"/>
        <v/>
      </c>
      <c r="X268" t="str">
        <f t="shared" si="17"/>
        <v/>
      </c>
      <c r="Y268" t="str">
        <f t="shared" si="18"/>
        <v/>
      </c>
      <c r="Z268" t="str">
        <f t="shared" si="19"/>
        <v/>
      </c>
      <c r="AA268" t="str">
        <f t="shared" si="20"/>
        <v/>
      </c>
      <c r="AB268" t="str">
        <f t="shared" si="21"/>
        <v/>
      </c>
      <c r="AC268" t="str">
        <f t="shared" si="22"/>
        <v/>
      </c>
      <c r="AD268" t="str">
        <f t="shared" si="23"/>
        <v/>
      </c>
      <c r="AE268" t="str">
        <f t="shared" si="24"/>
        <v/>
      </c>
      <c r="AF268" t="str">
        <f t="shared" si="25"/>
        <v/>
      </c>
      <c r="AG268" t="str">
        <f t="shared" si="26"/>
        <v/>
      </c>
      <c r="AH268" s="65" t="str">
        <f t="array" ref="AH268">if(sum(H268:AG268)=0,,sum(sort(TRANSPOSE(H268:AG268),1,false)))</f>
        <v/>
      </c>
    </row>
    <row r="269" hidden="1">
      <c r="F269" s="4">
        <v>137.0</v>
      </c>
      <c r="H269" t="str">
        <f t="shared" si="1"/>
        <v/>
      </c>
      <c r="I269" t="str">
        <f t="shared" si="2"/>
        <v/>
      </c>
      <c r="J269" t="str">
        <f t="shared" si="3"/>
        <v/>
      </c>
      <c r="K269" t="str">
        <f t="shared" si="4"/>
        <v/>
      </c>
      <c r="L269" t="str">
        <f t="shared" si="5"/>
        <v/>
      </c>
      <c r="M269" t="str">
        <f t="shared" si="6"/>
        <v/>
      </c>
      <c r="N269" t="str">
        <f t="shared" si="7"/>
        <v/>
      </c>
      <c r="O269" t="str">
        <f t="shared" si="8"/>
        <v/>
      </c>
      <c r="P269" t="str">
        <f t="shared" si="9"/>
        <v/>
      </c>
      <c r="Q269" t="str">
        <f t="shared" si="10"/>
        <v/>
      </c>
      <c r="R269" t="str">
        <f t="shared" si="11"/>
        <v/>
      </c>
      <c r="S269" t="str">
        <f t="shared" si="12"/>
        <v/>
      </c>
      <c r="T269" t="str">
        <f t="shared" si="13"/>
        <v/>
      </c>
      <c r="U269" t="str">
        <f t="shared" si="14"/>
        <v/>
      </c>
      <c r="V269" t="str">
        <f t="shared" si="15"/>
        <v/>
      </c>
      <c r="W269" t="str">
        <f t="shared" si="16"/>
        <v/>
      </c>
      <c r="X269" t="str">
        <f t="shared" si="17"/>
        <v/>
      </c>
      <c r="Y269" t="str">
        <f t="shared" si="18"/>
        <v/>
      </c>
      <c r="Z269" t="str">
        <f t="shared" si="19"/>
        <v/>
      </c>
      <c r="AA269" t="str">
        <f t="shared" si="20"/>
        <v/>
      </c>
      <c r="AB269" t="str">
        <f t="shared" si="21"/>
        <v/>
      </c>
      <c r="AC269" t="str">
        <f t="shared" si="22"/>
        <v/>
      </c>
      <c r="AD269" t="str">
        <f t="shared" si="23"/>
        <v/>
      </c>
      <c r="AE269" t="str">
        <f t="shared" si="24"/>
        <v/>
      </c>
      <c r="AF269" t="str">
        <f t="shared" si="25"/>
        <v/>
      </c>
      <c r="AG269" t="str">
        <f t="shared" si="26"/>
        <v/>
      </c>
      <c r="AH269" s="65" t="str">
        <f t="array" ref="AH269">if(sum(H269:AG269)=0,,sum(sort(TRANSPOSE(H269:AG269),1,false)))</f>
        <v/>
      </c>
    </row>
    <row r="270" hidden="1">
      <c r="F270" s="4">
        <v>138.0</v>
      </c>
      <c r="H270" t="str">
        <f t="shared" si="1"/>
        <v/>
      </c>
      <c r="I270" t="str">
        <f t="shared" si="2"/>
        <v/>
      </c>
      <c r="J270" t="str">
        <f t="shared" si="3"/>
        <v/>
      </c>
      <c r="K270" t="str">
        <f t="shared" si="4"/>
        <v/>
      </c>
      <c r="L270" t="str">
        <f t="shared" si="5"/>
        <v/>
      </c>
      <c r="M270" t="str">
        <f t="shared" si="6"/>
        <v/>
      </c>
      <c r="N270" t="str">
        <f t="shared" si="7"/>
        <v/>
      </c>
      <c r="O270" t="str">
        <f t="shared" si="8"/>
        <v/>
      </c>
      <c r="P270" t="str">
        <f t="shared" si="9"/>
        <v/>
      </c>
      <c r="Q270" t="str">
        <f t="shared" si="10"/>
        <v/>
      </c>
      <c r="R270" t="str">
        <f t="shared" si="11"/>
        <v/>
      </c>
      <c r="S270" t="str">
        <f t="shared" si="12"/>
        <v/>
      </c>
      <c r="T270" t="str">
        <f t="shared" si="13"/>
        <v/>
      </c>
      <c r="U270" t="str">
        <f t="shared" si="14"/>
        <v/>
      </c>
      <c r="V270" t="str">
        <f t="shared" si="15"/>
        <v/>
      </c>
      <c r="W270" t="str">
        <f t="shared" si="16"/>
        <v/>
      </c>
      <c r="X270" t="str">
        <f t="shared" si="17"/>
        <v/>
      </c>
      <c r="Y270" t="str">
        <f t="shared" si="18"/>
        <v/>
      </c>
      <c r="Z270" t="str">
        <f t="shared" si="19"/>
        <v/>
      </c>
      <c r="AA270" t="str">
        <f t="shared" si="20"/>
        <v/>
      </c>
      <c r="AB270" t="str">
        <f t="shared" si="21"/>
        <v/>
      </c>
      <c r="AC270" t="str">
        <f t="shared" si="22"/>
        <v/>
      </c>
      <c r="AD270" t="str">
        <f t="shared" si="23"/>
        <v/>
      </c>
      <c r="AE270" t="str">
        <f t="shared" si="24"/>
        <v/>
      </c>
      <c r="AF270" t="str">
        <f t="shared" si="25"/>
        <v/>
      </c>
      <c r="AG270" t="str">
        <f t="shared" si="26"/>
        <v/>
      </c>
      <c r="AH270" s="65" t="str">
        <f t="array" ref="AH270">if(sum(H270:AG270)=0,,sum(sort(TRANSPOSE(H270:AG270),1,false)))</f>
        <v/>
      </c>
    </row>
  </sheetData>
  <mergeCells count="27">
    <mergeCell ref="R132:S132"/>
    <mergeCell ref="H132:I132"/>
    <mergeCell ref="J132:K132"/>
    <mergeCell ref="L132:M132"/>
    <mergeCell ref="N132:O132"/>
    <mergeCell ref="P132:Q132"/>
    <mergeCell ref="T132:U132"/>
    <mergeCell ref="V132:W132"/>
    <mergeCell ref="AB132:AC132"/>
    <mergeCell ref="AF132:AG132"/>
    <mergeCell ref="AD132:AE132"/>
    <mergeCell ref="X132:Y132"/>
    <mergeCell ref="Z132:AA132"/>
    <mergeCell ref="J2:K2"/>
    <mergeCell ref="L2:M2"/>
    <mergeCell ref="AD2:AE2"/>
    <mergeCell ref="AF2:AG2"/>
    <mergeCell ref="P2:Q2"/>
    <mergeCell ref="R2:S2"/>
    <mergeCell ref="Z2:AA2"/>
    <mergeCell ref="AB2:AC2"/>
    <mergeCell ref="N2:O2"/>
    <mergeCell ref="H2:I2"/>
    <mergeCell ref="V2:W2"/>
    <mergeCell ref="X2:Y2"/>
    <mergeCell ref="G1:AH1"/>
    <mergeCell ref="T2:U2"/>
  </mergeCells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hidden="1" min="1" max="1" width="4.86"/>
    <col customWidth="1" hidden="1" min="2" max="2" width="7.71"/>
    <col hidden="1" min="3" max="6" width="14.43"/>
    <col customWidth="1" min="7" max="7" width="17.14"/>
    <col customWidth="1" min="8" max="33" width="4.57"/>
    <col customWidth="1" min="34" max="34" width="7.29"/>
  </cols>
  <sheetData>
    <row r="1">
      <c r="A1" s="4">
        <v>1.0</v>
      </c>
      <c r="B1" s="4">
        <v>97.0</v>
      </c>
      <c r="C1" t="str">
        <f>'Womens JV Results'!F6</f>
        <v>Central Montcalm</v>
      </c>
      <c r="D1">
        <f>'Womens Varsity Results'!C6</f>
        <v>12</v>
      </c>
      <c r="G1" s="100" t="s">
        <v>537</v>
      </c>
    </row>
    <row r="2">
      <c r="A2" s="4">
        <v>2.0</v>
      </c>
      <c r="B2" s="4">
        <v>97.0</v>
      </c>
      <c r="C2" t="str">
        <f>'Womens JV Results'!F7</f>
        <v>Martin</v>
      </c>
      <c r="D2">
        <f>'Womens Varsity Results'!C7</f>
        <v>9</v>
      </c>
      <c r="G2" s="101"/>
      <c r="H2" s="102">
        <v>97.0</v>
      </c>
      <c r="I2" s="103"/>
      <c r="J2" s="102">
        <v>105.0</v>
      </c>
      <c r="K2" s="103"/>
      <c r="L2" s="102">
        <v>114.0</v>
      </c>
      <c r="M2" s="103"/>
      <c r="N2" s="102">
        <v>123.0</v>
      </c>
      <c r="O2" s="103"/>
      <c r="P2" s="102">
        <v>132.0</v>
      </c>
      <c r="Q2" s="103"/>
      <c r="R2" s="102">
        <v>145.0</v>
      </c>
      <c r="S2" s="103"/>
      <c r="T2" s="102">
        <v>155.0</v>
      </c>
      <c r="U2" s="103"/>
      <c r="V2" s="102">
        <v>165.0</v>
      </c>
      <c r="W2" s="103"/>
      <c r="X2" s="102">
        <v>181.0</v>
      </c>
      <c r="Y2" s="103"/>
      <c r="Z2" s="102">
        <v>198.0</v>
      </c>
      <c r="AA2" s="103"/>
      <c r="AB2" s="102">
        <v>220.0</v>
      </c>
      <c r="AC2" s="103"/>
      <c r="AD2" s="102">
        <v>242.0</v>
      </c>
      <c r="AE2" s="103"/>
      <c r="AF2" s="102" t="s">
        <v>130</v>
      </c>
      <c r="AG2" s="103"/>
      <c r="AH2" s="104" t="s">
        <v>118</v>
      </c>
    </row>
    <row r="3">
      <c r="A3" s="4">
        <v>3.0</v>
      </c>
      <c r="B3" s="4">
        <v>97.0</v>
      </c>
      <c r="C3" t="str">
        <f>'Womens JV Results'!F8</f>
        <v>Cros-Lex</v>
      </c>
      <c r="D3">
        <f>'Womens Varsity Results'!C8</f>
        <v>8</v>
      </c>
      <c r="G3" s="105" t="str">
        <f t="array" ref="G3:AH131">sort(G133:AH261,AH133:AH261,false)</f>
        <v>Central Montcalm</v>
      </c>
      <c r="H3" s="106">
        <v>12.0</v>
      </c>
      <c r="I3" s="107">
        <v>6.0</v>
      </c>
      <c r="J3" s="108">
        <v>8.0</v>
      </c>
      <c r="K3" s="107">
        <v>5.0</v>
      </c>
      <c r="L3" s="108">
        <v>12.0</v>
      </c>
      <c r="M3" s="107">
        <v>7.0</v>
      </c>
      <c r="N3" s="106">
        <v>12.0</v>
      </c>
      <c r="O3" s="109">
        <v>9.0</v>
      </c>
      <c r="P3" s="106">
        <v>12.0</v>
      </c>
      <c r="Q3" s="110">
        <v>8.0</v>
      </c>
      <c r="R3" s="106"/>
      <c r="S3" s="107"/>
      <c r="T3" s="106"/>
      <c r="U3" s="107"/>
      <c r="V3" s="108">
        <v>6.0</v>
      </c>
      <c r="W3" s="107"/>
      <c r="X3" s="106"/>
      <c r="Y3" s="107"/>
      <c r="Z3" s="108">
        <v>3.0</v>
      </c>
      <c r="AA3" s="109"/>
      <c r="AB3" s="108">
        <v>9.0</v>
      </c>
      <c r="AC3" s="107"/>
      <c r="AD3" s="108"/>
      <c r="AE3" s="107"/>
      <c r="AF3" s="106"/>
      <c r="AG3" s="107"/>
      <c r="AH3" s="111">
        <v>95.0</v>
      </c>
    </row>
    <row r="4">
      <c r="A4" s="4">
        <v>4.0</v>
      </c>
      <c r="B4" s="4">
        <v>97.0</v>
      </c>
      <c r="C4" t="str">
        <f>'Womens JV Results'!F9</f>
        <v>Kearsley</v>
      </c>
      <c r="D4">
        <f>'Womens Varsity Results'!C9</f>
        <v>7</v>
      </c>
      <c r="G4" s="112" t="s">
        <v>260</v>
      </c>
      <c r="H4" s="113"/>
      <c r="I4" s="114"/>
      <c r="J4" s="113"/>
      <c r="K4" s="114"/>
      <c r="L4" s="115">
        <v>6.0</v>
      </c>
      <c r="M4" s="114">
        <v>4.0</v>
      </c>
      <c r="N4" s="115">
        <v>6.0</v>
      </c>
      <c r="O4" s="116"/>
      <c r="P4" s="113">
        <v>5.0</v>
      </c>
      <c r="Q4" s="114">
        <v>3.0</v>
      </c>
      <c r="R4" s="115">
        <v>7.0</v>
      </c>
      <c r="S4" s="114"/>
      <c r="T4" s="113"/>
      <c r="U4" s="114"/>
      <c r="V4" s="115"/>
      <c r="W4" s="114"/>
      <c r="X4" s="115">
        <v>8.0</v>
      </c>
      <c r="Y4" s="114"/>
      <c r="Z4" s="115"/>
      <c r="AA4" s="116"/>
      <c r="AB4" s="113">
        <v>12.0</v>
      </c>
      <c r="AC4" s="117">
        <v>4.0</v>
      </c>
      <c r="AD4" s="115">
        <v>9.0</v>
      </c>
      <c r="AE4" s="114">
        <v>8.0</v>
      </c>
      <c r="AF4" s="115">
        <v>8.0</v>
      </c>
      <c r="AG4" s="114">
        <v>3.0</v>
      </c>
      <c r="AH4" s="118">
        <v>73.0</v>
      </c>
    </row>
    <row r="5">
      <c r="A5" s="4">
        <v>5.0</v>
      </c>
      <c r="B5" s="4">
        <v>97.0</v>
      </c>
      <c r="C5" t="str">
        <f>'Womens JV Results'!F10</f>
        <v>Central Montcalm</v>
      </c>
      <c r="D5">
        <f>'Womens Varsity Results'!C10</f>
        <v>6</v>
      </c>
      <c r="G5" s="119" t="s">
        <v>184</v>
      </c>
      <c r="H5" s="120"/>
      <c r="I5" s="121"/>
      <c r="J5" s="120">
        <v>6.0</v>
      </c>
      <c r="K5" s="121"/>
      <c r="L5" s="122"/>
      <c r="M5" s="121"/>
      <c r="N5" s="120"/>
      <c r="O5" s="123"/>
      <c r="P5" s="122">
        <v>7.0</v>
      </c>
      <c r="Q5" s="121"/>
      <c r="R5" s="122">
        <v>5.0</v>
      </c>
      <c r="S5" s="121"/>
      <c r="T5" s="122"/>
      <c r="U5" s="121"/>
      <c r="V5" s="120">
        <v>5.0</v>
      </c>
      <c r="W5" s="124">
        <v>4.0</v>
      </c>
      <c r="X5" s="122">
        <v>6.0</v>
      </c>
      <c r="Y5" s="121"/>
      <c r="Z5" s="122"/>
      <c r="AA5" s="123"/>
      <c r="AB5" s="122">
        <v>7.0</v>
      </c>
      <c r="AC5" s="121"/>
      <c r="AD5" s="122">
        <v>6.0</v>
      </c>
      <c r="AE5" s="121"/>
      <c r="AF5" s="122"/>
      <c r="AG5" s="121"/>
      <c r="AH5" s="125">
        <v>46.0</v>
      </c>
    </row>
    <row r="6">
      <c r="A6" s="4">
        <v>6.0</v>
      </c>
      <c r="B6" s="4">
        <v>97.0</v>
      </c>
      <c r="C6" t="str">
        <f>'Womens JV Results'!F11</f>
        <v>Yale</v>
      </c>
      <c r="D6">
        <f>'Womens Varsity Results'!C11</f>
        <v>5</v>
      </c>
      <c r="G6" s="112" t="s">
        <v>240</v>
      </c>
      <c r="H6" s="113">
        <v>8.0</v>
      </c>
      <c r="I6" s="114"/>
      <c r="J6" s="115"/>
      <c r="K6" s="114"/>
      <c r="L6" s="115">
        <v>9.0</v>
      </c>
      <c r="M6" s="114"/>
      <c r="N6" s="113">
        <v>7.0</v>
      </c>
      <c r="O6" s="126"/>
      <c r="P6" s="115"/>
      <c r="Q6" s="114"/>
      <c r="R6" s="115">
        <v>8.0</v>
      </c>
      <c r="S6" s="114"/>
      <c r="T6" s="113">
        <v>2.0</v>
      </c>
      <c r="U6" s="114"/>
      <c r="V6" s="115">
        <v>7.0</v>
      </c>
      <c r="W6" s="114"/>
      <c r="X6" s="115"/>
      <c r="Y6" s="114"/>
      <c r="Z6" s="115">
        <v>1.0</v>
      </c>
      <c r="AA6" s="116"/>
      <c r="AB6" s="115"/>
      <c r="AC6" s="114"/>
      <c r="AD6" s="115"/>
      <c r="AE6" s="114"/>
      <c r="AF6" s="115"/>
      <c r="AG6" s="114"/>
      <c r="AH6" s="118">
        <v>42.0</v>
      </c>
    </row>
    <row r="7">
      <c r="A7" s="4">
        <v>7.0</v>
      </c>
      <c r="B7" s="4">
        <v>97.0</v>
      </c>
      <c r="C7" t="str">
        <f>'Womens JV Results'!F12</f>
        <v>Elk Rapids</v>
      </c>
      <c r="D7">
        <f>'Womens Varsity Results'!C12</f>
        <v>4</v>
      </c>
      <c r="G7" s="119" t="s">
        <v>287</v>
      </c>
      <c r="H7" s="120"/>
      <c r="I7" s="121"/>
      <c r="J7" s="122"/>
      <c r="K7" s="121"/>
      <c r="L7" s="120"/>
      <c r="M7" s="121"/>
      <c r="N7" s="122"/>
      <c r="O7" s="123"/>
      <c r="P7" s="122"/>
      <c r="Q7" s="121"/>
      <c r="R7" s="122">
        <v>12.0</v>
      </c>
      <c r="S7" s="121"/>
      <c r="T7" s="122"/>
      <c r="U7" s="121"/>
      <c r="V7" s="122"/>
      <c r="W7" s="121"/>
      <c r="X7" s="122">
        <v>5.0</v>
      </c>
      <c r="Y7" s="121"/>
      <c r="Z7" s="120"/>
      <c r="AA7" s="123"/>
      <c r="AB7" s="120"/>
      <c r="AC7" s="121"/>
      <c r="AD7" s="122">
        <v>12.0</v>
      </c>
      <c r="AE7" s="121"/>
      <c r="AF7" s="122">
        <v>4.0</v>
      </c>
      <c r="AG7" s="121"/>
      <c r="AH7" s="125">
        <v>33.0</v>
      </c>
    </row>
    <row r="8">
      <c r="A8" s="4">
        <v>8.0</v>
      </c>
      <c r="B8" s="4">
        <v>97.0</v>
      </c>
      <c r="C8" t="str">
        <f>'Womens JV Results'!F13</f>
        <v>Birch Run</v>
      </c>
      <c r="D8">
        <f>'Womens Varsity Results'!C13</f>
        <v>3</v>
      </c>
      <c r="G8" s="112" t="s">
        <v>212</v>
      </c>
      <c r="H8" s="113"/>
      <c r="I8" s="114"/>
      <c r="J8" s="115"/>
      <c r="K8" s="114"/>
      <c r="L8" s="115">
        <v>8.0</v>
      </c>
      <c r="M8" s="114"/>
      <c r="N8" s="113">
        <v>8.0</v>
      </c>
      <c r="O8" s="116">
        <v>1.0</v>
      </c>
      <c r="P8" s="115"/>
      <c r="Q8" s="114"/>
      <c r="R8" s="113"/>
      <c r="S8" s="114"/>
      <c r="T8" s="115">
        <v>8.0</v>
      </c>
      <c r="U8" s="114">
        <v>7.0</v>
      </c>
      <c r="V8" s="115"/>
      <c r="W8" s="114"/>
      <c r="X8" s="115"/>
      <c r="Y8" s="114"/>
      <c r="Z8" s="115"/>
      <c r="AA8" s="116"/>
      <c r="AB8" s="115"/>
      <c r="AC8" s="114"/>
      <c r="AD8" s="113"/>
      <c r="AE8" s="114"/>
      <c r="AF8" s="115"/>
      <c r="AG8" s="114"/>
      <c r="AH8" s="118">
        <v>32.0</v>
      </c>
    </row>
    <row r="9">
      <c r="A9" s="4">
        <v>9.0</v>
      </c>
      <c r="B9" s="4">
        <v>97.0</v>
      </c>
      <c r="C9" t="str">
        <f>'Womens JV Results'!F14</f>
        <v/>
      </c>
      <c r="D9">
        <f>'Womens Varsity Results'!C14</f>
        <v>2</v>
      </c>
      <c r="G9" s="119" t="s">
        <v>221</v>
      </c>
      <c r="H9" s="120"/>
      <c r="I9" s="121"/>
      <c r="J9" s="122"/>
      <c r="K9" s="121"/>
      <c r="L9" s="122"/>
      <c r="M9" s="121"/>
      <c r="N9" s="122">
        <v>5.0</v>
      </c>
      <c r="O9" s="123"/>
      <c r="P9" s="120"/>
      <c r="Q9" s="121"/>
      <c r="R9" s="122"/>
      <c r="S9" s="121"/>
      <c r="T9" s="120"/>
      <c r="U9" s="121"/>
      <c r="V9" s="122">
        <v>9.0</v>
      </c>
      <c r="W9" s="121"/>
      <c r="X9" s="120">
        <v>12.0</v>
      </c>
      <c r="Y9" s="121"/>
      <c r="Z9" s="122"/>
      <c r="AA9" s="123"/>
      <c r="AB9" s="122"/>
      <c r="AC9" s="121"/>
      <c r="AD9" s="122"/>
      <c r="AE9" s="121"/>
      <c r="AF9" s="122"/>
      <c r="AG9" s="121"/>
      <c r="AH9" s="125">
        <v>26.0</v>
      </c>
    </row>
    <row r="10">
      <c r="A10" s="4">
        <v>10.0</v>
      </c>
      <c r="B10" s="4">
        <v>97.0</v>
      </c>
      <c r="C10" t="str">
        <f>'Womens JV Results'!F15</f>
        <v/>
      </c>
      <c r="D10">
        <f>'Womens Varsity Results'!C15</f>
        <v>1</v>
      </c>
      <c r="G10" s="112" t="s">
        <v>177</v>
      </c>
      <c r="H10" s="113"/>
      <c r="I10" s="114"/>
      <c r="J10" s="115">
        <v>7.0</v>
      </c>
      <c r="K10" s="114"/>
      <c r="L10" s="115"/>
      <c r="M10" s="114"/>
      <c r="N10" s="115"/>
      <c r="O10" s="116"/>
      <c r="P10" s="115"/>
      <c r="Q10" s="114"/>
      <c r="R10" s="113"/>
      <c r="S10" s="114"/>
      <c r="T10" s="115">
        <v>9.0</v>
      </c>
      <c r="U10" s="114"/>
      <c r="V10" s="115"/>
      <c r="W10" s="114"/>
      <c r="X10" s="115"/>
      <c r="Y10" s="114"/>
      <c r="Z10" s="113"/>
      <c r="AA10" s="116"/>
      <c r="AB10" s="115"/>
      <c r="AC10" s="114"/>
      <c r="AD10" s="115">
        <v>7.0</v>
      </c>
      <c r="AE10" s="114"/>
      <c r="AF10" s="115"/>
      <c r="AG10" s="114"/>
      <c r="AH10" s="118">
        <v>23.0</v>
      </c>
    </row>
    <row r="11">
      <c r="A11" s="4">
        <v>1.0</v>
      </c>
      <c r="B11" s="4">
        <v>105.0</v>
      </c>
      <c r="C11" t="str">
        <f>'Womens JV Results'!F16</f>
        <v>Whitehall</v>
      </c>
      <c r="D11">
        <f>'Womens Varsity Results'!C16</f>
        <v>12</v>
      </c>
      <c r="G11" s="119" t="s">
        <v>159</v>
      </c>
      <c r="H11" s="120">
        <v>7.0</v>
      </c>
      <c r="I11" s="121"/>
      <c r="J11" s="122">
        <v>9.0</v>
      </c>
      <c r="K11" s="121"/>
      <c r="L11" s="122"/>
      <c r="M11" s="121"/>
      <c r="N11" s="122"/>
      <c r="O11" s="123"/>
      <c r="P11" s="122"/>
      <c r="Q11" s="121"/>
      <c r="R11" s="122">
        <v>4.0</v>
      </c>
      <c r="S11" s="121"/>
      <c r="T11" s="122"/>
      <c r="U11" s="121"/>
      <c r="V11" s="122"/>
      <c r="W11" s="121"/>
      <c r="X11" s="122"/>
      <c r="Y11" s="121"/>
      <c r="Z11" s="122"/>
      <c r="AA11" s="123"/>
      <c r="AB11" s="120">
        <v>1.0</v>
      </c>
      <c r="AC11" s="121"/>
      <c r="AD11" s="122"/>
      <c r="AE11" s="121"/>
      <c r="AF11" s="122"/>
      <c r="AG11" s="121"/>
      <c r="AH11" s="125">
        <v>21.0</v>
      </c>
    </row>
    <row r="12">
      <c r="A12" s="4">
        <v>2.0</v>
      </c>
      <c r="B12" s="4">
        <v>105.0</v>
      </c>
      <c r="C12" t="str">
        <f>'Womens JV Results'!F17</f>
        <v>Kearsley</v>
      </c>
      <c r="D12">
        <f>'Womens Varsity Results'!C17</f>
        <v>9</v>
      </c>
      <c r="G12" s="112" t="s">
        <v>251</v>
      </c>
      <c r="H12" s="113">
        <v>3.0</v>
      </c>
      <c r="I12" s="114"/>
      <c r="J12" s="115"/>
      <c r="K12" s="114"/>
      <c r="L12" s="115"/>
      <c r="M12" s="114"/>
      <c r="N12" s="115"/>
      <c r="O12" s="116"/>
      <c r="P12" s="115"/>
      <c r="Q12" s="114"/>
      <c r="R12" s="115"/>
      <c r="S12" s="114"/>
      <c r="T12" s="115"/>
      <c r="U12" s="114"/>
      <c r="V12" s="115">
        <v>3.0</v>
      </c>
      <c r="W12" s="114"/>
      <c r="X12" s="115"/>
      <c r="Y12" s="114"/>
      <c r="Z12" s="113"/>
      <c r="AA12" s="116"/>
      <c r="AB12" s="115"/>
      <c r="AC12" s="114"/>
      <c r="AD12" s="115">
        <v>5.0</v>
      </c>
      <c r="AE12" s="114"/>
      <c r="AF12" s="115">
        <v>9.0</v>
      </c>
      <c r="AG12" s="114"/>
      <c r="AH12" s="118">
        <v>20.0</v>
      </c>
    </row>
    <row r="13">
      <c r="A13" s="4">
        <v>3.0</v>
      </c>
      <c r="B13" s="4">
        <v>105.0</v>
      </c>
      <c r="C13" t="str">
        <f>'Womens JV Results'!F18</f>
        <v>Central Montcalm</v>
      </c>
      <c r="D13">
        <f>'Womens Varsity Results'!C18</f>
        <v>8</v>
      </c>
      <c r="G13" s="119" t="s">
        <v>148</v>
      </c>
      <c r="H13" s="120"/>
      <c r="I13" s="123"/>
      <c r="J13" s="122">
        <v>12.0</v>
      </c>
      <c r="K13" s="123"/>
      <c r="L13" s="122">
        <v>2.0</v>
      </c>
      <c r="M13" s="123"/>
      <c r="N13" s="122"/>
      <c r="O13" s="123"/>
      <c r="P13" s="122"/>
      <c r="Q13" s="123"/>
      <c r="R13" s="122"/>
      <c r="S13" s="123"/>
      <c r="T13" s="122"/>
      <c r="U13" s="123"/>
      <c r="V13" s="122"/>
      <c r="W13" s="123"/>
      <c r="X13" s="122">
        <v>1.0</v>
      </c>
      <c r="Y13" s="123"/>
      <c r="Z13" s="122">
        <v>5.0</v>
      </c>
      <c r="AA13" s="123"/>
      <c r="AB13" s="122"/>
      <c r="AC13" s="123"/>
      <c r="AD13" s="122"/>
      <c r="AE13" s="123"/>
      <c r="AF13" s="122"/>
      <c r="AG13" s="123"/>
      <c r="AH13" s="125">
        <v>20.0</v>
      </c>
    </row>
    <row r="14">
      <c r="A14" s="4">
        <v>4.0</v>
      </c>
      <c r="B14" s="4">
        <v>105.0</v>
      </c>
      <c r="C14" t="str">
        <f>'Womens JV Results'!F19</f>
        <v>Edwardsburg</v>
      </c>
      <c r="D14">
        <f>'Womens Varsity Results'!C19</f>
        <v>7</v>
      </c>
      <c r="G14" s="112" t="s">
        <v>275</v>
      </c>
      <c r="H14" s="127"/>
      <c r="I14" s="128"/>
      <c r="J14" s="129"/>
      <c r="K14" s="128"/>
      <c r="L14" s="129"/>
      <c r="M14" s="128"/>
      <c r="N14" s="129"/>
      <c r="O14" s="128"/>
      <c r="P14" s="129">
        <v>1.0</v>
      </c>
      <c r="Q14" s="128"/>
      <c r="R14" s="129"/>
      <c r="S14" s="128"/>
      <c r="T14" s="129">
        <v>5.0</v>
      </c>
      <c r="U14" s="128"/>
      <c r="V14" s="129"/>
      <c r="W14" s="128"/>
      <c r="X14" s="129">
        <v>2.0</v>
      </c>
      <c r="Y14" s="128"/>
      <c r="Z14" s="129">
        <v>12.0</v>
      </c>
      <c r="AA14" s="128"/>
      <c r="AB14" s="129"/>
      <c r="AC14" s="128"/>
      <c r="AD14" s="129"/>
      <c r="AE14" s="128"/>
      <c r="AF14" s="129"/>
      <c r="AG14" s="128"/>
      <c r="AH14" s="118">
        <v>20.0</v>
      </c>
    </row>
    <row r="15">
      <c r="A15" s="4">
        <v>5.0</v>
      </c>
      <c r="B15" s="4">
        <v>105.0</v>
      </c>
      <c r="C15" t="str">
        <f>'Womens JV Results'!F20</f>
        <v>Lake Orion</v>
      </c>
      <c r="D15">
        <f>'Womens Varsity Results'!C20</f>
        <v>6</v>
      </c>
      <c r="G15" s="130" t="s">
        <v>488</v>
      </c>
      <c r="H15" s="131"/>
      <c r="I15" s="132"/>
      <c r="J15" s="131">
        <v>12.0</v>
      </c>
      <c r="K15" s="132"/>
      <c r="L15" s="131">
        <v>2.0</v>
      </c>
      <c r="M15" s="132"/>
      <c r="N15" s="131"/>
      <c r="O15" s="132"/>
      <c r="P15" s="131"/>
      <c r="Q15" s="132"/>
      <c r="R15" s="131"/>
      <c r="S15" s="132"/>
      <c r="T15" s="131"/>
      <c r="U15" s="132"/>
      <c r="V15" s="131"/>
      <c r="W15" s="132"/>
      <c r="X15" s="131">
        <v>1.0</v>
      </c>
      <c r="Y15" s="132"/>
      <c r="Z15" s="131">
        <v>5.0</v>
      </c>
      <c r="AA15" s="132"/>
      <c r="AB15" s="131"/>
      <c r="AC15" s="132"/>
      <c r="AD15" s="131"/>
      <c r="AE15" s="132"/>
      <c r="AF15" s="131"/>
      <c r="AG15" s="132"/>
      <c r="AH15" s="133">
        <v>20.0</v>
      </c>
    </row>
    <row r="16">
      <c r="A16" s="4">
        <v>6.0</v>
      </c>
      <c r="B16" s="4">
        <v>105.0</v>
      </c>
      <c r="C16" t="str">
        <f>'Womens JV Results'!F21</f>
        <v>Central Montcalm</v>
      </c>
      <c r="D16">
        <f>'Womens Varsity Results'!C21</f>
        <v>5</v>
      </c>
      <c r="G16" s="112" t="s">
        <v>478</v>
      </c>
      <c r="H16" s="129"/>
      <c r="I16" s="128"/>
      <c r="J16" s="129"/>
      <c r="K16" s="128"/>
      <c r="L16" s="129"/>
      <c r="M16" s="128"/>
      <c r="N16" s="129"/>
      <c r="O16" s="128"/>
      <c r="P16" s="129"/>
      <c r="Q16" s="128"/>
      <c r="R16" s="129"/>
      <c r="S16" s="128"/>
      <c r="T16" s="129"/>
      <c r="U16" s="128"/>
      <c r="V16" s="129"/>
      <c r="W16" s="128"/>
      <c r="X16" s="129"/>
      <c r="Y16" s="128"/>
      <c r="Z16" s="129"/>
      <c r="AA16" s="128"/>
      <c r="AB16" s="129"/>
      <c r="AC16" s="128"/>
      <c r="AD16" s="129"/>
      <c r="AE16" s="128"/>
      <c r="AF16" s="129">
        <v>12.0</v>
      </c>
      <c r="AG16" s="128">
        <v>7.0</v>
      </c>
      <c r="AH16" s="118">
        <v>19.0</v>
      </c>
    </row>
    <row r="17">
      <c r="A17" s="4">
        <v>7.0</v>
      </c>
      <c r="B17" s="4">
        <v>105.0</v>
      </c>
      <c r="C17" t="str">
        <f>'Womens JV Results'!F22</f>
        <v>Central Montcalm</v>
      </c>
      <c r="D17">
        <f>'Womens Varsity Results'!C22</f>
        <v>4</v>
      </c>
      <c r="G17" s="130" t="s">
        <v>402</v>
      </c>
      <c r="H17" s="131"/>
      <c r="I17" s="132"/>
      <c r="J17" s="131"/>
      <c r="K17" s="132"/>
      <c r="L17" s="131"/>
      <c r="M17" s="132"/>
      <c r="N17" s="131"/>
      <c r="O17" s="132"/>
      <c r="P17" s="131"/>
      <c r="Q17" s="132"/>
      <c r="R17" s="131"/>
      <c r="S17" s="132"/>
      <c r="T17" s="131">
        <v>12.0</v>
      </c>
      <c r="U17" s="132"/>
      <c r="V17" s="131">
        <v>2.0</v>
      </c>
      <c r="W17" s="132"/>
      <c r="X17" s="131"/>
      <c r="Y17" s="132"/>
      <c r="Z17" s="131"/>
      <c r="AA17" s="132"/>
      <c r="AB17" s="131"/>
      <c r="AC17" s="132"/>
      <c r="AD17" s="131"/>
      <c r="AE17" s="132"/>
      <c r="AF17" s="131"/>
      <c r="AG17" s="132"/>
      <c r="AH17" s="133">
        <v>14.0</v>
      </c>
    </row>
    <row r="18">
      <c r="A18" s="4">
        <v>8.0</v>
      </c>
      <c r="B18" s="4">
        <v>105.0</v>
      </c>
      <c r="C18" t="str">
        <f>'Womens JV Results'!F23</f>
        <v>Brighton</v>
      </c>
      <c r="D18">
        <f>'Womens Varsity Results'!C23</f>
        <v>3</v>
      </c>
      <c r="G18" s="112" t="s">
        <v>237</v>
      </c>
      <c r="H18" s="129">
        <v>9.0</v>
      </c>
      <c r="I18" s="128"/>
      <c r="J18" s="129"/>
      <c r="K18" s="128"/>
      <c r="L18" s="129"/>
      <c r="M18" s="128"/>
      <c r="N18" s="129"/>
      <c r="O18" s="128"/>
      <c r="P18" s="129">
        <v>4.0</v>
      </c>
      <c r="Q18" s="128"/>
      <c r="R18" s="129"/>
      <c r="S18" s="128"/>
      <c r="T18" s="129"/>
      <c r="U18" s="128"/>
      <c r="V18" s="129"/>
      <c r="W18" s="128"/>
      <c r="X18" s="129"/>
      <c r="Y18" s="128"/>
      <c r="Z18" s="129"/>
      <c r="AA18" s="128"/>
      <c r="AB18" s="129"/>
      <c r="AC18" s="128"/>
      <c r="AD18" s="129"/>
      <c r="AE18" s="128"/>
      <c r="AF18" s="129"/>
      <c r="AG18" s="128"/>
      <c r="AH18" s="118">
        <v>13.0</v>
      </c>
    </row>
    <row r="19">
      <c r="A19" s="4">
        <v>9.0</v>
      </c>
      <c r="B19" s="4">
        <v>105.0</v>
      </c>
      <c r="C19" t="str">
        <f>'Womens JV Results'!F24</f>
        <v>Goodrich</v>
      </c>
      <c r="D19">
        <f>'Womens Varsity Results'!C24</f>
        <v>2</v>
      </c>
      <c r="G19" s="130" t="s">
        <v>199</v>
      </c>
      <c r="H19" s="131"/>
      <c r="I19" s="132"/>
      <c r="J19" s="131">
        <v>3.0</v>
      </c>
      <c r="K19" s="132"/>
      <c r="L19" s="131"/>
      <c r="M19" s="132"/>
      <c r="N19" s="131"/>
      <c r="O19" s="132"/>
      <c r="P19" s="131"/>
      <c r="Q19" s="132"/>
      <c r="R19" s="131">
        <v>6.0</v>
      </c>
      <c r="S19" s="132">
        <v>2.0</v>
      </c>
      <c r="T19" s="131"/>
      <c r="U19" s="132"/>
      <c r="V19" s="131">
        <v>1.0</v>
      </c>
      <c r="W19" s="132"/>
      <c r="X19" s="131"/>
      <c r="Y19" s="132"/>
      <c r="Z19" s="131"/>
      <c r="AA19" s="132"/>
      <c r="AB19" s="131"/>
      <c r="AC19" s="132"/>
      <c r="AD19" s="131"/>
      <c r="AE19" s="132"/>
      <c r="AF19" s="131"/>
      <c r="AG19" s="132"/>
      <c r="AH19" s="133">
        <v>12.0</v>
      </c>
    </row>
    <row r="20">
      <c r="A20" s="4">
        <v>10.0</v>
      </c>
      <c r="B20" s="4">
        <v>105.0</v>
      </c>
      <c r="C20" t="str">
        <f>'Womens JV Results'!F25</f>
        <v>Central Montcalm</v>
      </c>
      <c r="D20">
        <f>'Womens Varsity Results'!C25</f>
        <v>1</v>
      </c>
      <c r="G20" s="112" t="s">
        <v>422</v>
      </c>
      <c r="H20" s="129"/>
      <c r="I20" s="128"/>
      <c r="J20" s="129"/>
      <c r="K20" s="128"/>
      <c r="L20" s="129"/>
      <c r="M20" s="128"/>
      <c r="N20" s="129"/>
      <c r="O20" s="128"/>
      <c r="P20" s="129"/>
      <c r="Q20" s="128"/>
      <c r="R20" s="129"/>
      <c r="S20" s="128"/>
      <c r="T20" s="129"/>
      <c r="U20" s="128"/>
      <c r="V20" s="129">
        <v>12.0</v>
      </c>
      <c r="W20" s="128"/>
      <c r="X20" s="129"/>
      <c r="Y20" s="128"/>
      <c r="Z20" s="129"/>
      <c r="AA20" s="128"/>
      <c r="AB20" s="129"/>
      <c r="AC20" s="128"/>
      <c r="AD20" s="129"/>
      <c r="AE20" s="128"/>
      <c r="AF20" s="129"/>
      <c r="AG20" s="128"/>
      <c r="AH20" s="118">
        <v>12.0</v>
      </c>
    </row>
    <row r="21">
      <c r="A21" s="4">
        <v>1.0</v>
      </c>
      <c r="B21" s="4">
        <v>114.0</v>
      </c>
      <c r="C21" t="str">
        <f>'Womens JV Results'!F26</f>
        <v>Central Montcalm</v>
      </c>
      <c r="D21">
        <f>'Womens Varsity Results'!C26</f>
        <v>12</v>
      </c>
      <c r="G21" s="130" t="s">
        <v>247</v>
      </c>
      <c r="H21" s="131">
        <v>5.0</v>
      </c>
      <c r="I21" s="132"/>
      <c r="J21" s="131"/>
      <c r="K21" s="132"/>
      <c r="L21" s="131"/>
      <c r="M21" s="132"/>
      <c r="N21" s="131"/>
      <c r="O21" s="132"/>
      <c r="P21" s="131"/>
      <c r="Q21" s="132"/>
      <c r="R21" s="131"/>
      <c r="S21" s="132"/>
      <c r="T21" s="131"/>
      <c r="U21" s="132"/>
      <c r="V21" s="131"/>
      <c r="W21" s="132"/>
      <c r="X21" s="131"/>
      <c r="Y21" s="132"/>
      <c r="Z21" s="131"/>
      <c r="AA21" s="132"/>
      <c r="AB21" s="131">
        <v>6.0</v>
      </c>
      <c r="AC21" s="132"/>
      <c r="AD21" s="131"/>
      <c r="AE21" s="132"/>
      <c r="AF21" s="131"/>
      <c r="AG21" s="132"/>
      <c r="AH21" s="133">
        <v>11.0</v>
      </c>
    </row>
    <row r="22">
      <c r="A22" s="4">
        <v>2.0</v>
      </c>
      <c r="B22" s="4">
        <v>114.0</v>
      </c>
      <c r="C22" t="str">
        <f>'Womens JV Results'!F27</f>
        <v>Cros-Lex</v>
      </c>
      <c r="D22">
        <f>'Womens Varsity Results'!C27</f>
        <v>9</v>
      </c>
      <c r="G22" s="112" t="s">
        <v>204</v>
      </c>
      <c r="H22" s="129"/>
      <c r="I22" s="128"/>
      <c r="J22" s="129">
        <v>2.0</v>
      </c>
      <c r="K22" s="128"/>
      <c r="L22" s="129"/>
      <c r="M22" s="128"/>
      <c r="N22" s="129"/>
      <c r="O22" s="128"/>
      <c r="P22" s="129"/>
      <c r="Q22" s="128"/>
      <c r="R22" s="129"/>
      <c r="S22" s="128"/>
      <c r="T22" s="129">
        <v>1.0</v>
      </c>
      <c r="U22" s="128"/>
      <c r="V22" s="129"/>
      <c r="W22" s="128"/>
      <c r="X22" s="129"/>
      <c r="Y22" s="128"/>
      <c r="Z22" s="129">
        <v>8.0</v>
      </c>
      <c r="AA22" s="128"/>
      <c r="AB22" s="129"/>
      <c r="AC22" s="128"/>
      <c r="AD22" s="129"/>
      <c r="AE22" s="128"/>
      <c r="AF22" s="129"/>
      <c r="AG22" s="128"/>
      <c r="AH22" s="118">
        <v>11.0</v>
      </c>
    </row>
    <row r="23">
      <c r="A23" s="4">
        <v>3.0</v>
      </c>
      <c r="B23" s="4">
        <v>114.0</v>
      </c>
      <c r="C23" t="str">
        <f>'Womens JV Results'!F28</f>
        <v>Standish-Sterling</v>
      </c>
      <c r="D23">
        <f>'Womens Varsity Results'!C28</f>
        <v>8</v>
      </c>
      <c r="G23" s="130" t="s">
        <v>378</v>
      </c>
      <c r="H23" s="131"/>
      <c r="I23" s="132"/>
      <c r="J23" s="131"/>
      <c r="K23" s="132"/>
      <c r="L23" s="131"/>
      <c r="M23" s="132"/>
      <c r="N23" s="131"/>
      <c r="O23" s="132"/>
      <c r="P23" s="131"/>
      <c r="Q23" s="132"/>
      <c r="R23" s="131">
        <v>3.0</v>
      </c>
      <c r="S23" s="132"/>
      <c r="T23" s="131"/>
      <c r="U23" s="132"/>
      <c r="V23" s="131">
        <v>8.0</v>
      </c>
      <c r="W23" s="132"/>
      <c r="X23" s="131"/>
      <c r="Y23" s="132"/>
      <c r="Z23" s="131"/>
      <c r="AA23" s="132"/>
      <c r="AB23" s="131"/>
      <c r="AC23" s="132"/>
      <c r="AD23" s="131"/>
      <c r="AE23" s="132"/>
      <c r="AF23" s="131"/>
      <c r="AG23" s="132"/>
      <c r="AH23" s="133">
        <v>11.0</v>
      </c>
    </row>
    <row r="24">
      <c r="A24" s="4">
        <v>4.0</v>
      </c>
      <c r="B24" s="4">
        <v>114.0</v>
      </c>
      <c r="C24" t="str">
        <f>'Womens JV Results'!F29</f>
        <v>Central Montcalm</v>
      </c>
      <c r="D24">
        <f>'Womens Varsity Results'!C29</f>
        <v>7</v>
      </c>
      <c r="G24" s="112" t="s">
        <v>375</v>
      </c>
      <c r="H24" s="129"/>
      <c r="I24" s="128"/>
      <c r="J24" s="129"/>
      <c r="K24" s="128"/>
      <c r="L24" s="129"/>
      <c r="M24" s="128"/>
      <c r="N24" s="129"/>
      <c r="O24" s="128"/>
      <c r="P24" s="129"/>
      <c r="Q24" s="128"/>
      <c r="R24" s="129">
        <v>1.0</v>
      </c>
      <c r="S24" s="128"/>
      <c r="T24" s="129"/>
      <c r="U24" s="128"/>
      <c r="V24" s="129"/>
      <c r="W24" s="128"/>
      <c r="X24" s="129"/>
      <c r="Y24" s="128"/>
      <c r="Z24" s="129"/>
      <c r="AA24" s="128"/>
      <c r="AB24" s="129">
        <v>5.0</v>
      </c>
      <c r="AC24" s="128"/>
      <c r="AD24" s="129"/>
      <c r="AE24" s="128"/>
      <c r="AF24" s="129">
        <v>5.0</v>
      </c>
      <c r="AG24" s="128"/>
      <c r="AH24" s="118">
        <v>11.0</v>
      </c>
    </row>
    <row r="25">
      <c r="A25" s="4">
        <v>5.0</v>
      </c>
      <c r="B25" s="4">
        <v>114.0</v>
      </c>
      <c r="C25" t="str">
        <f>'Womens JV Results'!F30</f>
        <v>Port Huron</v>
      </c>
      <c r="D25">
        <f>'Womens Varsity Results'!C30</f>
        <v>6</v>
      </c>
      <c r="G25" s="130" t="s">
        <v>496</v>
      </c>
      <c r="H25" s="131"/>
      <c r="I25" s="132"/>
      <c r="J25" s="131"/>
      <c r="K25" s="132"/>
      <c r="L25" s="131"/>
      <c r="M25" s="132"/>
      <c r="N25" s="131"/>
      <c r="O25" s="132"/>
      <c r="P25" s="131"/>
      <c r="Q25" s="132"/>
      <c r="R25" s="131"/>
      <c r="S25" s="132"/>
      <c r="T25" s="131"/>
      <c r="U25" s="132"/>
      <c r="V25" s="131"/>
      <c r="W25" s="132"/>
      <c r="X25" s="131"/>
      <c r="Y25" s="132"/>
      <c r="Z25" s="131">
        <v>7.0</v>
      </c>
      <c r="AA25" s="132"/>
      <c r="AB25" s="131">
        <v>3.0</v>
      </c>
      <c r="AC25" s="132"/>
      <c r="AD25" s="131"/>
      <c r="AE25" s="132"/>
      <c r="AF25" s="131"/>
      <c r="AG25" s="132"/>
      <c r="AH25" s="133">
        <v>10.0</v>
      </c>
    </row>
    <row r="26">
      <c r="A26" s="4">
        <v>6.0</v>
      </c>
      <c r="B26" s="4">
        <v>114.0</v>
      </c>
      <c r="C26" t="str">
        <f>'Womens JV Results'!F31</f>
        <v>Traverse City West</v>
      </c>
      <c r="D26">
        <f>'Womens Varsity Results'!C31</f>
        <v>5</v>
      </c>
      <c r="G26" s="112" t="s">
        <v>264</v>
      </c>
      <c r="H26" s="129"/>
      <c r="I26" s="128"/>
      <c r="J26" s="129"/>
      <c r="K26" s="128"/>
      <c r="L26" s="129">
        <v>5.0</v>
      </c>
      <c r="M26" s="128"/>
      <c r="N26" s="129">
        <v>4.0</v>
      </c>
      <c r="O26" s="128"/>
      <c r="P26" s="129"/>
      <c r="Q26" s="128"/>
      <c r="R26" s="129"/>
      <c r="S26" s="128"/>
      <c r="T26" s="129"/>
      <c r="U26" s="128"/>
      <c r="V26" s="129"/>
      <c r="W26" s="128"/>
      <c r="X26" s="129"/>
      <c r="Y26" s="128"/>
      <c r="Z26" s="129"/>
      <c r="AA26" s="128"/>
      <c r="AB26" s="129"/>
      <c r="AC26" s="128"/>
      <c r="AD26" s="129"/>
      <c r="AE26" s="128"/>
      <c r="AF26" s="129"/>
      <c r="AG26" s="128"/>
      <c r="AH26" s="118">
        <v>9.0</v>
      </c>
    </row>
    <row r="27">
      <c r="A27" s="4">
        <v>7.0</v>
      </c>
      <c r="B27" s="4">
        <v>114.0</v>
      </c>
      <c r="C27" t="str">
        <f>'Womens JV Results'!F32</f>
        <v>Port Huron</v>
      </c>
      <c r="D27">
        <f>'Womens Varsity Results'!C32</f>
        <v>4</v>
      </c>
      <c r="G27" s="130" t="s">
        <v>268</v>
      </c>
      <c r="H27" s="131"/>
      <c r="I27" s="132"/>
      <c r="J27" s="131"/>
      <c r="K27" s="132"/>
      <c r="L27" s="131">
        <v>3.0</v>
      </c>
      <c r="M27" s="132"/>
      <c r="N27" s="131"/>
      <c r="O27" s="132"/>
      <c r="P27" s="131"/>
      <c r="Q27" s="132"/>
      <c r="R27" s="131"/>
      <c r="S27" s="132"/>
      <c r="T27" s="131"/>
      <c r="U27" s="132"/>
      <c r="V27" s="131"/>
      <c r="W27" s="132"/>
      <c r="X27" s="131"/>
      <c r="Y27" s="132"/>
      <c r="Z27" s="131"/>
      <c r="AA27" s="132"/>
      <c r="AB27" s="131"/>
      <c r="AC27" s="132"/>
      <c r="AD27" s="131"/>
      <c r="AE27" s="132"/>
      <c r="AF27" s="131">
        <v>6.0</v>
      </c>
      <c r="AG27" s="132"/>
      <c r="AH27" s="133">
        <v>9.0</v>
      </c>
    </row>
    <row r="28">
      <c r="A28" s="4">
        <v>8.0</v>
      </c>
      <c r="B28" s="4">
        <v>114.0</v>
      </c>
      <c r="C28" t="str">
        <f>'Womens JV Results'!F33</f>
        <v>North Branch</v>
      </c>
      <c r="D28">
        <f>'Womens Varsity Results'!C33</f>
        <v>3</v>
      </c>
      <c r="G28" s="112" t="s">
        <v>303</v>
      </c>
      <c r="H28" s="129"/>
      <c r="I28" s="128"/>
      <c r="J28" s="129"/>
      <c r="K28" s="128"/>
      <c r="L28" s="129"/>
      <c r="M28" s="128"/>
      <c r="N28" s="129">
        <v>3.0</v>
      </c>
      <c r="O28" s="128"/>
      <c r="P28" s="129">
        <v>6.0</v>
      </c>
      <c r="Q28" s="128"/>
      <c r="R28" s="129"/>
      <c r="S28" s="128"/>
      <c r="T28" s="129"/>
      <c r="U28" s="128"/>
      <c r="V28" s="129"/>
      <c r="W28" s="128"/>
      <c r="X28" s="129"/>
      <c r="Y28" s="128"/>
      <c r="Z28" s="129"/>
      <c r="AA28" s="128"/>
      <c r="AB28" s="129"/>
      <c r="AC28" s="128"/>
      <c r="AD28" s="129"/>
      <c r="AE28" s="128"/>
      <c r="AF28" s="129"/>
      <c r="AG28" s="128"/>
      <c r="AH28" s="118">
        <v>9.0</v>
      </c>
    </row>
    <row r="29">
      <c r="A29" s="4">
        <v>9.0</v>
      </c>
      <c r="B29" s="4">
        <v>114.0</v>
      </c>
      <c r="C29" t="str">
        <f>'Womens JV Results'!F34</f>
        <v>Whitehall</v>
      </c>
      <c r="D29">
        <f>'Womens Varsity Results'!C34</f>
        <v>2</v>
      </c>
      <c r="G29" s="130" t="s">
        <v>326</v>
      </c>
      <c r="H29" s="131"/>
      <c r="I29" s="132"/>
      <c r="J29" s="131"/>
      <c r="K29" s="132"/>
      <c r="L29" s="131"/>
      <c r="M29" s="132"/>
      <c r="N29" s="131"/>
      <c r="O29" s="132"/>
      <c r="P29" s="131">
        <v>9.0</v>
      </c>
      <c r="Q29" s="132"/>
      <c r="R29" s="131"/>
      <c r="S29" s="132"/>
      <c r="T29" s="131"/>
      <c r="U29" s="132"/>
      <c r="V29" s="131"/>
      <c r="W29" s="132"/>
      <c r="X29" s="131"/>
      <c r="Y29" s="132"/>
      <c r="Z29" s="131"/>
      <c r="AA29" s="132"/>
      <c r="AB29" s="131"/>
      <c r="AC29" s="132"/>
      <c r="AD29" s="131"/>
      <c r="AE29" s="132"/>
      <c r="AF29" s="131"/>
      <c r="AG29" s="132"/>
      <c r="AH29" s="133">
        <v>9.0</v>
      </c>
    </row>
    <row r="30">
      <c r="A30" s="4">
        <v>10.0</v>
      </c>
      <c r="B30" s="4">
        <v>114.0</v>
      </c>
      <c r="C30" t="str">
        <f>'Womens JV Results'!F35</f>
        <v>Port Huron</v>
      </c>
      <c r="D30">
        <f>'Womens Varsity Results'!C35</f>
        <v>1</v>
      </c>
      <c r="G30" s="112" t="s">
        <v>409</v>
      </c>
      <c r="H30" s="129"/>
      <c r="I30" s="128"/>
      <c r="J30" s="129"/>
      <c r="K30" s="128"/>
      <c r="L30" s="129"/>
      <c r="M30" s="128"/>
      <c r="N30" s="129"/>
      <c r="O30" s="128"/>
      <c r="P30" s="129"/>
      <c r="Q30" s="128"/>
      <c r="R30" s="129">
        <v>9.0</v>
      </c>
      <c r="S30" s="128"/>
      <c r="T30" s="129"/>
      <c r="U30" s="128"/>
      <c r="V30" s="129"/>
      <c r="W30" s="128"/>
      <c r="X30" s="129"/>
      <c r="Y30" s="128"/>
      <c r="Z30" s="129"/>
      <c r="AA30" s="128"/>
      <c r="AB30" s="129"/>
      <c r="AC30" s="128"/>
      <c r="AD30" s="129"/>
      <c r="AE30" s="128"/>
      <c r="AF30" s="129"/>
      <c r="AG30" s="128"/>
      <c r="AH30" s="118">
        <v>9.0</v>
      </c>
    </row>
    <row r="31">
      <c r="A31" s="4">
        <v>1.0</v>
      </c>
      <c r="B31" s="4">
        <v>123.0</v>
      </c>
      <c r="C31" t="str">
        <f>'Womens JV Results'!F36</f>
        <v>Central Montcalm</v>
      </c>
      <c r="D31">
        <f>'Womens Varsity Results'!C36</f>
        <v>12</v>
      </c>
      <c r="G31" s="130" t="s">
        <v>471</v>
      </c>
      <c r="H31" s="131"/>
      <c r="I31" s="132"/>
      <c r="J31" s="131"/>
      <c r="K31" s="132"/>
      <c r="L31" s="131"/>
      <c r="M31" s="132"/>
      <c r="N31" s="131"/>
      <c r="O31" s="132"/>
      <c r="P31" s="131"/>
      <c r="Q31" s="132"/>
      <c r="R31" s="131"/>
      <c r="S31" s="132"/>
      <c r="T31" s="131"/>
      <c r="U31" s="132"/>
      <c r="V31" s="131"/>
      <c r="W31" s="132"/>
      <c r="X31" s="131">
        <v>9.0</v>
      </c>
      <c r="Y31" s="132"/>
      <c r="Z31" s="131"/>
      <c r="AA31" s="132"/>
      <c r="AB31" s="131"/>
      <c r="AC31" s="132"/>
      <c r="AD31" s="131"/>
      <c r="AE31" s="132"/>
      <c r="AF31" s="131"/>
      <c r="AG31" s="132"/>
      <c r="AH31" s="133">
        <v>9.0</v>
      </c>
    </row>
    <row r="32">
      <c r="A32" s="4">
        <v>2.0</v>
      </c>
      <c r="B32" s="4">
        <v>123.0</v>
      </c>
      <c r="C32" t="str">
        <f>'Womens JV Results'!F37</f>
        <v>Central Montcalm</v>
      </c>
      <c r="D32">
        <f>'Womens Varsity Results'!C37</f>
        <v>9</v>
      </c>
      <c r="G32" s="112" t="s">
        <v>321</v>
      </c>
      <c r="H32" s="129"/>
      <c r="I32" s="128"/>
      <c r="J32" s="129"/>
      <c r="K32" s="128"/>
      <c r="L32" s="129"/>
      <c r="M32" s="128"/>
      <c r="N32" s="129"/>
      <c r="O32" s="128"/>
      <c r="P32" s="129"/>
      <c r="Q32" s="128"/>
      <c r="R32" s="129"/>
      <c r="S32" s="128"/>
      <c r="T32" s="129"/>
      <c r="U32" s="128"/>
      <c r="V32" s="129"/>
      <c r="W32" s="128"/>
      <c r="X32" s="129">
        <v>3.0</v>
      </c>
      <c r="Y32" s="128"/>
      <c r="Z32" s="129">
        <v>2.0</v>
      </c>
      <c r="AA32" s="128"/>
      <c r="AB32" s="129"/>
      <c r="AC32" s="128"/>
      <c r="AD32" s="129">
        <v>4.0</v>
      </c>
      <c r="AE32" s="128"/>
      <c r="AF32" s="129"/>
      <c r="AG32" s="128"/>
      <c r="AH32" s="118">
        <v>9.0</v>
      </c>
    </row>
    <row r="33">
      <c r="A33" s="4">
        <v>3.0</v>
      </c>
      <c r="B33" s="4">
        <v>123.0</v>
      </c>
      <c r="C33" t="str">
        <f>'Womens JV Results'!F38</f>
        <v>Standish-Sterling</v>
      </c>
      <c r="D33">
        <f>'Womens Varsity Results'!C38</f>
        <v>8</v>
      </c>
      <c r="G33" s="130" t="s">
        <v>278</v>
      </c>
      <c r="H33" s="131"/>
      <c r="I33" s="132"/>
      <c r="J33" s="131"/>
      <c r="K33" s="132"/>
      <c r="L33" s="131"/>
      <c r="M33" s="132"/>
      <c r="N33" s="131"/>
      <c r="O33" s="132"/>
      <c r="P33" s="131"/>
      <c r="Q33" s="132"/>
      <c r="R33" s="131"/>
      <c r="S33" s="132"/>
      <c r="T33" s="131"/>
      <c r="U33" s="132"/>
      <c r="V33" s="131"/>
      <c r="W33" s="132"/>
      <c r="X33" s="131"/>
      <c r="Y33" s="132"/>
      <c r="Z33" s="131">
        <v>9.0</v>
      </c>
      <c r="AA33" s="132"/>
      <c r="AB33" s="131"/>
      <c r="AC33" s="132"/>
      <c r="AD33" s="131"/>
      <c r="AE33" s="132"/>
      <c r="AF33" s="131"/>
      <c r="AG33" s="132"/>
      <c r="AH33" s="133">
        <v>9.0</v>
      </c>
    </row>
    <row r="34">
      <c r="A34" s="4">
        <v>4.0</v>
      </c>
      <c r="B34" s="4">
        <v>123.0</v>
      </c>
      <c r="C34" t="str">
        <f>'Womens JV Results'!F39</f>
        <v>Cros-Lex</v>
      </c>
      <c r="D34">
        <f>'Womens Varsity Results'!C39</f>
        <v>7</v>
      </c>
      <c r="G34" s="112" t="s">
        <v>512</v>
      </c>
      <c r="H34" s="129"/>
      <c r="I34" s="128"/>
      <c r="J34" s="129"/>
      <c r="K34" s="128"/>
      <c r="L34" s="129"/>
      <c r="M34" s="128"/>
      <c r="N34" s="129"/>
      <c r="O34" s="128"/>
      <c r="P34" s="129"/>
      <c r="Q34" s="128"/>
      <c r="R34" s="129"/>
      <c r="S34" s="128"/>
      <c r="T34" s="129"/>
      <c r="U34" s="128"/>
      <c r="V34" s="129"/>
      <c r="W34" s="128"/>
      <c r="X34" s="129"/>
      <c r="Y34" s="128"/>
      <c r="Z34" s="129"/>
      <c r="AA34" s="128"/>
      <c r="AB34" s="129">
        <v>8.0</v>
      </c>
      <c r="AC34" s="128"/>
      <c r="AD34" s="129"/>
      <c r="AE34" s="128"/>
      <c r="AF34" s="129"/>
      <c r="AG34" s="128"/>
      <c r="AH34" s="118">
        <v>8.0</v>
      </c>
    </row>
    <row r="35">
      <c r="A35" s="4">
        <v>5.0</v>
      </c>
      <c r="B35" s="4">
        <v>123.0</v>
      </c>
      <c r="C35" t="str">
        <f>'Womens JV Results'!F40</f>
        <v>Port Huron</v>
      </c>
      <c r="D35">
        <f>'Womens Varsity Results'!C40</f>
        <v>6</v>
      </c>
      <c r="G35" s="130" t="s">
        <v>467</v>
      </c>
      <c r="H35" s="131"/>
      <c r="I35" s="132"/>
      <c r="J35" s="131"/>
      <c r="K35" s="132"/>
      <c r="L35" s="131"/>
      <c r="M35" s="132"/>
      <c r="N35" s="131"/>
      <c r="O35" s="132"/>
      <c r="P35" s="131"/>
      <c r="Q35" s="132"/>
      <c r="R35" s="131"/>
      <c r="S35" s="132"/>
      <c r="T35" s="131"/>
      <c r="U35" s="132"/>
      <c r="V35" s="131"/>
      <c r="W35" s="132"/>
      <c r="X35" s="131">
        <v>7.0</v>
      </c>
      <c r="Y35" s="132"/>
      <c r="Z35" s="131"/>
      <c r="AA35" s="132"/>
      <c r="AB35" s="131"/>
      <c r="AC35" s="132"/>
      <c r="AD35" s="131"/>
      <c r="AE35" s="132"/>
      <c r="AF35" s="131"/>
      <c r="AG35" s="132"/>
      <c r="AH35" s="133">
        <v>7.0</v>
      </c>
    </row>
    <row r="36">
      <c r="A36" s="4">
        <v>6.0</v>
      </c>
      <c r="B36" s="4">
        <v>123.0</v>
      </c>
      <c r="C36" t="str">
        <f>'Womens JV Results'!F41</f>
        <v>Central Lake</v>
      </c>
      <c r="D36">
        <f>'Womens Varsity Results'!C41</f>
        <v>5</v>
      </c>
      <c r="G36" s="112" t="s">
        <v>359</v>
      </c>
      <c r="H36" s="129"/>
      <c r="I36" s="128"/>
      <c r="J36" s="129"/>
      <c r="K36" s="128"/>
      <c r="L36" s="129"/>
      <c r="M36" s="128"/>
      <c r="N36" s="129"/>
      <c r="O36" s="128"/>
      <c r="P36" s="129"/>
      <c r="Q36" s="128"/>
      <c r="R36" s="129"/>
      <c r="S36" s="128"/>
      <c r="T36" s="129">
        <v>6.0</v>
      </c>
      <c r="U36" s="128"/>
      <c r="V36" s="129"/>
      <c r="W36" s="128"/>
      <c r="X36" s="129"/>
      <c r="Y36" s="128"/>
      <c r="Z36" s="129"/>
      <c r="AA36" s="128"/>
      <c r="AB36" s="129"/>
      <c r="AC36" s="128"/>
      <c r="AD36" s="129"/>
      <c r="AE36" s="128"/>
      <c r="AF36" s="129"/>
      <c r="AG36" s="128"/>
      <c r="AH36" s="118">
        <v>6.0</v>
      </c>
    </row>
    <row r="37">
      <c r="A37" s="4">
        <v>7.0</v>
      </c>
      <c r="B37" s="4">
        <v>123.0</v>
      </c>
      <c r="C37" t="str">
        <f>'Womens JV Results'!F42</f>
        <v>Traverse City West</v>
      </c>
      <c r="D37">
        <f>'Womens Varsity Results'!C42</f>
        <v>4</v>
      </c>
      <c r="G37" s="130" t="s">
        <v>493</v>
      </c>
      <c r="H37" s="131"/>
      <c r="I37" s="132"/>
      <c r="J37" s="131"/>
      <c r="K37" s="132"/>
      <c r="L37" s="131"/>
      <c r="M37" s="132"/>
      <c r="N37" s="131"/>
      <c r="O37" s="132"/>
      <c r="P37" s="131"/>
      <c r="Q37" s="132"/>
      <c r="R37" s="131"/>
      <c r="S37" s="132"/>
      <c r="T37" s="131"/>
      <c r="U37" s="132"/>
      <c r="V37" s="131"/>
      <c r="W37" s="132"/>
      <c r="X37" s="131"/>
      <c r="Y37" s="132"/>
      <c r="Z37" s="131">
        <v>6.0</v>
      </c>
      <c r="AA37" s="132"/>
      <c r="AB37" s="131"/>
      <c r="AC37" s="132"/>
      <c r="AD37" s="131"/>
      <c r="AE37" s="132"/>
      <c r="AF37" s="131"/>
      <c r="AG37" s="132"/>
      <c r="AH37" s="133">
        <v>6.0</v>
      </c>
    </row>
    <row r="38">
      <c r="A38" s="4">
        <v>8.0</v>
      </c>
      <c r="B38" s="4">
        <v>123.0</v>
      </c>
      <c r="C38" t="str">
        <f>'Womens JV Results'!F43</f>
        <v>Almont</v>
      </c>
      <c r="D38">
        <f>'Womens Varsity Results'!C43</f>
        <v>3</v>
      </c>
      <c r="G38" s="112" t="s">
        <v>368</v>
      </c>
      <c r="H38" s="129"/>
      <c r="I38" s="128"/>
      <c r="J38" s="129"/>
      <c r="K38" s="128"/>
      <c r="L38" s="129"/>
      <c r="M38" s="128"/>
      <c r="N38" s="129"/>
      <c r="O38" s="128"/>
      <c r="P38" s="129"/>
      <c r="Q38" s="128"/>
      <c r="R38" s="129"/>
      <c r="S38" s="128"/>
      <c r="T38" s="129"/>
      <c r="U38" s="128"/>
      <c r="V38" s="129"/>
      <c r="W38" s="128"/>
      <c r="X38" s="129"/>
      <c r="Y38" s="128"/>
      <c r="Z38" s="129">
        <v>4.0</v>
      </c>
      <c r="AA38" s="128"/>
      <c r="AB38" s="129">
        <v>2.0</v>
      </c>
      <c r="AC38" s="128"/>
      <c r="AD38" s="129"/>
      <c r="AE38" s="128"/>
      <c r="AF38" s="129"/>
      <c r="AG38" s="128"/>
      <c r="AH38" s="118">
        <v>6.0</v>
      </c>
    </row>
    <row r="39">
      <c r="A39" s="4">
        <v>9.0</v>
      </c>
      <c r="B39" s="4">
        <v>123.0</v>
      </c>
      <c r="C39" t="str">
        <f>'Womens JV Results'!F44</f>
        <v>Grand Haven</v>
      </c>
      <c r="D39">
        <f>'Womens Varsity Results'!C44</f>
        <v>2</v>
      </c>
      <c r="G39" s="130" t="s">
        <v>249</v>
      </c>
      <c r="H39" s="131">
        <v>4.0</v>
      </c>
      <c r="I39" s="132"/>
      <c r="J39" s="131"/>
      <c r="K39" s="132"/>
      <c r="L39" s="131"/>
      <c r="M39" s="132"/>
      <c r="N39" s="131"/>
      <c r="O39" s="132"/>
      <c r="P39" s="131"/>
      <c r="Q39" s="132"/>
      <c r="R39" s="131"/>
      <c r="S39" s="132"/>
      <c r="T39" s="131"/>
      <c r="U39" s="132"/>
      <c r="V39" s="131"/>
      <c r="W39" s="132"/>
      <c r="X39" s="131"/>
      <c r="Y39" s="132"/>
      <c r="Z39" s="131"/>
      <c r="AA39" s="132"/>
      <c r="AB39" s="131"/>
      <c r="AC39" s="132"/>
      <c r="AD39" s="131"/>
      <c r="AE39" s="132"/>
      <c r="AF39" s="131"/>
      <c r="AG39" s="132"/>
      <c r="AH39" s="133">
        <v>4.0</v>
      </c>
    </row>
    <row r="40">
      <c r="A40" s="4">
        <v>10.0</v>
      </c>
      <c r="B40" s="4">
        <v>123.0</v>
      </c>
      <c r="C40" t="str">
        <f>'Womens JV Results'!F45</f>
        <v>Standish-Sterling</v>
      </c>
      <c r="D40">
        <f>'Womens Varsity Results'!C45</f>
        <v>1</v>
      </c>
      <c r="G40" s="112" t="s">
        <v>394</v>
      </c>
      <c r="H40" s="129"/>
      <c r="I40" s="128"/>
      <c r="J40" s="129"/>
      <c r="K40" s="128"/>
      <c r="L40" s="129"/>
      <c r="M40" s="128"/>
      <c r="N40" s="129"/>
      <c r="O40" s="128"/>
      <c r="P40" s="129"/>
      <c r="Q40" s="128"/>
      <c r="R40" s="129"/>
      <c r="S40" s="128"/>
      <c r="T40" s="129">
        <v>4.0</v>
      </c>
      <c r="U40" s="128"/>
      <c r="V40" s="129"/>
      <c r="W40" s="128"/>
      <c r="X40" s="129"/>
      <c r="Y40" s="128"/>
      <c r="Z40" s="129"/>
      <c r="AA40" s="128"/>
      <c r="AB40" s="129"/>
      <c r="AC40" s="128"/>
      <c r="AD40" s="129"/>
      <c r="AE40" s="128"/>
      <c r="AF40" s="129"/>
      <c r="AG40" s="128"/>
      <c r="AH40" s="118">
        <v>4.0</v>
      </c>
    </row>
    <row r="41">
      <c r="A41" s="4">
        <v>1.0</v>
      </c>
      <c r="B41" s="4">
        <v>132.0</v>
      </c>
      <c r="C41" t="str">
        <f>'Womens JV Results'!F46</f>
        <v>Central Montcalm</v>
      </c>
      <c r="D41">
        <f>'Womens Varsity Results'!C46</f>
        <v>12</v>
      </c>
      <c r="G41" s="130" t="s">
        <v>460</v>
      </c>
      <c r="H41" s="131"/>
      <c r="I41" s="132"/>
      <c r="J41" s="131"/>
      <c r="K41" s="132"/>
      <c r="L41" s="131"/>
      <c r="M41" s="132"/>
      <c r="N41" s="131"/>
      <c r="O41" s="132"/>
      <c r="P41" s="131"/>
      <c r="Q41" s="132"/>
      <c r="R41" s="131"/>
      <c r="S41" s="132"/>
      <c r="T41" s="131"/>
      <c r="U41" s="132"/>
      <c r="V41" s="131"/>
      <c r="W41" s="132"/>
      <c r="X41" s="131">
        <v>4.0</v>
      </c>
      <c r="Y41" s="132"/>
      <c r="Z41" s="131"/>
      <c r="AA41" s="132"/>
      <c r="AB41" s="131"/>
      <c r="AC41" s="132"/>
      <c r="AD41" s="131"/>
      <c r="AE41" s="132"/>
      <c r="AF41" s="131"/>
      <c r="AG41" s="132"/>
      <c r="AH41" s="133">
        <v>4.0</v>
      </c>
    </row>
    <row r="42">
      <c r="A42" s="4">
        <v>2.0</v>
      </c>
      <c r="B42" s="4">
        <v>132.0</v>
      </c>
      <c r="C42" t="str">
        <f>'Womens JV Results'!F47</f>
        <v>Independent</v>
      </c>
      <c r="D42">
        <f>'Womens Varsity Results'!C47</f>
        <v>9</v>
      </c>
      <c r="G42" s="112" t="s">
        <v>342</v>
      </c>
      <c r="H42" s="129"/>
      <c r="I42" s="128"/>
      <c r="J42" s="129"/>
      <c r="K42" s="128"/>
      <c r="L42" s="129"/>
      <c r="M42" s="128"/>
      <c r="N42" s="129"/>
      <c r="O42" s="128"/>
      <c r="P42" s="129"/>
      <c r="Q42" s="128"/>
      <c r="R42" s="129"/>
      <c r="S42" s="128"/>
      <c r="T42" s="129">
        <v>3.0</v>
      </c>
      <c r="U42" s="128"/>
      <c r="V42" s="129"/>
      <c r="W42" s="128"/>
      <c r="X42" s="129"/>
      <c r="Y42" s="128"/>
      <c r="Z42" s="129"/>
      <c r="AA42" s="128"/>
      <c r="AB42" s="129"/>
      <c r="AC42" s="128"/>
      <c r="AD42" s="129"/>
      <c r="AE42" s="128"/>
      <c r="AF42" s="129"/>
      <c r="AG42" s="128"/>
      <c r="AH42" s="118">
        <v>3.0</v>
      </c>
    </row>
    <row r="43">
      <c r="A43" s="4">
        <v>3.0</v>
      </c>
      <c r="B43" s="4">
        <v>132.0</v>
      </c>
      <c r="C43" t="str">
        <f>'Womens JV Results'!F48</f>
        <v>Central Montcalm</v>
      </c>
      <c r="D43">
        <f>'Womens Varsity Results'!C48</f>
        <v>8</v>
      </c>
      <c r="G43" s="130" t="s">
        <v>214</v>
      </c>
      <c r="H43" s="131"/>
      <c r="I43" s="132"/>
      <c r="J43" s="131"/>
      <c r="K43" s="132"/>
      <c r="L43" s="131"/>
      <c r="M43" s="132"/>
      <c r="N43" s="131">
        <v>2.0</v>
      </c>
      <c r="O43" s="132"/>
      <c r="P43" s="131"/>
      <c r="Q43" s="132"/>
      <c r="R43" s="131"/>
      <c r="S43" s="132"/>
      <c r="T43" s="131"/>
      <c r="U43" s="132"/>
      <c r="V43" s="131"/>
      <c r="W43" s="132"/>
      <c r="X43" s="131"/>
      <c r="Y43" s="132"/>
      <c r="Z43" s="131"/>
      <c r="AA43" s="132"/>
      <c r="AB43" s="131"/>
      <c r="AC43" s="132"/>
      <c r="AD43" s="131"/>
      <c r="AE43" s="132"/>
      <c r="AF43" s="131"/>
      <c r="AG43" s="132"/>
      <c r="AH43" s="133">
        <v>2.0</v>
      </c>
    </row>
    <row r="44">
      <c r="A44" s="4">
        <v>4.0</v>
      </c>
      <c r="B44" s="4">
        <v>132.0</v>
      </c>
      <c r="C44" t="str">
        <f>'Womens JV Results'!F49</f>
        <v>Lake Orion</v>
      </c>
      <c r="D44">
        <f>'Womens Varsity Results'!C49</f>
        <v>7</v>
      </c>
      <c r="G44" s="112" t="s">
        <v>335</v>
      </c>
      <c r="H44" s="129"/>
      <c r="I44" s="128"/>
      <c r="J44" s="129"/>
      <c r="K44" s="128"/>
      <c r="L44" s="129"/>
      <c r="M44" s="128"/>
      <c r="N44" s="129"/>
      <c r="O44" s="128"/>
      <c r="P44" s="129">
        <v>2.0</v>
      </c>
      <c r="Q44" s="128"/>
      <c r="R44" s="129"/>
      <c r="S44" s="128"/>
      <c r="T44" s="129"/>
      <c r="U44" s="128"/>
      <c r="V44" s="129"/>
      <c r="W44" s="128"/>
      <c r="X44" s="129"/>
      <c r="Y44" s="128"/>
      <c r="Z44" s="129"/>
      <c r="AA44" s="128"/>
      <c r="AB44" s="129"/>
      <c r="AC44" s="128"/>
      <c r="AD44" s="129"/>
      <c r="AE44" s="128"/>
      <c r="AF44" s="129"/>
      <c r="AG44" s="128"/>
      <c r="AH44" s="118">
        <v>2.0</v>
      </c>
    </row>
    <row r="45">
      <c r="A45" s="4">
        <v>5.0</v>
      </c>
      <c r="B45" s="4">
        <v>132.0</v>
      </c>
      <c r="C45" t="str">
        <f>'Womens JV Results'!F50</f>
        <v>Almont</v>
      </c>
      <c r="D45">
        <f>'Womens Varsity Results'!C50</f>
        <v>6</v>
      </c>
      <c r="G45" s="130"/>
      <c r="H45" s="131"/>
      <c r="I45" s="132"/>
      <c r="J45" s="131"/>
      <c r="K45" s="132"/>
      <c r="L45" s="131"/>
      <c r="M45" s="132"/>
      <c r="N45" s="131"/>
      <c r="O45" s="132"/>
      <c r="P45" s="131"/>
      <c r="Q45" s="132"/>
      <c r="R45" s="131"/>
      <c r="S45" s="132"/>
      <c r="T45" s="131"/>
      <c r="U45" s="132"/>
      <c r="V45" s="131"/>
      <c r="W45" s="132"/>
      <c r="X45" s="131"/>
      <c r="Y45" s="132"/>
      <c r="Z45" s="131"/>
      <c r="AA45" s="132"/>
      <c r="AB45" s="131"/>
      <c r="AC45" s="132"/>
      <c r="AD45" s="131"/>
      <c r="AE45" s="132"/>
      <c r="AF45" s="131"/>
      <c r="AG45" s="132"/>
      <c r="AH45" s="133"/>
    </row>
    <row r="46">
      <c r="A46" s="4">
        <v>6.0</v>
      </c>
      <c r="B46" s="4">
        <v>132.0</v>
      </c>
      <c r="C46" t="str">
        <f>'Womens JV Results'!F51</f>
        <v>Port Huron</v>
      </c>
      <c r="D46">
        <f>'Womens Varsity Results'!C51</f>
        <v>5</v>
      </c>
      <c r="G46" s="112"/>
      <c r="H46" s="129"/>
      <c r="I46" s="128"/>
      <c r="J46" s="129"/>
      <c r="K46" s="128"/>
      <c r="L46" s="129"/>
      <c r="M46" s="128"/>
      <c r="N46" s="129"/>
      <c r="O46" s="128"/>
      <c r="P46" s="129"/>
      <c r="Q46" s="128"/>
      <c r="R46" s="129"/>
      <c r="S46" s="128"/>
      <c r="T46" s="129"/>
      <c r="U46" s="128"/>
      <c r="V46" s="129"/>
      <c r="W46" s="128"/>
      <c r="X46" s="129"/>
      <c r="Y46" s="128"/>
      <c r="Z46" s="129"/>
      <c r="AA46" s="128"/>
      <c r="AB46" s="129"/>
      <c r="AC46" s="128"/>
      <c r="AD46" s="129"/>
      <c r="AE46" s="128"/>
      <c r="AF46" s="129"/>
      <c r="AG46" s="128"/>
      <c r="AH46" s="118"/>
    </row>
    <row r="47">
      <c r="A47" s="4">
        <v>7.0</v>
      </c>
      <c r="B47" s="4">
        <v>132.0</v>
      </c>
      <c r="C47" t="str">
        <f>'Womens JV Results'!F52</f>
        <v>Martin</v>
      </c>
      <c r="D47">
        <f>'Womens Varsity Results'!C52</f>
        <v>4</v>
      </c>
      <c r="G47" s="130"/>
      <c r="H47" s="131"/>
      <c r="I47" s="132"/>
      <c r="J47" s="131"/>
      <c r="K47" s="132"/>
      <c r="L47" s="131"/>
      <c r="M47" s="132"/>
      <c r="N47" s="131"/>
      <c r="O47" s="132"/>
      <c r="P47" s="131"/>
      <c r="Q47" s="132"/>
      <c r="R47" s="131"/>
      <c r="S47" s="132"/>
      <c r="T47" s="131"/>
      <c r="U47" s="132"/>
      <c r="V47" s="131"/>
      <c r="W47" s="132"/>
      <c r="X47" s="131"/>
      <c r="Y47" s="132"/>
      <c r="Z47" s="131"/>
      <c r="AA47" s="132"/>
      <c r="AB47" s="131"/>
      <c r="AC47" s="132"/>
      <c r="AD47" s="131"/>
      <c r="AE47" s="132"/>
      <c r="AF47" s="131"/>
      <c r="AG47" s="132"/>
      <c r="AH47" s="133"/>
    </row>
    <row r="48">
      <c r="A48" s="4">
        <v>8.0</v>
      </c>
      <c r="B48" s="4">
        <v>132.0</v>
      </c>
      <c r="C48" t="str">
        <f>'Womens JV Results'!F53</f>
        <v>Port Huron</v>
      </c>
      <c r="D48">
        <f>'Womens Varsity Results'!C53</f>
        <v>3</v>
      </c>
      <c r="G48" s="112"/>
      <c r="H48" s="129"/>
      <c r="I48" s="128"/>
      <c r="J48" s="129"/>
      <c r="K48" s="128"/>
      <c r="L48" s="129"/>
      <c r="M48" s="128"/>
      <c r="N48" s="129"/>
      <c r="O48" s="128"/>
      <c r="P48" s="129"/>
      <c r="Q48" s="128"/>
      <c r="R48" s="129"/>
      <c r="S48" s="128"/>
      <c r="T48" s="129"/>
      <c r="U48" s="128"/>
      <c r="V48" s="129"/>
      <c r="W48" s="128"/>
      <c r="X48" s="129"/>
      <c r="Y48" s="128"/>
      <c r="Z48" s="129"/>
      <c r="AA48" s="128"/>
      <c r="AB48" s="129"/>
      <c r="AC48" s="128"/>
      <c r="AD48" s="129"/>
      <c r="AE48" s="128"/>
      <c r="AF48" s="129"/>
      <c r="AG48" s="128"/>
      <c r="AH48" s="118"/>
    </row>
    <row r="49">
      <c r="A49" s="4">
        <v>9.0</v>
      </c>
      <c r="B49" s="4">
        <v>132.0</v>
      </c>
      <c r="C49" t="str">
        <f>'Womens JV Results'!F54</f>
        <v>Mona Shores</v>
      </c>
      <c r="D49">
        <f>'Womens Varsity Results'!C54</f>
        <v>2</v>
      </c>
      <c r="G49" s="130"/>
      <c r="H49" s="131"/>
      <c r="I49" s="132"/>
      <c r="J49" s="131"/>
      <c r="K49" s="132"/>
      <c r="L49" s="131"/>
      <c r="M49" s="132"/>
      <c r="N49" s="131"/>
      <c r="O49" s="132"/>
      <c r="P49" s="131"/>
      <c r="Q49" s="132"/>
      <c r="R49" s="131"/>
      <c r="S49" s="132"/>
      <c r="T49" s="131"/>
      <c r="U49" s="132"/>
      <c r="V49" s="131"/>
      <c r="W49" s="132"/>
      <c r="X49" s="131"/>
      <c r="Y49" s="132"/>
      <c r="Z49" s="131"/>
      <c r="AA49" s="132"/>
      <c r="AB49" s="131"/>
      <c r="AC49" s="132"/>
      <c r="AD49" s="131"/>
      <c r="AE49" s="132"/>
      <c r="AF49" s="131"/>
      <c r="AG49" s="132"/>
      <c r="AH49" s="133"/>
    </row>
    <row r="50">
      <c r="A50" s="4">
        <v>10.0</v>
      </c>
      <c r="B50" s="4">
        <v>132.0</v>
      </c>
      <c r="C50" t="str">
        <f>'Womens JV Results'!F55</f>
        <v>Flushing</v>
      </c>
      <c r="D50">
        <f>'Womens Varsity Results'!C55</f>
        <v>1</v>
      </c>
      <c r="G50" s="112"/>
      <c r="H50" s="129"/>
      <c r="I50" s="128"/>
      <c r="J50" s="129"/>
      <c r="K50" s="128"/>
      <c r="L50" s="129"/>
      <c r="M50" s="128"/>
      <c r="N50" s="129"/>
      <c r="O50" s="128"/>
      <c r="P50" s="129"/>
      <c r="Q50" s="128"/>
      <c r="R50" s="129"/>
      <c r="S50" s="128"/>
      <c r="T50" s="129"/>
      <c r="U50" s="128"/>
      <c r="V50" s="129"/>
      <c r="W50" s="128"/>
      <c r="X50" s="129"/>
      <c r="Y50" s="128"/>
      <c r="Z50" s="129"/>
      <c r="AA50" s="128"/>
      <c r="AB50" s="129"/>
      <c r="AC50" s="128"/>
      <c r="AD50" s="129"/>
      <c r="AE50" s="128"/>
      <c r="AF50" s="129"/>
      <c r="AG50" s="128"/>
      <c r="AH50" s="118"/>
    </row>
    <row r="51">
      <c r="A51" s="4">
        <v>1.0</v>
      </c>
      <c r="B51" s="4">
        <v>145.0</v>
      </c>
      <c r="C51" t="str">
        <f>'Womens JV Results'!F56</f>
        <v>Montague</v>
      </c>
      <c r="D51">
        <f>'Womens Varsity Results'!C56</f>
        <v>12</v>
      </c>
      <c r="G51" s="130"/>
      <c r="H51" s="131"/>
      <c r="I51" s="132"/>
      <c r="J51" s="131"/>
      <c r="K51" s="132"/>
      <c r="L51" s="131"/>
      <c r="M51" s="132"/>
      <c r="N51" s="131"/>
      <c r="O51" s="132"/>
      <c r="P51" s="131"/>
      <c r="Q51" s="132"/>
      <c r="R51" s="131"/>
      <c r="S51" s="132"/>
      <c r="T51" s="131"/>
      <c r="U51" s="132"/>
      <c r="V51" s="131"/>
      <c r="W51" s="132"/>
      <c r="X51" s="131"/>
      <c r="Y51" s="132"/>
      <c r="Z51" s="131"/>
      <c r="AA51" s="132"/>
      <c r="AB51" s="131"/>
      <c r="AC51" s="132"/>
      <c r="AD51" s="131"/>
      <c r="AE51" s="132"/>
      <c r="AF51" s="131"/>
      <c r="AG51" s="132"/>
      <c r="AH51" s="133"/>
    </row>
    <row r="52">
      <c r="A52" s="4">
        <v>2.0</v>
      </c>
      <c r="B52" s="4">
        <v>145.0</v>
      </c>
      <c r="C52" t="str">
        <f>'Womens JV Results'!F57</f>
        <v>Climax-Scotts</v>
      </c>
      <c r="D52">
        <f>'Womens Varsity Results'!C57</f>
        <v>9</v>
      </c>
      <c r="G52" s="112"/>
      <c r="H52" s="129"/>
      <c r="I52" s="128"/>
      <c r="J52" s="129"/>
      <c r="K52" s="128"/>
      <c r="L52" s="129"/>
      <c r="M52" s="128"/>
      <c r="N52" s="129"/>
      <c r="O52" s="128"/>
      <c r="P52" s="129"/>
      <c r="Q52" s="128"/>
      <c r="R52" s="129"/>
      <c r="S52" s="128"/>
      <c r="T52" s="129"/>
      <c r="U52" s="128"/>
      <c r="V52" s="129"/>
      <c r="W52" s="128"/>
      <c r="X52" s="129"/>
      <c r="Y52" s="128"/>
      <c r="Z52" s="129"/>
      <c r="AA52" s="128"/>
      <c r="AB52" s="129"/>
      <c r="AC52" s="128"/>
      <c r="AD52" s="129"/>
      <c r="AE52" s="128"/>
      <c r="AF52" s="129"/>
      <c r="AG52" s="128"/>
      <c r="AH52" s="118"/>
    </row>
    <row r="53">
      <c r="A53" s="4">
        <v>3.0</v>
      </c>
      <c r="B53" s="4">
        <v>145.0</v>
      </c>
      <c r="C53" t="str">
        <f>'Womens JV Results'!F58</f>
        <v>Cros-Lex</v>
      </c>
      <c r="D53">
        <f>'Womens Varsity Results'!C58</f>
        <v>8</v>
      </c>
      <c r="G53" s="130"/>
      <c r="H53" s="131"/>
      <c r="I53" s="132"/>
      <c r="J53" s="131"/>
      <c r="K53" s="132"/>
      <c r="L53" s="131"/>
      <c r="M53" s="132"/>
      <c r="N53" s="131"/>
      <c r="O53" s="132"/>
      <c r="P53" s="131"/>
      <c r="Q53" s="132"/>
      <c r="R53" s="131"/>
      <c r="S53" s="132"/>
      <c r="T53" s="131"/>
      <c r="U53" s="132"/>
      <c r="V53" s="131"/>
      <c r="W53" s="132"/>
      <c r="X53" s="131"/>
      <c r="Y53" s="132"/>
      <c r="Z53" s="131"/>
      <c r="AA53" s="132"/>
      <c r="AB53" s="131"/>
      <c r="AC53" s="132"/>
      <c r="AD53" s="131"/>
      <c r="AE53" s="132"/>
      <c r="AF53" s="131"/>
      <c r="AG53" s="132"/>
      <c r="AH53" s="133"/>
    </row>
    <row r="54">
      <c r="A54" s="4">
        <v>4.0</v>
      </c>
      <c r="B54" s="4">
        <v>145.0</v>
      </c>
      <c r="C54" t="str">
        <f>'Womens JV Results'!F59</f>
        <v>Port Huron</v>
      </c>
      <c r="D54">
        <f>'Womens Varsity Results'!C59</f>
        <v>7</v>
      </c>
      <c r="G54" s="112"/>
      <c r="H54" s="129"/>
      <c r="I54" s="128"/>
      <c r="J54" s="129"/>
      <c r="K54" s="128"/>
      <c r="L54" s="129"/>
      <c r="M54" s="128"/>
      <c r="N54" s="129"/>
      <c r="O54" s="128"/>
      <c r="P54" s="129"/>
      <c r="Q54" s="128"/>
      <c r="R54" s="129"/>
      <c r="S54" s="128"/>
      <c r="T54" s="129"/>
      <c r="U54" s="128"/>
      <c r="V54" s="129"/>
      <c r="W54" s="128"/>
      <c r="X54" s="129"/>
      <c r="Y54" s="128"/>
      <c r="Z54" s="129"/>
      <c r="AA54" s="128"/>
      <c r="AB54" s="129"/>
      <c r="AC54" s="128"/>
      <c r="AD54" s="129"/>
      <c r="AE54" s="128"/>
      <c r="AF54" s="129"/>
      <c r="AG54" s="128"/>
      <c r="AH54" s="118"/>
    </row>
    <row r="55">
      <c r="A55" s="4">
        <v>5.0</v>
      </c>
      <c r="B55" s="4">
        <v>145.0</v>
      </c>
      <c r="C55" t="str">
        <f>'Womens JV Results'!F60</f>
        <v>Brighton</v>
      </c>
      <c r="D55">
        <f>'Womens Varsity Results'!C60</f>
        <v>6</v>
      </c>
      <c r="G55" s="130"/>
      <c r="H55" s="131"/>
      <c r="I55" s="132"/>
      <c r="J55" s="131"/>
      <c r="K55" s="132"/>
      <c r="L55" s="131"/>
      <c r="M55" s="132"/>
      <c r="N55" s="131"/>
      <c r="O55" s="132"/>
      <c r="P55" s="131"/>
      <c r="Q55" s="132"/>
      <c r="R55" s="131"/>
      <c r="S55" s="132"/>
      <c r="T55" s="131"/>
      <c r="U55" s="132"/>
      <c r="V55" s="131"/>
      <c r="W55" s="132"/>
      <c r="X55" s="131"/>
      <c r="Y55" s="132"/>
      <c r="Z55" s="131"/>
      <c r="AA55" s="132"/>
      <c r="AB55" s="131"/>
      <c r="AC55" s="132"/>
      <c r="AD55" s="131"/>
      <c r="AE55" s="132"/>
      <c r="AF55" s="131"/>
      <c r="AG55" s="132"/>
      <c r="AH55" s="133"/>
    </row>
    <row r="56">
      <c r="A56" s="4">
        <v>6.0</v>
      </c>
      <c r="B56" s="4">
        <v>145.0</v>
      </c>
      <c r="C56" t="str">
        <f>'Womens JV Results'!F61</f>
        <v>Lake Orion</v>
      </c>
      <c r="D56">
        <f>'Womens Varsity Results'!C61</f>
        <v>5</v>
      </c>
      <c r="G56" s="112"/>
      <c r="H56" s="129"/>
      <c r="I56" s="128"/>
      <c r="J56" s="129"/>
      <c r="K56" s="128"/>
      <c r="L56" s="129"/>
      <c r="M56" s="128"/>
      <c r="N56" s="129"/>
      <c r="O56" s="128"/>
      <c r="P56" s="129"/>
      <c r="Q56" s="128"/>
      <c r="R56" s="129"/>
      <c r="S56" s="128"/>
      <c r="T56" s="129"/>
      <c r="U56" s="128"/>
      <c r="V56" s="129"/>
      <c r="W56" s="128"/>
      <c r="X56" s="129"/>
      <c r="Y56" s="128"/>
      <c r="Z56" s="129"/>
      <c r="AA56" s="128"/>
      <c r="AB56" s="129"/>
      <c r="AC56" s="128"/>
      <c r="AD56" s="129"/>
      <c r="AE56" s="128"/>
      <c r="AF56" s="129"/>
      <c r="AG56" s="128"/>
      <c r="AH56" s="118"/>
    </row>
    <row r="57">
      <c r="A57" s="4">
        <v>7.0</v>
      </c>
      <c r="B57" s="4">
        <v>145.0</v>
      </c>
      <c r="C57" t="str">
        <f>'Womens JV Results'!F62</f>
        <v>Kearsley</v>
      </c>
      <c r="D57">
        <f>'Womens Varsity Results'!C62</f>
        <v>4</v>
      </c>
      <c r="G57" s="130"/>
      <c r="H57" s="131"/>
      <c r="I57" s="132"/>
      <c r="J57" s="131"/>
      <c r="K57" s="132"/>
      <c r="L57" s="131"/>
      <c r="M57" s="132"/>
      <c r="N57" s="131"/>
      <c r="O57" s="132"/>
      <c r="P57" s="131"/>
      <c r="Q57" s="132"/>
      <c r="R57" s="131"/>
      <c r="S57" s="132"/>
      <c r="T57" s="131"/>
      <c r="U57" s="132"/>
      <c r="V57" s="131"/>
      <c r="W57" s="132"/>
      <c r="X57" s="131"/>
      <c r="Y57" s="132"/>
      <c r="Z57" s="131"/>
      <c r="AA57" s="132"/>
      <c r="AB57" s="131"/>
      <c r="AC57" s="132"/>
      <c r="AD57" s="131"/>
      <c r="AE57" s="132"/>
      <c r="AF57" s="131"/>
      <c r="AG57" s="132"/>
      <c r="AH57" s="133"/>
    </row>
    <row r="58">
      <c r="A58" s="4">
        <v>8.0</v>
      </c>
      <c r="B58" s="4">
        <v>145.0</v>
      </c>
      <c r="C58" t="str">
        <f>'Womens JV Results'!F63</f>
        <v>Davison</v>
      </c>
      <c r="D58">
        <f>'Womens Varsity Results'!C63</f>
        <v>3</v>
      </c>
      <c r="G58" s="112"/>
      <c r="H58" s="129"/>
      <c r="I58" s="128"/>
      <c r="J58" s="129"/>
      <c r="K58" s="128"/>
      <c r="L58" s="129"/>
      <c r="M58" s="128"/>
      <c r="N58" s="129"/>
      <c r="O58" s="128"/>
      <c r="P58" s="129"/>
      <c r="Q58" s="128"/>
      <c r="R58" s="129"/>
      <c r="S58" s="128"/>
      <c r="T58" s="129"/>
      <c r="U58" s="128"/>
      <c r="V58" s="129"/>
      <c r="W58" s="128"/>
      <c r="X58" s="129"/>
      <c r="Y58" s="128"/>
      <c r="Z58" s="129"/>
      <c r="AA58" s="128"/>
      <c r="AB58" s="129"/>
      <c r="AC58" s="128"/>
      <c r="AD58" s="129"/>
      <c r="AE58" s="128"/>
      <c r="AF58" s="129"/>
      <c r="AG58" s="128"/>
      <c r="AH58" s="118"/>
    </row>
    <row r="59">
      <c r="A59" s="4">
        <v>9.0</v>
      </c>
      <c r="B59" s="4">
        <v>145.0</v>
      </c>
      <c r="C59" t="str">
        <f>'Womens JV Results'!F64</f>
        <v>Brighton</v>
      </c>
      <c r="D59">
        <f>'Womens Varsity Results'!C64</f>
        <v>2</v>
      </c>
      <c r="G59" s="130"/>
      <c r="H59" s="131"/>
      <c r="I59" s="132"/>
      <c r="J59" s="131"/>
      <c r="K59" s="132"/>
      <c r="L59" s="131"/>
      <c r="M59" s="132"/>
      <c r="N59" s="131"/>
      <c r="O59" s="132"/>
      <c r="P59" s="131"/>
      <c r="Q59" s="132"/>
      <c r="R59" s="131"/>
      <c r="S59" s="132"/>
      <c r="T59" s="131"/>
      <c r="U59" s="132"/>
      <c r="V59" s="131"/>
      <c r="W59" s="132"/>
      <c r="X59" s="131"/>
      <c r="Y59" s="132"/>
      <c r="Z59" s="131"/>
      <c r="AA59" s="132"/>
      <c r="AB59" s="131"/>
      <c r="AC59" s="132"/>
      <c r="AD59" s="131"/>
      <c r="AE59" s="132"/>
      <c r="AF59" s="131"/>
      <c r="AG59" s="132"/>
      <c r="AH59" s="133"/>
    </row>
    <row r="60">
      <c r="A60" s="4">
        <v>10.0</v>
      </c>
      <c r="B60" s="4">
        <v>145.0</v>
      </c>
      <c r="C60" t="str">
        <f>'Womens JV Results'!F65</f>
        <v>Morenci</v>
      </c>
      <c r="D60">
        <f>'Womens Varsity Results'!C65</f>
        <v>1</v>
      </c>
      <c r="G60" s="112"/>
      <c r="H60" s="129"/>
      <c r="I60" s="128"/>
      <c r="J60" s="129"/>
      <c r="K60" s="128"/>
      <c r="L60" s="129"/>
      <c r="M60" s="128"/>
      <c r="N60" s="129"/>
      <c r="O60" s="128"/>
      <c r="P60" s="129"/>
      <c r="Q60" s="128"/>
      <c r="R60" s="129"/>
      <c r="S60" s="128"/>
      <c r="T60" s="129"/>
      <c r="U60" s="128"/>
      <c r="V60" s="129"/>
      <c r="W60" s="128"/>
      <c r="X60" s="129"/>
      <c r="Y60" s="128"/>
      <c r="Z60" s="129"/>
      <c r="AA60" s="128"/>
      <c r="AB60" s="129"/>
      <c r="AC60" s="128"/>
      <c r="AD60" s="129"/>
      <c r="AE60" s="128"/>
      <c r="AF60" s="129"/>
      <c r="AG60" s="128"/>
      <c r="AH60" s="118"/>
    </row>
    <row r="61">
      <c r="A61" s="4">
        <v>1.0</v>
      </c>
      <c r="B61" s="4">
        <v>155.0</v>
      </c>
      <c r="C61" t="str">
        <f>'Womens JV Results'!F66</f>
        <v>Royal Oak</v>
      </c>
      <c r="D61">
        <f>'Womens Varsity Results'!C66</f>
        <v>12</v>
      </c>
      <c r="G61" s="130"/>
      <c r="H61" s="131"/>
      <c r="I61" s="132"/>
      <c r="J61" s="131"/>
      <c r="K61" s="132"/>
      <c r="L61" s="131"/>
      <c r="M61" s="132"/>
      <c r="N61" s="131"/>
      <c r="O61" s="132"/>
      <c r="P61" s="131"/>
      <c r="Q61" s="132"/>
      <c r="R61" s="131"/>
      <c r="S61" s="132"/>
      <c r="T61" s="131"/>
      <c r="U61" s="132"/>
      <c r="V61" s="131"/>
      <c r="W61" s="132"/>
      <c r="X61" s="131"/>
      <c r="Y61" s="132"/>
      <c r="Z61" s="131"/>
      <c r="AA61" s="132"/>
      <c r="AB61" s="131"/>
      <c r="AC61" s="132"/>
      <c r="AD61" s="131"/>
      <c r="AE61" s="132"/>
      <c r="AF61" s="131"/>
      <c r="AG61" s="132"/>
      <c r="AH61" s="133"/>
    </row>
    <row r="62">
      <c r="A62" s="4">
        <v>2.0</v>
      </c>
      <c r="B62" s="4">
        <v>155.0</v>
      </c>
      <c r="C62" t="str">
        <f>'Womens JV Results'!F67</f>
        <v>Edwardsburg</v>
      </c>
      <c r="D62">
        <f>'Womens Varsity Results'!C67</f>
        <v>9</v>
      </c>
      <c r="G62" s="112"/>
      <c r="H62" s="129"/>
      <c r="I62" s="128"/>
      <c r="J62" s="129"/>
      <c r="K62" s="128"/>
      <c r="L62" s="129"/>
      <c r="M62" s="128"/>
      <c r="N62" s="129"/>
      <c r="O62" s="128"/>
      <c r="P62" s="129"/>
      <c r="Q62" s="128"/>
      <c r="R62" s="129"/>
      <c r="S62" s="128"/>
      <c r="T62" s="129"/>
      <c r="U62" s="128"/>
      <c r="V62" s="129"/>
      <c r="W62" s="128"/>
      <c r="X62" s="129"/>
      <c r="Y62" s="128"/>
      <c r="Z62" s="129"/>
      <c r="AA62" s="128"/>
      <c r="AB62" s="129"/>
      <c r="AC62" s="128"/>
      <c r="AD62" s="129"/>
      <c r="AE62" s="128"/>
      <c r="AF62" s="129"/>
      <c r="AG62" s="128"/>
      <c r="AH62" s="118"/>
    </row>
    <row r="63">
      <c r="A63" s="4">
        <v>3.0</v>
      </c>
      <c r="B63" s="4">
        <v>155.0</v>
      </c>
      <c r="C63" t="str">
        <f>'Womens JV Results'!F68</f>
        <v>Standish-Sterling</v>
      </c>
      <c r="D63">
        <f>'Womens Varsity Results'!C68</f>
        <v>8</v>
      </c>
      <c r="G63" s="130"/>
      <c r="H63" s="131"/>
      <c r="I63" s="132"/>
      <c r="J63" s="131"/>
      <c r="K63" s="132"/>
      <c r="L63" s="131"/>
      <c r="M63" s="132"/>
      <c r="N63" s="131"/>
      <c r="O63" s="132"/>
      <c r="P63" s="131"/>
      <c r="Q63" s="132"/>
      <c r="R63" s="131"/>
      <c r="S63" s="132"/>
      <c r="T63" s="131"/>
      <c r="U63" s="132"/>
      <c r="V63" s="131"/>
      <c r="W63" s="132"/>
      <c r="X63" s="131"/>
      <c r="Y63" s="132"/>
      <c r="Z63" s="131"/>
      <c r="AA63" s="132"/>
      <c r="AB63" s="131"/>
      <c r="AC63" s="132"/>
      <c r="AD63" s="131"/>
      <c r="AE63" s="132"/>
      <c r="AF63" s="131"/>
      <c r="AG63" s="132"/>
      <c r="AH63" s="133"/>
    </row>
    <row r="64">
      <c r="A64" s="4">
        <v>4.0</v>
      </c>
      <c r="B64" s="4">
        <v>155.0</v>
      </c>
      <c r="C64" t="str">
        <f>'Womens JV Results'!F69</f>
        <v>Standish-Sterling</v>
      </c>
      <c r="D64">
        <f>'Womens Varsity Results'!C69</f>
        <v>7</v>
      </c>
      <c r="G64" s="112"/>
      <c r="H64" s="129"/>
      <c r="I64" s="128"/>
      <c r="J64" s="129"/>
      <c r="K64" s="128"/>
      <c r="L64" s="129"/>
      <c r="M64" s="128"/>
      <c r="N64" s="129"/>
      <c r="O64" s="128"/>
      <c r="P64" s="129"/>
      <c r="Q64" s="128"/>
      <c r="R64" s="129"/>
      <c r="S64" s="128"/>
      <c r="T64" s="129"/>
      <c r="U64" s="128"/>
      <c r="V64" s="129"/>
      <c r="W64" s="128"/>
      <c r="X64" s="129"/>
      <c r="Y64" s="128"/>
      <c r="Z64" s="129"/>
      <c r="AA64" s="128"/>
      <c r="AB64" s="129"/>
      <c r="AC64" s="128"/>
      <c r="AD64" s="129"/>
      <c r="AE64" s="128"/>
      <c r="AF64" s="129"/>
      <c r="AG64" s="128"/>
      <c r="AH64" s="118"/>
    </row>
    <row r="65">
      <c r="A65" s="4">
        <v>5.0</v>
      </c>
      <c r="B65" s="4">
        <v>155.0</v>
      </c>
      <c r="C65" t="str">
        <f>'Womens JV Results'!F70</f>
        <v>Kingsley</v>
      </c>
      <c r="D65">
        <f>'Womens Varsity Results'!C70</f>
        <v>6</v>
      </c>
      <c r="G65" s="130"/>
      <c r="H65" s="131"/>
      <c r="I65" s="132"/>
      <c r="J65" s="131"/>
      <c r="K65" s="132"/>
      <c r="L65" s="131"/>
      <c r="M65" s="132"/>
      <c r="N65" s="131"/>
      <c r="O65" s="132"/>
      <c r="P65" s="131"/>
      <c r="Q65" s="132"/>
      <c r="R65" s="131"/>
      <c r="S65" s="132"/>
      <c r="T65" s="131"/>
      <c r="U65" s="132"/>
      <c r="V65" s="131"/>
      <c r="W65" s="132"/>
      <c r="X65" s="131"/>
      <c r="Y65" s="132"/>
      <c r="Z65" s="131"/>
      <c r="AA65" s="132"/>
      <c r="AB65" s="131"/>
      <c r="AC65" s="132"/>
      <c r="AD65" s="131"/>
      <c r="AE65" s="132"/>
      <c r="AF65" s="131"/>
      <c r="AG65" s="132"/>
      <c r="AH65" s="133"/>
    </row>
    <row r="66">
      <c r="A66" s="4">
        <v>6.0</v>
      </c>
      <c r="B66" s="4">
        <v>155.0</v>
      </c>
      <c r="C66" t="str">
        <f>'Womens JV Results'!F71</f>
        <v>Flushing</v>
      </c>
      <c r="D66">
        <f>'Womens Varsity Results'!C71</f>
        <v>5</v>
      </c>
      <c r="G66" s="112"/>
      <c r="H66" s="129"/>
      <c r="I66" s="128"/>
      <c r="J66" s="129"/>
      <c r="K66" s="128"/>
      <c r="L66" s="129"/>
      <c r="M66" s="128"/>
      <c r="N66" s="129"/>
      <c r="O66" s="128"/>
      <c r="P66" s="129"/>
      <c r="Q66" s="128"/>
      <c r="R66" s="129"/>
      <c r="S66" s="128"/>
      <c r="T66" s="129"/>
      <c r="U66" s="128"/>
      <c r="V66" s="129"/>
      <c r="W66" s="128"/>
      <c r="X66" s="129"/>
      <c r="Y66" s="128"/>
      <c r="Z66" s="129"/>
      <c r="AA66" s="128"/>
      <c r="AB66" s="129"/>
      <c r="AC66" s="128"/>
      <c r="AD66" s="129"/>
      <c r="AE66" s="128"/>
      <c r="AF66" s="129"/>
      <c r="AG66" s="128"/>
      <c r="AH66" s="118"/>
    </row>
    <row r="67">
      <c r="A67" s="4">
        <v>7.0</v>
      </c>
      <c r="B67" s="4">
        <v>155.0</v>
      </c>
      <c r="C67" t="str">
        <f>'Womens JV Results'!F72</f>
        <v>Kelloggsville</v>
      </c>
      <c r="D67">
        <f>'Womens Varsity Results'!C72</f>
        <v>4</v>
      </c>
      <c r="G67" s="130"/>
      <c r="H67" s="131"/>
      <c r="I67" s="132"/>
      <c r="J67" s="131"/>
      <c r="K67" s="132"/>
      <c r="L67" s="131"/>
      <c r="M67" s="132"/>
      <c r="N67" s="131"/>
      <c r="O67" s="132"/>
      <c r="P67" s="131"/>
      <c r="Q67" s="132"/>
      <c r="R67" s="131"/>
      <c r="S67" s="132"/>
      <c r="T67" s="131"/>
      <c r="U67" s="132"/>
      <c r="V67" s="131"/>
      <c r="W67" s="132"/>
      <c r="X67" s="131"/>
      <c r="Y67" s="132"/>
      <c r="Z67" s="131"/>
      <c r="AA67" s="132"/>
      <c r="AB67" s="131"/>
      <c r="AC67" s="132"/>
      <c r="AD67" s="131"/>
      <c r="AE67" s="132"/>
      <c r="AF67" s="131"/>
      <c r="AG67" s="132"/>
      <c r="AH67" s="133"/>
    </row>
    <row r="68">
      <c r="A68" s="4">
        <v>8.0</v>
      </c>
      <c r="B68" s="4">
        <v>155.0</v>
      </c>
      <c r="C68" t="str">
        <f>'Womens JV Results'!F73</f>
        <v>Adrian</v>
      </c>
      <c r="D68">
        <f>'Womens Varsity Results'!C73</f>
        <v>3</v>
      </c>
      <c r="G68" s="112"/>
      <c r="H68" s="129"/>
      <c r="I68" s="128"/>
      <c r="J68" s="129"/>
      <c r="K68" s="128"/>
      <c r="L68" s="129"/>
      <c r="M68" s="128"/>
      <c r="N68" s="129"/>
      <c r="O68" s="128"/>
      <c r="P68" s="129"/>
      <c r="Q68" s="128"/>
      <c r="R68" s="129"/>
      <c r="S68" s="128"/>
      <c r="T68" s="129"/>
      <c r="U68" s="128"/>
      <c r="V68" s="129"/>
      <c r="W68" s="128"/>
      <c r="X68" s="129"/>
      <c r="Y68" s="128"/>
      <c r="Z68" s="129"/>
      <c r="AA68" s="128"/>
      <c r="AB68" s="129"/>
      <c r="AC68" s="128"/>
      <c r="AD68" s="129"/>
      <c r="AE68" s="128"/>
      <c r="AF68" s="129"/>
      <c r="AG68" s="128"/>
      <c r="AH68" s="118"/>
    </row>
    <row r="69">
      <c r="A69" s="4">
        <v>9.0</v>
      </c>
      <c r="B69" s="4">
        <v>155.0</v>
      </c>
      <c r="C69" t="str">
        <f>'Womens JV Results'!F74</f>
        <v>Cros-Lex</v>
      </c>
      <c r="D69">
        <f>'Womens Varsity Results'!C74</f>
        <v>2</v>
      </c>
      <c r="G69" s="130"/>
      <c r="H69" s="131"/>
      <c r="I69" s="132"/>
      <c r="J69" s="131"/>
      <c r="K69" s="132"/>
      <c r="L69" s="131"/>
      <c r="M69" s="132"/>
      <c r="N69" s="131"/>
      <c r="O69" s="132"/>
      <c r="P69" s="131"/>
      <c r="Q69" s="132"/>
      <c r="R69" s="131"/>
      <c r="S69" s="132"/>
      <c r="T69" s="131"/>
      <c r="U69" s="132"/>
      <c r="V69" s="131"/>
      <c r="W69" s="132"/>
      <c r="X69" s="131"/>
      <c r="Y69" s="132"/>
      <c r="Z69" s="131"/>
      <c r="AA69" s="132"/>
      <c r="AB69" s="131"/>
      <c r="AC69" s="132"/>
      <c r="AD69" s="131"/>
      <c r="AE69" s="132"/>
      <c r="AF69" s="131"/>
      <c r="AG69" s="132"/>
      <c r="AH69" s="133"/>
    </row>
    <row r="70">
      <c r="A70" s="4">
        <v>10.0</v>
      </c>
      <c r="B70" s="4">
        <v>155.0</v>
      </c>
      <c r="C70" t="str">
        <f>'Womens JV Results'!F75</f>
        <v>Goodrich</v>
      </c>
      <c r="D70">
        <f>'Womens Varsity Results'!C75</f>
        <v>1</v>
      </c>
      <c r="G70" s="112"/>
      <c r="H70" s="129"/>
      <c r="I70" s="128"/>
      <c r="J70" s="129"/>
      <c r="K70" s="128"/>
      <c r="L70" s="129"/>
      <c r="M70" s="128"/>
      <c r="N70" s="129"/>
      <c r="O70" s="128"/>
      <c r="P70" s="129"/>
      <c r="Q70" s="128"/>
      <c r="R70" s="129"/>
      <c r="S70" s="128"/>
      <c r="T70" s="129"/>
      <c r="U70" s="128"/>
      <c r="V70" s="129"/>
      <c r="W70" s="128"/>
      <c r="X70" s="129"/>
      <c r="Y70" s="128"/>
      <c r="Z70" s="129"/>
      <c r="AA70" s="128"/>
      <c r="AB70" s="129"/>
      <c r="AC70" s="128"/>
      <c r="AD70" s="129"/>
      <c r="AE70" s="128"/>
      <c r="AF70" s="129"/>
      <c r="AG70" s="128"/>
      <c r="AH70" s="118"/>
    </row>
    <row r="71">
      <c r="A71" s="4">
        <v>1.0</v>
      </c>
      <c r="B71" s="4">
        <v>165.0</v>
      </c>
      <c r="C71" t="str">
        <f>'Womens JV Results'!F76</f>
        <v>Grand Blanc</v>
      </c>
      <c r="D71">
        <f>'Womens Varsity Results'!C76</f>
        <v>12</v>
      </c>
      <c r="G71" s="130"/>
      <c r="H71" s="131"/>
      <c r="I71" s="132"/>
      <c r="J71" s="131"/>
      <c r="K71" s="132"/>
      <c r="L71" s="131"/>
      <c r="M71" s="132"/>
      <c r="N71" s="131"/>
      <c r="O71" s="132"/>
      <c r="P71" s="131"/>
      <c r="Q71" s="132"/>
      <c r="R71" s="131"/>
      <c r="S71" s="132"/>
      <c r="T71" s="131"/>
      <c r="U71" s="132"/>
      <c r="V71" s="131"/>
      <c r="W71" s="132"/>
      <c r="X71" s="131"/>
      <c r="Y71" s="132"/>
      <c r="Z71" s="131"/>
      <c r="AA71" s="132"/>
      <c r="AB71" s="131"/>
      <c r="AC71" s="132"/>
      <c r="AD71" s="131"/>
      <c r="AE71" s="132"/>
      <c r="AF71" s="131"/>
      <c r="AG71" s="132"/>
      <c r="AH71" s="133"/>
    </row>
    <row r="72">
      <c r="A72" s="4">
        <v>2.0</v>
      </c>
      <c r="B72" s="4">
        <v>165.0</v>
      </c>
      <c r="C72" t="str">
        <f>'Womens JV Results'!F77</f>
        <v>Central Lake</v>
      </c>
      <c r="D72">
        <f>'Womens Varsity Results'!C77</f>
        <v>9</v>
      </c>
      <c r="G72" s="112"/>
      <c r="H72" s="129"/>
      <c r="I72" s="128"/>
      <c r="J72" s="129"/>
      <c r="K72" s="128"/>
      <c r="L72" s="129"/>
      <c r="M72" s="128"/>
      <c r="N72" s="129"/>
      <c r="O72" s="128"/>
      <c r="P72" s="129"/>
      <c r="Q72" s="128"/>
      <c r="R72" s="129"/>
      <c r="S72" s="128"/>
      <c r="T72" s="129"/>
      <c r="U72" s="128"/>
      <c r="V72" s="129"/>
      <c r="W72" s="128"/>
      <c r="X72" s="129"/>
      <c r="Y72" s="128"/>
      <c r="Z72" s="129"/>
      <c r="AA72" s="128"/>
      <c r="AB72" s="129"/>
      <c r="AC72" s="128"/>
      <c r="AD72" s="129"/>
      <c r="AE72" s="128"/>
      <c r="AF72" s="129"/>
      <c r="AG72" s="128"/>
      <c r="AH72" s="118"/>
    </row>
    <row r="73">
      <c r="A73" s="4">
        <v>3.0</v>
      </c>
      <c r="B73" s="4">
        <v>165.0</v>
      </c>
      <c r="C73" t="str">
        <f>'Womens JV Results'!F78</f>
        <v>Davison</v>
      </c>
      <c r="D73">
        <f>'Womens Varsity Results'!C78</f>
        <v>8</v>
      </c>
      <c r="G73" s="130"/>
      <c r="H73" s="131"/>
      <c r="I73" s="132"/>
      <c r="J73" s="131"/>
      <c r="K73" s="132"/>
      <c r="L73" s="131"/>
      <c r="M73" s="132"/>
      <c r="N73" s="131"/>
      <c r="O73" s="132"/>
      <c r="P73" s="131"/>
      <c r="Q73" s="132"/>
      <c r="R73" s="131"/>
      <c r="S73" s="132"/>
      <c r="T73" s="131"/>
      <c r="U73" s="132"/>
      <c r="V73" s="131"/>
      <c r="W73" s="132"/>
      <c r="X73" s="131"/>
      <c r="Y73" s="132"/>
      <c r="Z73" s="131"/>
      <c r="AA73" s="132"/>
      <c r="AB73" s="131"/>
      <c r="AC73" s="132"/>
      <c r="AD73" s="131"/>
      <c r="AE73" s="132"/>
      <c r="AF73" s="131"/>
      <c r="AG73" s="132"/>
      <c r="AH73" s="133"/>
    </row>
    <row r="74">
      <c r="A74" s="4">
        <v>4.0</v>
      </c>
      <c r="B74" s="4">
        <v>165.0</v>
      </c>
      <c r="C74" t="str">
        <f>'Womens JV Results'!F79</f>
        <v>Cros-Lex</v>
      </c>
      <c r="D74">
        <f>'Womens Varsity Results'!C79</f>
        <v>7</v>
      </c>
      <c r="G74" s="112"/>
      <c r="H74" s="129"/>
      <c r="I74" s="128"/>
      <c r="J74" s="129"/>
      <c r="K74" s="128"/>
      <c r="L74" s="129"/>
      <c r="M74" s="128"/>
      <c r="N74" s="129"/>
      <c r="O74" s="128"/>
      <c r="P74" s="129"/>
      <c r="Q74" s="128"/>
      <c r="R74" s="129"/>
      <c r="S74" s="128"/>
      <c r="T74" s="129"/>
      <c r="U74" s="128"/>
      <c r="V74" s="129"/>
      <c r="W74" s="128"/>
      <c r="X74" s="129"/>
      <c r="Y74" s="128"/>
      <c r="Z74" s="129"/>
      <c r="AA74" s="128"/>
      <c r="AB74" s="129"/>
      <c r="AC74" s="128"/>
      <c r="AD74" s="129"/>
      <c r="AE74" s="128"/>
      <c r="AF74" s="129"/>
      <c r="AG74" s="128"/>
      <c r="AH74" s="118"/>
    </row>
    <row r="75">
      <c r="A75" s="4">
        <v>5.0</v>
      </c>
      <c r="B75" s="4">
        <v>165.0</v>
      </c>
      <c r="C75" t="str">
        <f>'Womens JV Results'!F80</f>
        <v>Central Montcalm</v>
      </c>
      <c r="D75">
        <f>'Womens Varsity Results'!C80</f>
        <v>6</v>
      </c>
      <c r="G75" s="130"/>
      <c r="H75" s="131"/>
      <c r="I75" s="132"/>
      <c r="J75" s="131"/>
      <c r="K75" s="132"/>
      <c r="L75" s="131"/>
      <c r="M75" s="132"/>
      <c r="N75" s="131"/>
      <c r="O75" s="132"/>
      <c r="P75" s="131"/>
      <c r="Q75" s="132"/>
      <c r="R75" s="131"/>
      <c r="S75" s="132"/>
      <c r="T75" s="131"/>
      <c r="U75" s="132"/>
      <c r="V75" s="131"/>
      <c r="W75" s="132"/>
      <c r="X75" s="131"/>
      <c r="Y75" s="132"/>
      <c r="Z75" s="131"/>
      <c r="AA75" s="132"/>
      <c r="AB75" s="131"/>
      <c r="AC75" s="132"/>
      <c r="AD75" s="131"/>
      <c r="AE75" s="132"/>
      <c r="AF75" s="131"/>
      <c r="AG75" s="132"/>
      <c r="AH75" s="133"/>
    </row>
    <row r="76">
      <c r="A76" s="4">
        <v>6.0</v>
      </c>
      <c r="B76" s="4">
        <v>165.0</v>
      </c>
      <c r="C76" t="str">
        <f>'Womens JV Results'!F81</f>
        <v>Lake Orion</v>
      </c>
      <c r="D76">
        <f>'Womens Varsity Results'!C81</f>
        <v>5</v>
      </c>
      <c r="G76" s="112"/>
      <c r="H76" s="129"/>
      <c r="I76" s="128"/>
      <c r="J76" s="129"/>
      <c r="K76" s="128"/>
      <c r="L76" s="129"/>
      <c r="M76" s="128"/>
      <c r="N76" s="129"/>
      <c r="O76" s="128"/>
      <c r="P76" s="129"/>
      <c r="Q76" s="128"/>
      <c r="R76" s="129"/>
      <c r="S76" s="128"/>
      <c r="T76" s="129"/>
      <c r="U76" s="128"/>
      <c r="V76" s="129"/>
      <c r="W76" s="128"/>
      <c r="X76" s="129"/>
      <c r="Y76" s="128"/>
      <c r="Z76" s="129"/>
      <c r="AA76" s="128"/>
      <c r="AB76" s="129"/>
      <c r="AC76" s="128"/>
      <c r="AD76" s="129"/>
      <c r="AE76" s="128"/>
      <c r="AF76" s="129"/>
      <c r="AG76" s="128"/>
      <c r="AH76" s="118"/>
    </row>
    <row r="77">
      <c r="A77" s="4">
        <v>7.0</v>
      </c>
      <c r="B77" s="4">
        <v>165.0</v>
      </c>
      <c r="C77" t="str">
        <f>'Womens JV Results'!F82</f>
        <v>Lake Orion</v>
      </c>
      <c r="D77">
        <f>'Womens Varsity Results'!C82</f>
        <v>4</v>
      </c>
      <c r="G77" s="130"/>
      <c r="H77" s="131"/>
      <c r="I77" s="132"/>
      <c r="J77" s="131"/>
      <c r="K77" s="132"/>
      <c r="L77" s="131"/>
      <c r="M77" s="132"/>
      <c r="N77" s="131"/>
      <c r="O77" s="132"/>
      <c r="P77" s="131"/>
      <c r="Q77" s="132"/>
      <c r="R77" s="131"/>
      <c r="S77" s="132"/>
      <c r="T77" s="131"/>
      <c r="U77" s="132"/>
      <c r="V77" s="131"/>
      <c r="W77" s="132"/>
      <c r="X77" s="131"/>
      <c r="Y77" s="132"/>
      <c r="Z77" s="131"/>
      <c r="AA77" s="132"/>
      <c r="AB77" s="131"/>
      <c r="AC77" s="132"/>
      <c r="AD77" s="131"/>
      <c r="AE77" s="132"/>
      <c r="AF77" s="131"/>
      <c r="AG77" s="132"/>
      <c r="AH77" s="133"/>
    </row>
    <row r="78">
      <c r="A78" s="4">
        <v>8.0</v>
      </c>
      <c r="B78" s="4">
        <v>165.0</v>
      </c>
      <c r="C78" t="str">
        <f>'Womens JV Results'!F83</f>
        <v>Birch Run</v>
      </c>
      <c r="D78">
        <f>'Womens Varsity Results'!C83</f>
        <v>3</v>
      </c>
      <c r="G78" s="112"/>
      <c r="H78" s="129"/>
      <c r="I78" s="128"/>
      <c r="J78" s="129"/>
      <c r="K78" s="128"/>
      <c r="L78" s="129"/>
      <c r="M78" s="128"/>
      <c r="N78" s="129"/>
      <c r="O78" s="128"/>
      <c r="P78" s="129"/>
      <c r="Q78" s="128"/>
      <c r="R78" s="129"/>
      <c r="S78" s="128"/>
      <c r="T78" s="129"/>
      <c r="U78" s="128"/>
      <c r="V78" s="129"/>
      <c r="W78" s="128"/>
      <c r="X78" s="129"/>
      <c r="Y78" s="128"/>
      <c r="Z78" s="129"/>
      <c r="AA78" s="128"/>
      <c r="AB78" s="129"/>
      <c r="AC78" s="128"/>
      <c r="AD78" s="129"/>
      <c r="AE78" s="128"/>
      <c r="AF78" s="129"/>
      <c r="AG78" s="128"/>
      <c r="AH78" s="118"/>
    </row>
    <row r="79">
      <c r="A79" s="4">
        <v>9.0</v>
      </c>
      <c r="B79" s="4">
        <v>165.0</v>
      </c>
      <c r="C79" t="str">
        <f>'Womens JV Results'!F84</f>
        <v>Royal Oak</v>
      </c>
      <c r="D79">
        <f>'Womens Varsity Results'!C84</f>
        <v>2</v>
      </c>
      <c r="G79" s="130"/>
      <c r="H79" s="131"/>
      <c r="I79" s="132"/>
      <c r="J79" s="131"/>
      <c r="K79" s="132"/>
      <c r="L79" s="131"/>
      <c r="M79" s="132"/>
      <c r="N79" s="131"/>
      <c r="O79" s="132"/>
      <c r="P79" s="131"/>
      <c r="Q79" s="132"/>
      <c r="R79" s="131"/>
      <c r="S79" s="132"/>
      <c r="T79" s="131"/>
      <c r="U79" s="132"/>
      <c r="V79" s="131"/>
      <c r="W79" s="132"/>
      <c r="X79" s="131"/>
      <c r="Y79" s="132"/>
      <c r="Z79" s="131"/>
      <c r="AA79" s="132"/>
      <c r="AB79" s="131"/>
      <c r="AC79" s="132"/>
      <c r="AD79" s="131"/>
      <c r="AE79" s="132"/>
      <c r="AF79" s="131"/>
      <c r="AG79" s="132"/>
      <c r="AH79" s="133"/>
    </row>
    <row r="80">
      <c r="A80" s="4">
        <v>10.0</v>
      </c>
      <c r="B80" s="4">
        <v>165.0</v>
      </c>
      <c r="C80" t="str">
        <f>'Womens JV Results'!F85</f>
        <v>Brighton</v>
      </c>
      <c r="D80">
        <f>'Womens Varsity Results'!C85</f>
        <v>1</v>
      </c>
      <c r="G80" s="112"/>
      <c r="H80" s="129"/>
      <c r="I80" s="128"/>
      <c r="J80" s="129"/>
      <c r="K80" s="128"/>
      <c r="L80" s="129"/>
      <c r="M80" s="128"/>
      <c r="N80" s="129"/>
      <c r="O80" s="128"/>
      <c r="P80" s="129"/>
      <c r="Q80" s="128"/>
      <c r="R80" s="129"/>
      <c r="S80" s="128"/>
      <c r="T80" s="129"/>
      <c r="U80" s="128"/>
      <c r="V80" s="129"/>
      <c r="W80" s="128"/>
      <c r="X80" s="129"/>
      <c r="Y80" s="128"/>
      <c r="Z80" s="129"/>
      <c r="AA80" s="128"/>
      <c r="AB80" s="129"/>
      <c r="AC80" s="128"/>
      <c r="AD80" s="129"/>
      <c r="AE80" s="128"/>
      <c r="AF80" s="129"/>
      <c r="AG80" s="128"/>
      <c r="AH80" s="118"/>
    </row>
    <row r="81">
      <c r="A81" s="4">
        <v>1.0</v>
      </c>
      <c r="B81" s="4">
        <v>181.0</v>
      </c>
      <c r="C81" t="str">
        <f>'Womens JV Results'!F86</f>
        <v>Central Lake</v>
      </c>
      <c r="D81">
        <f>'Womens Varsity Results'!C86</f>
        <v>12</v>
      </c>
      <c r="G81" s="130"/>
      <c r="H81" s="131"/>
      <c r="I81" s="132"/>
      <c r="J81" s="131"/>
      <c r="K81" s="132"/>
      <c r="L81" s="131"/>
      <c r="M81" s="132"/>
      <c r="N81" s="131"/>
      <c r="O81" s="132"/>
      <c r="P81" s="131"/>
      <c r="Q81" s="132"/>
      <c r="R81" s="131"/>
      <c r="S81" s="132"/>
      <c r="T81" s="131"/>
      <c r="U81" s="132"/>
      <c r="V81" s="131"/>
      <c r="W81" s="132"/>
      <c r="X81" s="131"/>
      <c r="Y81" s="132"/>
      <c r="Z81" s="131"/>
      <c r="AA81" s="132"/>
      <c r="AB81" s="131"/>
      <c r="AC81" s="132"/>
      <c r="AD81" s="131"/>
      <c r="AE81" s="132"/>
      <c r="AF81" s="131"/>
      <c r="AG81" s="132"/>
      <c r="AH81" s="133"/>
    </row>
    <row r="82">
      <c r="A82" s="4">
        <v>2.0</v>
      </c>
      <c r="B82" s="4">
        <v>181.0</v>
      </c>
      <c r="C82" t="str">
        <f>'Womens JV Results'!F87</f>
        <v>Paw Paw</v>
      </c>
      <c r="D82">
        <f>'Womens Varsity Results'!C87</f>
        <v>9</v>
      </c>
      <c r="G82" s="112"/>
      <c r="H82" s="129"/>
      <c r="I82" s="128"/>
      <c r="J82" s="129"/>
      <c r="K82" s="128"/>
      <c r="L82" s="129"/>
      <c r="M82" s="128"/>
      <c r="N82" s="129"/>
      <c r="O82" s="128"/>
      <c r="P82" s="129"/>
      <c r="Q82" s="128"/>
      <c r="R82" s="129"/>
      <c r="S82" s="128"/>
      <c r="T82" s="129"/>
      <c r="U82" s="128"/>
      <c r="V82" s="129"/>
      <c r="W82" s="128"/>
      <c r="X82" s="129"/>
      <c r="Y82" s="128"/>
      <c r="Z82" s="129"/>
      <c r="AA82" s="128"/>
      <c r="AB82" s="129"/>
      <c r="AC82" s="128"/>
      <c r="AD82" s="129"/>
      <c r="AE82" s="128"/>
      <c r="AF82" s="129"/>
      <c r="AG82" s="128"/>
      <c r="AH82" s="118"/>
    </row>
    <row r="83">
      <c r="A83" s="4">
        <v>3.0</v>
      </c>
      <c r="B83" s="4">
        <v>181.0</v>
      </c>
      <c r="C83" t="str">
        <f>'Womens JV Results'!F88</f>
        <v>Port Huron</v>
      </c>
      <c r="D83">
        <f>'Womens Varsity Results'!C88</f>
        <v>8</v>
      </c>
      <c r="G83" s="130"/>
      <c r="H83" s="131"/>
      <c r="I83" s="132"/>
      <c r="J83" s="131"/>
      <c r="K83" s="132"/>
      <c r="L83" s="131"/>
      <c r="M83" s="132"/>
      <c r="N83" s="131"/>
      <c r="O83" s="132"/>
      <c r="P83" s="131"/>
      <c r="Q83" s="132"/>
      <c r="R83" s="131"/>
      <c r="S83" s="132"/>
      <c r="T83" s="131"/>
      <c r="U83" s="132"/>
      <c r="V83" s="131"/>
      <c r="W83" s="132"/>
      <c r="X83" s="131"/>
      <c r="Y83" s="132"/>
      <c r="Z83" s="131"/>
      <c r="AA83" s="132"/>
      <c r="AB83" s="131"/>
      <c r="AC83" s="132"/>
      <c r="AD83" s="131"/>
      <c r="AE83" s="132"/>
      <c r="AF83" s="131"/>
      <c r="AG83" s="132"/>
      <c r="AH83" s="133"/>
    </row>
    <row r="84">
      <c r="A84" s="4">
        <v>4.0</v>
      </c>
      <c r="B84" s="4">
        <v>181.0</v>
      </c>
      <c r="C84" t="str">
        <f>'Womens JV Results'!F89</f>
        <v>Lakeville</v>
      </c>
      <c r="D84">
        <f>'Womens Varsity Results'!C89</f>
        <v>7</v>
      </c>
      <c r="G84" s="112"/>
      <c r="H84" s="129"/>
      <c r="I84" s="128"/>
      <c r="J84" s="129"/>
      <c r="K84" s="128"/>
      <c r="L84" s="129"/>
      <c r="M84" s="128"/>
      <c r="N84" s="129"/>
      <c r="O84" s="128"/>
      <c r="P84" s="129"/>
      <c r="Q84" s="128"/>
      <c r="R84" s="129"/>
      <c r="S84" s="128"/>
      <c r="T84" s="129"/>
      <c r="U84" s="128"/>
      <c r="V84" s="129"/>
      <c r="W84" s="128"/>
      <c r="X84" s="129"/>
      <c r="Y84" s="128"/>
      <c r="Z84" s="129"/>
      <c r="AA84" s="128"/>
      <c r="AB84" s="129"/>
      <c r="AC84" s="128"/>
      <c r="AD84" s="129"/>
      <c r="AE84" s="128"/>
      <c r="AF84" s="129"/>
      <c r="AG84" s="128"/>
      <c r="AH84" s="118"/>
    </row>
    <row r="85">
      <c r="A85" s="4">
        <v>5.0</v>
      </c>
      <c r="B85" s="4">
        <v>181.0</v>
      </c>
      <c r="C85" t="str">
        <f>'Womens JV Results'!F90</f>
        <v>Lake Orion</v>
      </c>
      <c r="D85">
        <f>'Womens Varsity Results'!C90</f>
        <v>6</v>
      </c>
      <c r="G85" s="130"/>
      <c r="H85" s="131"/>
      <c r="I85" s="132"/>
      <c r="J85" s="131"/>
      <c r="K85" s="132"/>
      <c r="L85" s="131"/>
      <c r="M85" s="132"/>
      <c r="N85" s="131"/>
      <c r="O85" s="132"/>
      <c r="P85" s="131"/>
      <c r="Q85" s="132"/>
      <c r="R85" s="131"/>
      <c r="S85" s="132"/>
      <c r="T85" s="131"/>
      <c r="U85" s="132"/>
      <c r="V85" s="131"/>
      <c r="W85" s="132"/>
      <c r="X85" s="131"/>
      <c r="Y85" s="132"/>
      <c r="Z85" s="131"/>
      <c r="AA85" s="132"/>
      <c r="AB85" s="131"/>
      <c r="AC85" s="132"/>
      <c r="AD85" s="131"/>
      <c r="AE85" s="132"/>
      <c r="AF85" s="131"/>
      <c r="AG85" s="132"/>
      <c r="AH85" s="133"/>
    </row>
    <row r="86">
      <c r="A86" s="4">
        <v>6.0</v>
      </c>
      <c r="B86" s="4">
        <v>181.0</v>
      </c>
      <c r="C86" t="str">
        <f>'Womens JV Results'!F91</f>
        <v>Montague</v>
      </c>
      <c r="D86">
        <f>'Womens Varsity Results'!C91</f>
        <v>5</v>
      </c>
      <c r="G86" s="112"/>
      <c r="H86" s="129"/>
      <c r="I86" s="128"/>
      <c r="J86" s="129"/>
      <c r="K86" s="128"/>
      <c r="L86" s="129"/>
      <c r="M86" s="128"/>
      <c r="N86" s="129"/>
      <c r="O86" s="128"/>
      <c r="P86" s="129"/>
      <c r="Q86" s="128"/>
      <c r="R86" s="129"/>
      <c r="S86" s="128"/>
      <c r="T86" s="129"/>
      <c r="U86" s="128"/>
      <c r="V86" s="129"/>
      <c r="W86" s="128"/>
      <c r="X86" s="129"/>
      <c r="Y86" s="128"/>
      <c r="Z86" s="129"/>
      <c r="AA86" s="128"/>
      <c r="AB86" s="129"/>
      <c r="AC86" s="128"/>
      <c r="AD86" s="129"/>
      <c r="AE86" s="128"/>
      <c r="AF86" s="129"/>
      <c r="AG86" s="128"/>
      <c r="AH86" s="118"/>
    </row>
    <row r="87">
      <c r="A87" s="4">
        <v>7.0</v>
      </c>
      <c r="B87" s="4">
        <v>181.0</v>
      </c>
      <c r="C87" t="str">
        <f>'Womens JV Results'!F92</f>
        <v>Brandon</v>
      </c>
      <c r="D87">
        <f>'Womens Varsity Results'!C92</f>
        <v>4</v>
      </c>
      <c r="G87" s="130"/>
      <c r="H87" s="131"/>
      <c r="I87" s="132"/>
      <c r="J87" s="131"/>
      <c r="K87" s="132"/>
      <c r="L87" s="131"/>
      <c r="M87" s="132"/>
      <c r="N87" s="131"/>
      <c r="O87" s="132"/>
      <c r="P87" s="131"/>
      <c r="Q87" s="132"/>
      <c r="R87" s="131"/>
      <c r="S87" s="132"/>
      <c r="T87" s="131"/>
      <c r="U87" s="132"/>
      <c r="V87" s="131"/>
      <c r="W87" s="132"/>
      <c r="X87" s="131"/>
      <c r="Y87" s="132"/>
      <c r="Z87" s="131"/>
      <c r="AA87" s="132"/>
      <c r="AB87" s="131"/>
      <c r="AC87" s="132"/>
      <c r="AD87" s="131"/>
      <c r="AE87" s="132"/>
      <c r="AF87" s="131"/>
      <c r="AG87" s="132"/>
      <c r="AH87" s="133"/>
    </row>
    <row r="88">
      <c r="A88" s="4">
        <v>8.0</v>
      </c>
      <c r="B88" s="4">
        <v>181.0</v>
      </c>
      <c r="C88" t="str">
        <f>'Womens JV Results'!F93</f>
        <v>Henry Ford II</v>
      </c>
      <c r="D88">
        <f>'Womens Varsity Results'!C93</f>
        <v>3</v>
      </c>
      <c r="G88" s="112"/>
      <c r="H88" s="129"/>
      <c r="I88" s="128"/>
      <c r="J88" s="129"/>
      <c r="K88" s="128"/>
      <c r="L88" s="129"/>
      <c r="M88" s="128"/>
      <c r="N88" s="129"/>
      <c r="O88" s="128"/>
      <c r="P88" s="129"/>
      <c r="Q88" s="128"/>
      <c r="R88" s="129"/>
      <c r="S88" s="128"/>
      <c r="T88" s="129"/>
      <c r="U88" s="128"/>
      <c r="V88" s="129"/>
      <c r="W88" s="128"/>
      <c r="X88" s="129"/>
      <c r="Y88" s="128"/>
      <c r="Z88" s="129"/>
      <c r="AA88" s="128"/>
      <c r="AB88" s="129"/>
      <c r="AC88" s="128"/>
      <c r="AD88" s="129"/>
      <c r="AE88" s="128"/>
      <c r="AF88" s="129"/>
      <c r="AG88" s="128"/>
      <c r="AH88" s="118"/>
    </row>
    <row r="89">
      <c r="A89" s="4">
        <v>9.0</v>
      </c>
      <c r="B89" s="4">
        <v>181.0</v>
      </c>
      <c r="C89" t="str">
        <f>'Womens JV Results'!F94</f>
        <v>Flushing</v>
      </c>
      <c r="D89">
        <f>'Womens Varsity Results'!C94</f>
        <v>2</v>
      </c>
      <c r="G89" s="130"/>
      <c r="H89" s="131"/>
      <c r="I89" s="132"/>
      <c r="J89" s="131"/>
      <c r="K89" s="132"/>
      <c r="L89" s="131"/>
      <c r="M89" s="132"/>
      <c r="N89" s="131"/>
      <c r="O89" s="132"/>
      <c r="P89" s="131"/>
      <c r="Q89" s="132"/>
      <c r="R89" s="131"/>
      <c r="S89" s="132"/>
      <c r="T89" s="131"/>
      <c r="U89" s="132"/>
      <c r="V89" s="131"/>
      <c r="W89" s="132"/>
      <c r="X89" s="131"/>
      <c r="Y89" s="132"/>
      <c r="Z89" s="131"/>
      <c r="AA89" s="132"/>
      <c r="AB89" s="131"/>
      <c r="AC89" s="132"/>
      <c r="AD89" s="131"/>
      <c r="AE89" s="132"/>
      <c r="AF89" s="131"/>
      <c r="AG89" s="132"/>
      <c r="AH89" s="133"/>
    </row>
    <row r="90">
      <c r="A90" s="4">
        <v>10.0</v>
      </c>
      <c r="B90" s="4">
        <v>181.0</v>
      </c>
      <c r="C90" t="str">
        <f>'Womens JV Results'!F95</f>
        <v>Whitehall</v>
      </c>
      <c r="D90">
        <f>'Womens Varsity Results'!C95</f>
        <v>1</v>
      </c>
      <c r="G90" s="112"/>
      <c r="H90" s="129"/>
      <c r="I90" s="128"/>
      <c r="J90" s="129"/>
      <c r="K90" s="128"/>
      <c r="L90" s="129"/>
      <c r="M90" s="128"/>
      <c r="N90" s="129"/>
      <c r="O90" s="128"/>
      <c r="P90" s="129"/>
      <c r="Q90" s="128"/>
      <c r="R90" s="129"/>
      <c r="S90" s="128"/>
      <c r="T90" s="129"/>
      <c r="U90" s="128"/>
      <c r="V90" s="129"/>
      <c r="W90" s="128"/>
      <c r="X90" s="129"/>
      <c r="Y90" s="128"/>
      <c r="Z90" s="129"/>
      <c r="AA90" s="128"/>
      <c r="AB90" s="129"/>
      <c r="AC90" s="128"/>
      <c r="AD90" s="129"/>
      <c r="AE90" s="128"/>
      <c r="AF90" s="129"/>
      <c r="AG90" s="128"/>
      <c r="AH90" s="118"/>
    </row>
    <row r="91">
      <c r="A91" s="4">
        <v>1.0</v>
      </c>
      <c r="B91" s="4">
        <v>198.0</v>
      </c>
      <c r="C91" t="str">
        <f>'Womens JV Results'!F96</f>
        <v>Flushing</v>
      </c>
      <c r="D91">
        <f>'Womens Varsity Results'!C96</f>
        <v>12</v>
      </c>
      <c r="G91" s="130"/>
      <c r="H91" s="131"/>
      <c r="I91" s="132"/>
      <c r="J91" s="131"/>
      <c r="K91" s="132"/>
      <c r="L91" s="131"/>
      <c r="M91" s="132"/>
      <c r="N91" s="131"/>
      <c r="O91" s="132"/>
      <c r="P91" s="131"/>
      <c r="Q91" s="132"/>
      <c r="R91" s="131"/>
      <c r="S91" s="132"/>
      <c r="T91" s="131"/>
      <c r="U91" s="132"/>
      <c r="V91" s="131"/>
      <c r="W91" s="132"/>
      <c r="X91" s="131"/>
      <c r="Y91" s="132"/>
      <c r="Z91" s="131"/>
      <c r="AA91" s="132"/>
      <c r="AB91" s="131"/>
      <c r="AC91" s="132"/>
      <c r="AD91" s="131"/>
      <c r="AE91" s="132"/>
      <c r="AF91" s="131"/>
      <c r="AG91" s="132"/>
      <c r="AH91" s="133"/>
    </row>
    <row r="92">
      <c r="A92" s="4">
        <v>2.0</v>
      </c>
      <c r="B92" s="4">
        <v>198.0</v>
      </c>
      <c r="C92" t="str">
        <f>'Womens JV Results'!F97</f>
        <v>Dowagiac</v>
      </c>
      <c r="D92">
        <f>'Womens Varsity Results'!C97</f>
        <v>9</v>
      </c>
      <c r="G92" s="112"/>
      <c r="H92" s="129"/>
      <c r="I92" s="128"/>
      <c r="J92" s="129"/>
      <c r="K92" s="128"/>
      <c r="L92" s="129"/>
      <c r="M92" s="128"/>
      <c r="N92" s="129"/>
      <c r="O92" s="128"/>
      <c r="P92" s="129"/>
      <c r="Q92" s="128"/>
      <c r="R92" s="129"/>
      <c r="S92" s="128"/>
      <c r="T92" s="129"/>
      <c r="U92" s="128"/>
      <c r="V92" s="129"/>
      <c r="W92" s="128"/>
      <c r="X92" s="129"/>
      <c r="Y92" s="128"/>
      <c r="Z92" s="129"/>
      <c r="AA92" s="128"/>
      <c r="AB92" s="129"/>
      <c r="AC92" s="128"/>
      <c r="AD92" s="129"/>
      <c r="AE92" s="128"/>
      <c r="AF92" s="129"/>
      <c r="AG92" s="128"/>
      <c r="AH92" s="118"/>
    </row>
    <row r="93">
      <c r="A93" s="4">
        <v>3.0</v>
      </c>
      <c r="B93" s="4">
        <v>198.0</v>
      </c>
      <c r="C93" t="str">
        <f>'Womens JV Results'!F98</f>
        <v>Goodrich</v>
      </c>
      <c r="D93">
        <f>'Womens Varsity Results'!C98</f>
        <v>8</v>
      </c>
      <c r="G93" s="130"/>
      <c r="H93" s="131"/>
      <c r="I93" s="132"/>
      <c r="J93" s="131"/>
      <c r="K93" s="132"/>
      <c r="L93" s="131"/>
      <c r="M93" s="132"/>
      <c r="N93" s="131"/>
      <c r="O93" s="132"/>
      <c r="P93" s="131"/>
      <c r="Q93" s="132"/>
      <c r="R93" s="131"/>
      <c r="S93" s="132"/>
      <c r="T93" s="131"/>
      <c r="U93" s="132"/>
      <c r="V93" s="131"/>
      <c r="W93" s="132"/>
      <c r="X93" s="131"/>
      <c r="Y93" s="132"/>
      <c r="Z93" s="131"/>
      <c r="AA93" s="132"/>
      <c r="AB93" s="131"/>
      <c r="AC93" s="132"/>
      <c r="AD93" s="131"/>
      <c r="AE93" s="132"/>
      <c r="AF93" s="131"/>
      <c r="AG93" s="132"/>
      <c r="AH93" s="133"/>
    </row>
    <row r="94">
      <c r="A94" s="4">
        <v>4.0</v>
      </c>
      <c r="B94" s="4">
        <v>198.0</v>
      </c>
      <c r="C94" t="str">
        <f>'Womens JV Results'!F99</f>
        <v>Kingston</v>
      </c>
      <c r="D94">
        <f>'Womens Varsity Results'!C99</f>
        <v>7</v>
      </c>
      <c r="G94" s="112"/>
      <c r="H94" s="129"/>
      <c r="I94" s="128"/>
      <c r="J94" s="129"/>
      <c r="K94" s="128"/>
      <c r="L94" s="129"/>
      <c r="M94" s="128"/>
      <c r="N94" s="129"/>
      <c r="O94" s="128"/>
      <c r="P94" s="129"/>
      <c r="Q94" s="128"/>
      <c r="R94" s="129"/>
      <c r="S94" s="128"/>
      <c r="T94" s="129"/>
      <c r="U94" s="128"/>
      <c r="V94" s="129"/>
      <c r="W94" s="128"/>
      <c r="X94" s="129"/>
      <c r="Y94" s="128"/>
      <c r="Z94" s="129"/>
      <c r="AA94" s="128"/>
      <c r="AB94" s="129"/>
      <c r="AC94" s="128"/>
      <c r="AD94" s="129"/>
      <c r="AE94" s="128"/>
      <c r="AF94" s="129"/>
      <c r="AG94" s="128"/>
      <c r="AH94" s="118"/>
    </row>
    <row r="95">
      <c r="A95" s="4">
        <v>5.0</v>
      </c>
      <c r="B95" s="4">
        <v>198.0</v>
      </c>
      <c r="C95" t="str">
        <f>'Womens JV Results'!F100</f>
        <v>Grass Lake</v>
      </c>
      <c r="D95">
        <f>'Womens Varsity Results'!C100</f>
        <v>6</v>
      </c>
      <c r="G95" s="130"/>
      <c r="H95" s="131"/>
      <c r="I95" s="132"/>
      <c r="J95" s="131"/>
      <c r="K95" s="132"/>
      <c r="L95" s="131"/>
      <c r="M95" s="132"/>
      <c r="N95" s="131"/>
      <c r="O95" s="132"/>
      <c r="P95" s="131"/>
      <c r="Q95" s="132"/>
      <c r="R95" s="131"/>
      <c r="S95" s="132"/>
      <c r="T95" s="131"/>
      <c r="U95" s="132"/>
      <c r="V95" s="131"/>
      <c r="W95" s="132"/>
      <c r="X95" s="131"/>
      <c r="Y95" s="132"/>
      <c r="Z95" s="131"/>
      <c r="AA95" s="132"/>
      <c r="AB95" s="131"/>
      <c r="AC95" s="132"/>
      <c r="AD95" s="131"/>
      <c r="AE95" s="132"/>
      <c r="AF95" s="131"/>
      <c r="AG95" s="132"/>
      <c r="AH95" s="133"/>
    </row>
    <row r="96">
      <c r="A96" s="4">
        <v>6.0</v>
      </c>
      <c r="B96" s="4">
        <v>198.0</v>
      </c>
      <c r="C96" t="str">
        <f>'Womens JV Results'!F101</f>
        <v>WHITEHALL</v>
      </c>
      <c r="D96">
        <f>'Womens Varsity Results'!C101</f>
        <v>5</v>
      </c>
      <c r="G96" s="112"/>
      <c r="H96" s="129"/>
      <c r="I96" s="128"/>
      <c r="J96" s="129"/>
      <c r="K96" s="128"/>
      <c r="L96" s="129"/>
      <c r="M96" s="128"/>
      <c r="N96" s="129"/>
      <c r="O96" s="128"/>
      <c r="P96" s="129"/>
      <c r="Q96" s="128"/>
      <c r="R96" s="129"/>
      <c r="S96" s="128"/>
      <c r="T96" s="129"/>
      <c r="U96" s="128"/>
      <c r="V96" s="129"/>
      <c r="W96" s="128"/>
      <c r="X96" s="129"/>
      <c r="Y96" s="128"/>
      <c r="Z96" s="129"/>
      <c r="AA96" s="128"/>
      <c r="AB96" s="129"/>
      <c r="AC96" s="128"/>
      <c r="AD96" s="129"/>
      <c r="AE96" s="128"/>
      <c r="AF96" s="129"/>
      <c r="AG96" s="128"/>
      <c r="AH96" s="118"/>
    </row>
    <row r="97">
      <c r="A97" s="4">
        <v>7.0</v>
      </c>
      <c r="B97" s="4">
        <v>198.0</v>
      </c>
      <c r="C97" t="str">
        <f>'Womens JV Results'!F102</f>
        <v>Hartford</v>
      </c>
      <c r="D97">
        <f>'Womens Varsity Results'!C102</f>
        <v>4</v>
      </c>
      <c r="G97" s="130"/>
      <c r="H97" s="131"/>
      <c r="I97" s="132"/>
      <c r="J97" s="131"/>
      <c r="K97" s="132"/>
      <c r="L97" s="131"/>
      <c r="M97" s="132"/>
      <c r="N97" s="131"/>
      <c r="O97" s="132"/>
      <c r="P97" s="131"/>
      <c r="Q97" s="132"/>
      <c r="R97" s="131"/>
      <c r="S97" s="132"/>
      <c r="T97" s="131"/>
      <c r="U97" s="132"/>
      <c r="V97" s="131"/>
      <c r="W97" s="132"/>
      <c r="X97" s="131"/>
      <c r="Y97" s="132"/>
      <c r="Z97" s="131"/>
      <c r="AA97" s="132"/>
      <c r="AB97" s="131"/>
      <c r="AC97" s="132"/>
      <c r="AD97" s="131"/>
      <c r="AE97" s="132"/>
      <c r="AF97" s="131"/>
      <c r="AG97" s="132"/>
      <c r="AH97" s="133"/>
    </row>
    <row r="98">
      <c r="A98" s="4">
        <v>8.0</v>
      </c>
      <c r="B98" s="4">
        <v>198.0</v>
      </c>
      <c r="C98" t="str">
        <f>'Womens JV Results'!F103</f>
        <v>Central Montcalm</v>
      </c>
      <c r="D98">
        <f>'Womens Varsity Results'!C103</f>
        <v>3</v>
      </c>
      <c r="G98" s="112"/>
      <c r="H98" s="129"/>
      <c r="I98" s="128"/>
      <c r="J98" s="129"/>
      <c r="K98" s="128"/>
      <c r="L98" s="129"/>
      <c r="M98" s="128"/>
      <c r="N98" s="129"/>
      <c r="O98" s="128"/>
      <c r="P98" s="129"/>
      <c r="Q98" s="128"/>
      <c r="R98" s="129"/>
      <c r="S98" s="128"/>
      <c r="T98" s="129"/>
      <c r="U98" s="128"/>
      <c r="V98" s="129"/>
      <c r="W98" s="128"/>
      <c r="X98" s="129"/>
      <c r="Y98" s="128"/>
      <c r="Z98" s="129"/>
      <c r="AA98" s="128"/>
      <c r="AB98" s="129"/>
      <c r="AC98" s="128"/>
      <c r="AD98" s="129"/>
      <c r="AE98" s="128"/>
      <c r="AF98" s="129"/>
      <c r="AG98" s="128"/>
      <c r="AH98" s="118"/>
    </row>
    <row r="99">
      <c r="A99" s="4">
        <v>9.0</v>
      </c>
      <c r="B99" s="4">
        <v>198.0</v>
      </c>
      <c r="C99" t="str">
        <f>'Womens JV Results'!F104</f>
        <v>Henry Ford II</v>
      </c>
      <c r="D99">
        <f>'Womens Varsity Results'!C104</f>
        <v>2</v>
      </c>
      <c r="G99" s="130"/>
      <c r="H99" s="131"/>
      <c r="I99" s="132"/>
      <c r="J99" s="131"/>
      <c r="K99" s="132"/>
      <c r="L99" s="131"/>
      <c r="M99" s="132"/>
      <c r="N99" s="131"/>
      <c r="O99" s="132"/>
      <c r="P99" s="131"/>
      <c r="Q99" s="132"/>
      <c r="R99" s="131"/>
      <c r="S99" s="132"/>
      <c r="T99" s="131"/>
      <c r="U99" s="132"/>
      <c r="V99" s="131"/>
      <c r="W99" s="132"/>
      <c r="X99" s="131"/>
      <c r="Y99" s="132"/>
      <c r="Z99" s="131"/>
      <c r="AA99" s="132"/>
      <c r="AB99" s="131"/>
      <c r="AC99" s="132"/>
      <c r="AD99" s="131"/>
      <c r="AE99" s="132"/>
      <c r="AF99" s="131"/>
      <c r="AG99" s="132"/>
      <c r="AH99" s="133"/>
    </row>
    <row r="100">
      <c r="A100" s="4">
        <v>10.0</v>
      </c>
      <c r="B100" s="4">
        <v>198.0</v>
      </c>
      <c r="C100" t="str">
        <f>'Womens JV Results'!F105</f>
        <v>Cros-Lex</v>
      </c>
      <c r="D100">
        <f>'Womens Varsity Results'!C105</f>
        <v>1</v>
      </c>
      <c r="G100" s="112"/>
      <c r="H100" s="129"/>
      <c r="I100" s="128"/>
      <c r="J100" s="129"/>
      <c r="K100" s="128"/>
      <c r="L100" s="129"/>
      <c r="M100" s="128"/>
      <c r="N100" s="129"/>
      <c r="O100" s="128"/>
      <c r="P100" s="129"/>
      <c r="Q100" s="128"/>
      <c r="R100" s="129"/>
      <c r="S100" s="128"/>
      <c r="T100" s="129"/>
      <c r="U100" s="128"/>
      <c r="V100" s="129"/>
      <c r="W100" s="128"/>
      <c r="X100" s="129"/>
      <c r="Y100" s="128"/>
      <c r="Z100" s="129"/>
      <c r="AA100" s="128"/>
      <c r="AB100" s="129"/>
      <c r="AC100" s="128"/>
      <c r="AD100" s="129"/>
      <c r="AE100" s="128"/>
      <c r="AF100" s="129"/>
      <c r="AG100" s="128"/>
      <c r="AH100" s="118"/>
    </row>
    <row r="101">
      <c r="A101" s="4">
        <v>1.0</v>
      </c>
      <c r="B101" s="4">
        <v>220.0</v>
      </c>
      <c r="C101" t="str">
        <f>'Womens JV Results'!F106</f>
        <v>Port Huron</v>
      </c>
      <c r="D101">
        <f>'Womens Varsity Results'!C106</f>
        <v>12</v>
      </c>
      <c r="G101" s="130"/>
      <c r="H101" s="131"/>
      <c r="I101" s="132"/>
      <c r="J101" s="131"/>
      <c r="K101" s="132"/>
      <c r="L101" s="131"/>
      <c r="M101" s="132"/>
      <c r="N101" s="131"/>
      <c r="O101" s="132"/>
      <c r="P101" s="131"/>
      <c r="Q101" s="132"/>
      <c r="R101" s="131"/>
      <c r="S101" s="132"/>
      <c r="T101" s="131"/>
      <c r="U101" s="132"/>
      <c r="V101" s="131"/>
      <c r="W101" s="132"/>
      <c r="X101" s="131"/>
      <c r="Y101" s="132"/>
      <c r="Z101" s="131"/>
      <c r="AA101" s="132"/>
      <c r="AB101" s="131"/>
      <c r="AC101" s="132"/>
      <c r="AD101" s="131"/>
      <c r="AE101" s="132"/>
      <c r="AF101" s="131"/>
      <c r="AG101" s="132"/>
      <c r="AH101" s="133"/>
    </row>
    <row r="102">
      <c r="A102" s="4">
        <v>2.0</v>
      </c>
      <c r="B102" s="4">
        <v>220.0</v>
      </c>
      <c r="C102" t="str">
        <f>'Womens JV Results'!F107</f>
        <v>Central Montcalm</v>
      </c>
      <c r="D102">
        <f>'Womens Varsity Results'!C107</f>
        <v>9</v>
      </c>
      <c r="G102" s="112"/>
      <c r="H102" s="129"/>
      <c r="I102" s="128"/>
      <c r="J102" s="129"/>
      <c r="K102" s="128"/>
      <c r="L102" s="129"/>
      <c r="M102" s="128"/>
      <c r="N102" s="129"/>
      <c r="O102" s="128"/>
      <c r="P102" s="129"/>
      <c r="Q102" s="128"/>
      <c r="R102" s="129"/>
      <c r="S102" s="128"/>
      <c r="T102" s="129"/>
      <c r="U102" s="128"/>
      <c r="V102" s="129"/>
      <c r="W102" s="128"/>
      <c r="X102" s="129"/>
      <c r="Y102" s="128"/>
      <c r="Z102" s="129"/>
      <c r="AA102" s="128"/>
      <c r="AB102" s="129"/>
      <c r="AC102" s="128"/>
      <c r="AD102" s="129"/>
      <c r="AE102" s="128"/>
      <c r="AF102" s="129"/>
      <c r="AG102" s="128"/>
      <c r="AH102" s="118"/>
    </row>
    <row r="103">
      <c r="A103" s="4">
        <v>3.0</v>
      </c>
      <c r="B103" s="4">
        <v>220.0</v>
      </c>
      <c r="C103" t="str">
        <f>'Womens JV Results'!F108</f>
        <v>Grant</v>
      </c>
      <c r="D103">
        <f>'Womens Varsity Results'!C108</f>
        <v>8</v>
      </c>
      <c r="G103" s="130"/>
      <c r="H103" s="131"/>
      <c r="I103" s="132"/>
      <c r="J103" s="131"/>
      <c r="K103" s="132"/>
      <c r="L103" s="131"/>
      <c r="M103" s="132"/>
      <c r="N103" s="131"/>
      <c r="O103" s="132"/>
      <c r="P103" s="131"/>
      <c r="Q103" s="132"/>
      <c r="R103" s="131"/>
      <c r="S103" s="132"/>
      <c r="T103" s="131"/>
      <c r="U103" s="132"/>
      <c r="V103" s="131"/>
      <c r="W103" s="132"/>
      <c r="X103" s="131"/>
      <c r="Y103" s="132"/>
      <c r="Z103" s="131"/>
      <c r="AA103" s="132"/>
      <c r="AB103" s="131"/>
      <c r="AC103" s="132"/>
      <c r="AD103" s="131"/>
      <c r="AE103" s="132"/>
      <c r="AF103" s="131"/>
      <c r="AG103" s="132"/>
      <c r="AH103" s="133"/>
    </row>
    <row r="104">
      <c r="A104" s="4">
        <v>4.0</v>
      </c>
      <c r="B104" s="4">
        <v>220.0</v>
      </c>
      <c r="C104" t="str">
        <f>'Womens JV Results'!F109</f>
        <v>Lake Orion</v>
      </c>
      <c r="D104">
        <f>'Womens Varsity Results'!C109</f>
        <v>7</v>
      </c>
      <c r="G104" s="112"/>
      <c r="H104" s="129"/>
      <c r="I104" s="128"/>
      <c r="J104" s="129"/>
      <c r="K104" s="128"/>
      <c r="L104" s="129"/>
      <c r="M104" s="128"/>
      <c r="N104" s="129"/>
      <c r="O104" s="128"/>
      <c r="P104" s="129"/>
      <c r="Q104" s="128"/>
      <c r="R104" s="129"/>
      <c r="S104" s="128"/>
      <c r="T104" s="129"/>
      <c r="U104" s="128"/>
      <c r="V104" s="129"/>
      <c r="W104" s="128"/>
      <c r="X104" s="129"/>
      <c r="Y104" s="128"/>
      <c r="Z104" s="129"/>
      <c r="AA104" s="128"/>
      <c r="AB104" s="129"/>
      <c r="AC104" s="128"/>
      <c r="AD104" s="129"/>
      <c r="AE104" s="128"/>
      <c r="AF104" s="129"/>
      <c r="AG104" s="128"/>
      <c r="AH104" s="118"/>
    </row>
    <row r="105">
      <c r="A105" s="4">
        <v>5.0</v>
      </c>
      <c r="B105" s="4">
        <v>220.0</v>
      </c>
      <c r="C105" t="str">
        <f>'Womens JV Results'!F110</f>
        <v>Yale</v>
      </c>
      <c r="D105">
        <f>'Womens Varsity Results'!C110</f>
        <v>6</v>
      </c>
      <c r="G105" s="130"/>
      <c r="H105" s="131"/>
      <c r="I105" s="132"/>
      <c r="J105" s="131"/>
      <c r="K105" s="132"/>
      <c r="L105" s="131"/>
      <c r="M105" s="132"/>
      <c r="N105" s="131"/>
      <c r="O105" s="132"/>
      <c r="P105" s="131"/>
      <c r="Q105" s="132"/>
      <c r="R105" s="131"/>
      <c r="S105" s="132"/>
      <c r="T105" s="131"/>
      <c r="U105" s="132"/>
      <c r="V105" s="131"/>
      <c r="W105" s="132"/>
      <c r="X105" s="131"/>
      <c r="Y105" s="132"/>
      <c r="Z105" s="131"/>
      <c r="AA105" s="132"/>
      <c r="AB105" s="131"/>
      <c r="AC105" s="132"/>
      <c r="AD105" s="131"/>
      <c r="AE105" s="132"/>
      <c r="AF105" s="131"/>
      <c r="AG105" s="132"/>
      <c r="AH105" s="133"/>
    </row>
    <row r="106">
      <c r="A106" s="4">
        <v>6.0</v>
      </c>
      <c r="B106" s="4">
        <v>220.0</v>
      </c>
      <c r="C106" t="str">
        <f>'Womens JV Results'!F111</f>
        <v>Morenci</v>
      </c>
      <c r="D106">
        <f>'Womens Varsity Results'!C111</f>
        <v>5</v>
      </c>
      <c r="G106" s="112"/>
      <c r="H106" s="129"/>
      <c r="I106" s="128"/>
      <c r="J106" s="129"/>
      <c r="K106" s="128"/>
      <c r="L106" s="129"/>
      <c r="M106" s="128"/>
      <c r="N106" s="129"/>
      <c r="O106" s="128"/>
      <c r="P106" s="129"/>
      <c r="Q106" s="128"/>
      <c r="R106" s="129"/>
      <c r="S106" s="128"/>
      <c r="T106" s="129"/>
      <c r="U106" s="128"/>
      <c r="V106" s="129"/>
      <c r="W106" s="128"/>
      <c r="X106" s="129"/>
      <c r="Y106" s="128"/>
      <c r="Z106" s="129"/>
      <c r="AA106" s="128"/>
      <c r="AB106" s="129"/>
      <c r="AC106" s="128"/>
      <c r="AD106" s="129"/>
      <c r="AE106" s="128"/>
      <c r="AF106" s="129"/>
      <c r="AG106" s="128"/>
      <c r="AH106" s="118"/>
    </row>
    <row r="107">
      <c r="A107" s="4">
        <v>7.0</v>
      </c>
      <c r="B107" s="4">
        <v>220.0</v>
      </c>
      <c r="C107" t="str">
        <f>'Womens JV Results'!F112</f>
        <v>Port Huron</v>
      </c>
      <c r="D107">
        <f>'Womens Varsity Results'!C112</f>
        <v>4</v>
      </c>
      <c r="G107" s="130"/>
      <c r="H107" s="131"/>
      <c r="I107" s="132"/>
      <c r="J107" s="131"/>
      <c r="K107" s="132"/>
      <c r="L107" s="131"/>
      <c r="M107" s="132"/>
      <c r="N107" s="131"/>
      <c r="O107" s="132"/>
      <c r="P107" s="131"/>
      <c r="Q107" s="132"/>
      <c r="R107" s="131"/>
      <c r="S107" s="132"/>
      <c r="T107" s="131"/>
      <c r="U107" s="132"/>
      <c r="V107" s="131"/>
      <c r="W107" s="132"/>
      <c r="X107" s="131"/>
      <c r="Y107" s="132"/>
      <c r="Z107" s="131"/>
      <c r="AA107" s="132"/>
      <c r="AB107" s="131"/>
      <c r="AC107" s="132"/>
      <c r="AD107" s="131"/>
      <c r="AE107" s="132"/>
      <c r="AF107" s="131"/>
      <c r="AG107" s="132"/>
      <c r="AH107" s="133"/>
    </row>
    <row r="108">
      <c r="A108" s="4">
        <v>8.0</v>
      </c>
      <c r="B108" s="4">
        <v>220.0</v>
      </c>
      <c r="C108" t="str">
        <f>'Womens JV Results'!F113</f>
        <v>Kingston</v>
      </c>
      <c r="D108">
        <f>'Womens Varsity Results'!C113</f>
        <v>3</v>
      </c>
      <c r="G108" s="112"/>
      <c r="H108" s="129"/>
      <c r="I108" s="128"/>
      <c r="J108" s="129"/>
      <c r="K108" s="128"/>
      <c r="L108" s="129"/>
      <c r="M108" s="128"/>
      <c r="N108" s="129"/>
      <c r="O108" s="128"/>
      <c r="P108" s="129"/>
      <c r="Q108" s="128"/>
      <c r="R108" s="129"/>
      <c r="S108" s="128"/>
      <c r="T108" s="129"/>
      <c r="U108" s="128"/>
      <c r="V108" s="129"/>
      <c r="W108" s="128"/>
      <c r="X108" s="129"/>
      <c r="Y108" s="128"/>
      <c r="Z108" s="129"/>
      <c r="AA108" s="128"/>
      <c r="AB108" s="129"/>
      <c r="AC108" s="128"/>
      <c r="AD108" s="129"/>
      <c r="AE108" s="128"/>
      <c r="AF108" s="129"/>
      <c r="AG108" s="128"/>
      <c r="AH108" s="118"/>
    </row>
    <row r="109">
      <c r="A109" s="4">
        <v>9.0</v>
      </c>
      <c r="B109" s="4">
        <v>220.0</v>
      </c>
      <c r="C109" t="str">
        <f>'Womens JV Results'!F114</f>
        <v>Hartford</v>
      </c>
      <c r="D109">
        <f>'Womens Varsity Results'!C114</f>
        <v>2</v>
      </c>
      <c r="G109" s="130"/>
      <c r="H109" s="131"/>
      <c r="I109" s="132"/>
      <c r="J109" s="131"/>
      <c r="K109" s="132"/>
      <c r="L109" s="131"/>
      <c r="M109" s="132"/>
      <c r="N109" s="131"/>
      <c r="O109" s="132"/>
      <c r="P109" s="131"/>
      <c r="Q109" s="132"/>
      <c r="R109" s="131"/>
      <c r="S109" s="132"/>
      <c r="T109" s="131"/>
      <c r="U109" s="132"/>
      <c r="V109" s="131"/>
      <c r="W109" s="132"/>
      <c r="X109" s="131"/>
      <c r="Y109" s="132"/>
      <c r="Z109" s="131"/>
      <c r="AA109" s="132"/>
      <c r="AB109" s="131"/>
      <c r="AC109" s="132"/>
      <c r="AD109" s="131"/>
      <c r="AE109" s="132"/>
      <c r="AF109" s="131"/>
      <c r="AG109" s="132"/>
      <c r="AH109" s="133"/>
    </row>
    <row r="110">
      <c r="A110" s="4">
        <v>10.0</v>
      </c>
      <c r="B110" s="4">
        <v>220.0</v>
      </c>
      <c r="C110" t="str">
        <f>'Womens JV Results'!F115</f>
        <v>Kearsley</v>
      </c>
      <c r="D110">
        <f>'Womens Varsity Results'!C115</f>
        <v>1</v>
      </c>
      <c r="G110" s="112"/>
      <c r="H110" s="129"/>
      <c r="I110" s="128"/>
      <c r="J110" s="129"/>
      <c r="K110" s="128"/>
      <c r="L110" s="129"/>
      <c r="M110" s="128"/>
      <c r="N110" s="129"/>
      <c r="O110" s="128"/>
      <c r="P110" s="129"/>
      <c r="Q110" s="128"/>
      <c r="R110" s="129"/>
      <c r="S110" s="128"/>
      <c r="T110" s="129"/>
      <c r="U110" s="128"/>
      <c r="V110" s="129"/>
      <c r="W110" s="128"/>
      <c r="X110" s="129"/>
      <c r="Y110" s="128"/>
      <c r="Z110" s="129"/>
      <c r="AA110" s="128"/>
      <c r="AB110" s="129"/>
      <c r="AC110" s="128"/>
      <c r="AD110" s="129"/>
      <c r="AE110" s="128"/>
      <c r="AF110" s="129"/>
      <c r="AG110" s="128"/>
      <c r="AH110" s="118"/>
    </row>
    <row r="111">
      <c r="A111" s="4">
        <v>1.0</v>
      </c>
      <c r="B111" s="4">
        <v>242.0</v>
      </c>
      <c r="C111" t="str">
        <f>'Womens JV Results'!F116</f>
        <v>Montague</v>
      </c>
      <c r="D111">
        <f>'Womens Varsity Results'!C116</f>
        <v>12</v>
      </c>
      <c r="G111" s="130"/>
      <c r="H111" s="131"/>
      <c r="I111" s="132"/>
      <c r="J111" s="131"/>
      <c r="K111" s="132"/>
      <c r="L111" s="131"/>
      <c r="M111" s="132"/>
      <c r="N111" s="131"/>
      <c r="O111" s="132"/>
      <c r="P111" s="131"/>
      <c r="Q111" s="132"/>
      <c r="R111" s="131"/>
      <c r="S111" s="132"/>
      <c r="T111" s="131"/>
      <c r="U111" s="132"/>
      <c r="V111" s="131"/>
      <c r="W111" s="132"/>
      <c r="X111" s="131"/>
      <c r="Y111" s="132"/>
      <c r="Z111" s="131"/>
      <c r="AA111" s="132"/>
      <c r="AB111" s="131"/>
      <c r="AC111" s="132"/>
      <c r="AD111" s="131"/>
      <c r="AE111" s="132"/>
      <c r="AF111" s="131"/>
      <c r="AG111" s="132"/>
      <c r="AH111" s="133"/>
    </row>
    <row r="112">
      <c r="A112" s="4">
        <v>2.0</v>
      </c>
      <c r="B112" s="4">
        <v>242.0</v>
      </c>
      <c r="C112" t="str">
        <f>'Womens JV Results'!F117</f>
        <v>Port Huron</v>
      </c>
      <c r="D112">
        <f>'Womens Varsity Results'!C117</f>
        <v>9</v>
      </c>
      <c r="G112" s="112"/>
      <c r="H112" s="129"/>
      <c r="I112" s="128"/>
      <c r="J112" s="129"/>
      <c r="K112" s="128"/>
      <c r="L112" s="129"/>
      <c r="M112" s="128"/>
      <c r="N112" s="129"/>
      <c r="O112" s="128"/>
      <c r="P112" s="129"/>
      <c r="Q112" s="128"/>
      <c r="R112" s="129"/>
      <c r="S112" s="128"/>
      <c r="T112" s="129"/>
      <c r="U112" s="128"/>
      <c r="V112" s="129"/>
      <c r="W112" s="128"/>
      <c r="X112" s="129"/>
      <c r="Y112" s="128"/>
      <c r="Z112" s="129"/>
      <c r="AA112" s="128"/>
      <c r="AB112" s="129"/>
      <c r="AC112" s="128"/>
      <c r="AD112" s="129"/>
      <c r="AE112" s="128"/>
      <c r="AF112" s="129"/>
      <c r="AG112" s="128"/>
      <c r="AH112" s="118"/>
    </row>
    <row r="113">
      <c r="A113" s="4">
        <v>3.0</v>
      </c>
      <c r="B113" s="4">
        <v>242.0</v>
      </c>
      <c r="C113" t="str">
        <f>'Womens JV Results'!F118</f>
        <v>Port Huron</v>
      </c>
      <c r="D113">
        <f>'Womens Varsity Results'!C118</f>
        <v>8</v>
      </c>
      <c r="G113" s="130"/>
      <c r="H113" s="131"/>
      <c r="I113" s="132"/>
      <c r="J113" s="131"/>
      <c r="K113" s="132"/>
      <c r="L113" s="131"/>
      <c r="M113" s="132"/>
      <c r="N113" s="131"/>
      <c r="O113" s="132"/>
      <c r="P113" s="131"/>
      <c r="Q113" s="132"/>
      <c r="R113" s="131"/>
      <c r="S113" s="132"/>
      <c r="T113" s="131"/>
      <c r="U113" s="132"/>
      <c r="V113" s="131"/>
      <c r="W113" s="132"/>
      <c r="X113" s="131"/>
      <c r="Y113" s="132"/>
      <c r="Z113" s="131"/>
      <c r="AA113" s="132"/>
      <c r="AB113" s="131"/>
      <c r="AC113" s="132"/>
      <c r="AD113" s="131"/>
      <c r="AE113" s="132"/>
      <c r="AF113" s="131"/>
      <c r="AG113" s="132"/>
      <c r="AH113" s="133"/>
    </row>
    <row r="114">
      <c r="A114" s="4">
        <v>4.0</v>
      </c>
      <c r="B114" s="4">
        <v>242.0</v>
      </c>
      <c r="C114" t="str">
        <f>'Womens JV Results'!F119</f>
        <v>Edwardsburg</v>
      </c>
      <c r="D114">
        <f>'Womens Varsity Results'!C119</f>
        <v>7</v>
      </c>
      <c r="G114" s="112"/>
      <c r="H114" s="129"/>
      <c r="I114" s="128"/>
      <c r="J114" s="129"/>
      <c r="K114" s="128"/>
      <c r="L114" s="129"/>
      <c r="M114" s="128"/>
      <c r="N114" s="129"/>
      <c r="O114" s="128"/>
      <c r="P114" s="129"/>
      <c r="Q114" s="128"/>
      <c r="R114" s="129"/>
      <c r="S114" s="128"/>
      <c r="T114" s="129"/>
      <c r="U114" s="128"/>
      <c r="V114" s="129"/>
      <c r="W114" s="128"/>
      <c r="X114" s="129"/>
      <c r="Y114" s="128"/>
      <c r="Z114" s="129"/>
      <c r="AA114" s="128"/>
      <c r="AB114" s="129"/>
      <c r="AC114" s="128"/>
      <c r="AD114" s="129"/>
      <c r="AE114" s="128"/>
      <c r="AF114" s="129"/>
      <c r="AG114" s="128"/>
      <c r="AH114" s="118"/>
    </row>
    <row r="115">
      <c r="A115" s="4">
        <v>5.0</v>
      </c>
      <c r="B115" s="4">
        <v>242.0</v>
      </c>
      <c r="C115" t="str">
        <f>'Womens JV Results'!F120</f>
        <v>Lake Orion</v>
      </c>
      <c r="D115">
        <f>'Womens Varsity Results'!C120</f>
        <v>6</v>
      </c>
      <c r="G115" s="130"/>
      <c r="H115" s="131"/>
      <c r="I115" s="132"/>
      <c r="J115" s="131"/>
      <c r="K115" s="132"/>
      <c r="L115" s="131"/>
      <c r="M115" s="132"/>
      <c r="N115" s="131"/>
      <c r="O115" s="132"/>
      <c r="P115" s="131"/>
      <c r="Q115" s="132"/>
      <c r="R115" s="131"/>
      <c r="S115" s="132"/>
      <c r="T115" s="131"/>
      <c r="U115" s="132"/>
      <c r="V115" s="131"/>
      <c r="W115" s="132"/>
      <c r="X115" s="131"/>
      <c r="Y115" s="132"/>
      <c r="Z115" s="131"/>
      <c r="AA115" s="132"/>
      <c r="AB115" s="131"/>
      <c r="AC115" s="132"/>
      <c r="AD115" s="131"/>
      <c r="AE115" s="132"/>
      <c r="AF115" s="131"/>
      <c r="AG115" s="132"/>
      <c r="AH115" s="133"/>
    </row>
    <row r="116">
      <c r="A116" s="4">
        <v>6.0</v>
      </c>
      <c r="B116" s="4">
        <v>242.0</v>
      </c>
      <c r="C116" t="str">
        <f>'Womens JV Results'!F121</f>
        <v>Birch Run</v>
      </c>
      <c r="D116">
        <f>'Womens Varsity Results'!C121</f>
        <v>5</v>
      </c>
      <c r="G116" s="112"/>
      <c r="H116" s="129"/>
      <c r="I116" s="128"/>
      <c r="J116" s="129"/>
      <c r="K116" s="128"/>
      <c r="L116" s="129"/>
      <c r="M116" s="128"/>
      <c r="N116" s="129"/>
      <c r="O116" s="128"/>
      <c r="P116" s="129"/>
      <c r="Q116" s="128"/>
      <c r="R116" s="129"/>
      <c r="S116" s="128"/>
      <c r="T116" s="129"/>
      <c r="U116" s="128"/>
      <c r="V116" s="129"/>
      <c r="W116" s="128"/>
      <c r="X116" s="129"/>
      <c r="Y116" s="128"/>
      <c r="Z116" s="129"/>
      <c r="AA116" s="128"/>
      <c r="AB116" s="129"/>
      <c r="AC116" s="128"/>
      <c r="AD116" s="129"/>
      <c r="AE116" s="128"/>
      <c r="AF116" s="129"/>
      <c r="AG116" s="128"/>
      <c r="AH116" s="118"/>
    </row>
    <row r="117">
      <c r="A117" s="4">
        <v>7.0</v>
      </c>
      <c r="B117" s="4">
        <v>242.0</v>
      </c>
      <c r="C117" t="str">
        <f>'Womens JV Results'!F122</f>
        <v>Henry Ford II</v>
      </c>
      <c r="D117">
        <f>'Womens Varsity Results'!C122</f>
        <v>4</v>
      </c>
      <c r="G117" s="130"/>
      <c r="H117" s="131"/>
      <c r="I117" s="132"/>
      <c r="J117" s="131"/>
      <c r="K117" s="132"/>
      <c r="L117" s="131"/>
      <c r="M117" s="132"/>
      <c r="N117" s="131"/>
      <c r="O117" s="132"/>
      <c r="P117" s="131"/>
      <c r="Q117" s="132"/>
      <c r="R117" s="131"/>
      <c r="S117" s="132"/>
      <c r="T117" s="131"/>
      <c r="U117" s="132"/>
      <c r="V117" s="131"/>
      <c r="W117" s="132"/>
      <c r="X117" s="131"/>
      <c r="Y117" s="132"/>
      <c r="Z117" s="131"/>
      <c r="AA117" s="132"/>
      <c r="AB117" s="131"/>
      <c r="AC117" s="132"/>
      <c r="AD117" s="131"/>
      <c r="AE117" s="132"/>
      <c r="AF117" s="131"/>
      <c r="AG117" s="132"/>
      <c r="AH117" s="133"/>
    </row>
    <row r="118">
      <c r="A118" s="4">
        <v>8.0</v>
      </c>
      <c r="B118" s="4">
        <v>242.0</v>
      </c>
      <c r="C118" t="str">
        <f>'Womens JV Results'!F123</f>
        <v/>
      </c>
      <c r="D118">
        <f>'Womens Varsity Results'!C123</f>
        <v>3</v>
      </c>
      <c r="G118" s="112"/>
      <c r="H118" s="129"/>
      <c r="I118" s="128"/>
      <c r="J118" s="129"/>
      <c r="K118" s="128"/>
      <c r="L118" s="129"/>
      <c r="M118" s="128"/>
      <c r="N118" s="129"/>
      <c r="O118" s="128"/>
      <c r="P118" s="129"/>
      <c r="Q118" s="128"/>
      <c r="R118" s="129"/>
      <c r="S118" s="128"/>
      <c r="T118" s="129"/>
      <c r="U118" s="128"/>
      <c r="V118" s="129"/>
      <c r="W118" s="128"/>
      <c r="X118" s="129"/>
      <c r="Y118" s="128"/>
      <c r="Z118" s="129"/>
      <c r="AA118" s="128"/>
      <c r="AB118" s="129"/>
      <c r="AC118" s="128"/>
      <c r="AD118" s="129"/>
      <c r="AE118" s="128"/>
      <c r="AF118" s="129"/>
      <c r="AG118" s="128"/>
      <c r="AH118" s="118"/>
    </row>
    <row r="119">
      <c r="A119" s="4">
        <v>9.0</v>
      </c>
      <c r="B119" s="4">
        <v>242.0</v>
      </c>
      <c r="C119" t="str">
        <f>'Womens JV Results'!F124</f>
        <v/>
      </c>
      <c r="D119">
        <f>'Womens Varsity Results'!C124</f>
        <v>2</v>
      </c>
      <c r="G119" s="130"/>
      <c r="H119" s="131"/>
      <c r="I119" s="132"/>
      <c r="J119" s="131"/>
      <c r="K119" s="132"/>
      <c r="L119" s="131"/>
      <c r="M119" s="132"/>
      <c r="N119" s="131"/>
      <c r="O119" s="132"/>
      <c r="P119" s="131"/>
      <c r="Q119" s="132"/>
      <c r="R119" s="131"/>
      <c r="S119" s="132"/>
      <c r="T119" s="131"/>
      <c r="U119" s="132"/>
      <c r="V119" s="131"/>
      <c r="W119" s="132"/>
      <c r="X119" s="131"/>
      <c r="Y119" s="132"/>
      <c r="Z119" s="131"/>
      <c r="AA119" s="132"/>
      <c r="AB119" s="131"/>
      <c r="AC119" s="132"/>
      <c r="AD119" s="131"/>
      <c r="AE119" s="132"/>
      <c r="AF119" s="131"/>
      <c r="AG119" s="132"/>
      <c r="AH119" s="133"/>
    </row>
    <row r="120">
      <c r="A120" s="4">
        <v>10.0</v>
      </c>
      <c r="B120" s="4">
        <v>242.0</v>
      </c>
      <c r="C120" t="str">
        <f>'Womens JV Results'!F125</f>
        <v/>
      </c>
      <c r="D120">
        <f>'Womens Varsity Results'!C125</f>
        <v>1</v>
      </c>
      <c r="G120" s="112"/>
      <c r="H120" s="129"/>
      <c r="I120" s="128"/>
      <c r="J120" s="129"/>
      <c r="K120" s="128"/>
      <c r="L120" s="129"/>
      <c r="M120" s="128"/>
      <c r="N120" s="129"/>
      <c r="O120" s="128"/>
      <c r="P120" s="129"/>
      <c r="Q120" s="128"/>
      <c r="R120" s="129"/>
      <c r="S120" s="128"/>
      <c r="T120" s="129"/>
      <c r="U120" s="128"/>
      <c r="V120" s="129"/>
      <c r="W120" s="128"/>
      <c r="X120" s="129"/>
      <c r="Y120" s="128"/>
      <c r="Z120" s="129"/>
      <c r="AA120" s="128"/>
      <c r="AB120" s="129"/>
      <c r="AC120" s="128"/>
      <c r="AD120" s="129"/>
      <c r="AE120" s="128"/>
      <c r="AF120" s="129"/>
      <c r="AG120" s="128"/>
      <c r="AH120" s="118"/>
    </row>
    <row r="121">
      <c r="A121" s="4">
        <v>1.0</v>
      </c>
      <c r="B121" s="36" t="s">
        <v>130</v>
      </c>
      <c r="C121" t="str">
        <f>'Womens JV Results'!F126</f>
        <v>Shepherd</v>
      </c>
      <c r="D121">
        <f>'Womens Varsity Results'!C126</f>
        <v>12</v>
      </c>
      <c r="G121" s="130"/>
      <c r="H121" s="131"/>
      <c r="I121" s="132"/>
      <c r="J121" s="131"/>
      <c r="K121" s="132"/>
      <c r="L121" s="131"/>
      <c r="M121" s="132"/>
      <c r="N121" s="131"/>
      <c r="O121" s="132"/>
      <c r="P121" s="131"/>
      <c r="Q121" s="132"/>
      <c r="R121" s="131"/>
      <c r="S121" s="132"/>
      <c r="T121" s="131"/>
      <c r="U121" s="132"/>
      <c r="V121" s="131"/>
      <c r="W121" s="132"/>
      <c r="X121" s="131"/>
      <c r="Y121" s="132"/>
      <c r="Z121" s="131"/>
      <c r="AA121" s="132"/>
      <c r="AB121" s="131"/>
      <c r="AC121" s="132"/>
      <c r="AD121" s="131"/>
      <c r="AE121" s="132"/>
      <c r="AF121" s="131"/>
      <c r="AG121" s="132"/>
      <c r="AH121" s="133"/>
    </row>
    <row r="122">
      <c r="A122" s="4">
        <v>2.0</v>
      </c>
      <c r="B122" s="36" t="s">
        <v>130</v>
      </c>
      <c r="C122" t="str">
        <f>'Womens JV Results'!F127</f>
        <v>Birch Run</v>
      </c>
      <c r="D122">
        <f>'Womens Varsity Results'!C127</f>
        <v>9</v>
      </c>
      <c r="G122" s="112"/>
      <c r="H122" s="129"/>
      <c r="I122" s="128"/>
      <c r="J122" s="129"/>
      <c r="K122" s="128"/>
      <c r="L122" s="129"/>
      <c r="M122" s="128"/>
      <c r="N122" s="129"/>
      <c r="O122" s="128"/>
      <c r="P122" s="129"/>
      <c r="Q122" s="128"/>
      <c r="R122" s="129"/>
      <c r="S122" s="128"/>
      <c r="T122" s="129"/>
      <c r="U122" s="128"/>
      <c r="V122" s="129"/>
      <c r="W122" s="128"/>
      <c r="X122" s="129"/>
      <c r="Y122" s="128"/>
      <c r="Z122" s="129"/>
      <c r="AA122" s="128"/>
      <c r="AB122" s="129"/>
      <c r="AC122" s="128"/>
      <c r="AD122" s="129"/>
      <c r="AE122" s="128"/>
      <c r="AF122" s="129"/>
      <c r="AG122" s="128"/>
      <c r="AH122" s="118"/>
    </row>
    <row r="123">
      <c r="A123" s="4">
        <v>3.0</v>
      </c>
      <c r="B123" s="36" t="s">
        <v>130</v>
      </c>
      <c r="C123" t="str">
        <f>'Womens JV Results'!F128</f>
        <v>Port Huron</v>
      </c>
      <c r="D123">
        <f>'Womens Varsity Results'!C128</f>
        <v>8</v>
      </c>
      <c r="G123" s="130"/>
      <c r="H123" s="131"/>
      <c r="I123" s="132"/>
      <c r="J123" s="131"/>
      <c r="K123" s="132"/>
      <c r="L123" s="131"/>
      <c r="M123" s="132"/>
      <c r="N123" s="131"/>
      <c r="O123" s="132"/>
      <c r="P123" s="131"/>
      <c r="Q123" s="132"/>
      <c r="R123" s="131"/>
      <c r="S123" s="132"/>
      <c r="T123" s="131"/>
      <c r="U123" s="132"/>
      <c r="V123" s="131"/>
      <c r="W123" s="132"/>
      <c r="X123" s="131"/>
      <c r="Y123" s="132"/>
      <c r="Z123" s="131"/>
      <c r="AA123" s="132"/>
      <c r="AB123" s="131"/>
      <c r="AC123" s="132"/>
      <c r="AD123" s="131"/>
      <c r="AE123" s="132"/>
      <c r="AF123" s="131"/>
      <c r="AG123" s="132"/>
      <c r="AH123" s="133"/>
    </row>
    <row r="124">
      <c r="A124" s="4">
        <v>4.0</v>
      </c>
      <c r="B124" s="36" t="s">
        <v>130</v>
      </c>
      <c r="C124" t="str">
        <f>'Womens JV Results'!F129</f>
        <v>Shepherd</v>
      </c>
      <c r="D124">
        <f>'Womens Varsity Results'!C129</f>
        <v>7</v>
      </c>
      <c r="G124" s="112"/>
      <c r="H124" s="129"/>
      <c r="I124" s="128"/>
      <c r="J124" s="129"/>
      <c r="K124" s="128"/>
      <c r="L124" s="129"/>
      <c r="M124" s="128"/>
      <c r="N124" s="129"/>
      <c r="O124" s="128"/>
      <c r="P124" s="129"/>
      <c r="Q124" s="128"/>
      <c r="R124" s="129"/>
      <c r="S124" s="128"/>
      <c r="T124" s="129"/>
      <c r="U124" s="128"/>
      <c r="V124" s="129"/>
      <c r="W124" s="128"/>
      <c r="X124" s="129"/>
      <c r="Y124" s="128"/>
      <c r="Z124" s="129"/>
      <c r="AA124" s="128"/>
      <c r="AB124" s="129"/>
      <c r="AC124" s="128"/>
      <c r="AD124" s="129"/>
      <c r="AE124" s="128"/>
      <c r="AF124" s="129"/>
      <c r="AG124" s="128"/>
      <c r="AH124" s="118"/>
    </row>
    <row r="125">
      <c r="A125" s="4">
        <v>5.0</v>
      </c>
      <c r="B125" s="36" t="s">
        <v>130</v>
      </c>
      <c r="C125" t="str">
        <f>'Womens JV Results'!F130</f>
        <v>North Branch</v>
      </c>
      <c r="D125">
        <f>'Womens Varsity Results'!C130</f>
        <v>6</v>
      </c>
      <c r="G125" s="130"/>
      <c r="H125" s="131"/>
      <c r="I125" s="132"/>
      <c r="J125" s="131"/>
      <c r="K125" s="132"/>
      <c r="L125" s="131"/>
      <c r="M125" s="132"/>
      <c r="N125" s="131"/>
      <c r="O125" s="132"/>
      <c r="P125" s="131"/>
      <c r="Q125" s="132"/>
      <c r="R125" s="131"/>
      <c r="S125" s="132"/>
      <c r="T125" s="131"/>
      <c r="U125" s="132"/>
      <c r="V125" s="131"/>
      <c r="W125" s="132"/>
      <c r="X125" s="131"/>
      <c r="Y125" s="132"/>
      <c r="Z125" s="131"/>
      <c r="AA125" s="132"/>
      <c r="AB125" s="131"/>
      <c r="AC125" s="132"/>
      <c r="AD125" s="131"/>
      <c r="AE125" s="132"/>
      <c r="AF125" s="131"/>
      <c r="AG125" s="132"/>
      <c r="AH125" s="133"/>
    </row>
    <row r="126">
      <c r="A126" s="4">
        <v>6.0</v>
      </c>
      <c r="B126" s="36" t="s">
        <v>130</v>
      </c>
      <c r="C126" t="str">
        <f>'Womens JV Results'!F131</f>
        <v>Morenci</v>
      </c>
      <c r="D126">
        <f>'Womens Varsity Results'!C131</f>
        <v>5</v>
      </c>
      <c r="G126" s="112"/>
      <c r="H126" s="129"/>
      <c r="I126" s="128"/>
      <c r="J126" s="129"/>
      <c r="K126" s="128"/>
      <c r="L126" s="129"/>
      <c r="M126" s="128"/>
      <c r="N126" s="129"/>
      <c r="O126" s="128"/>
      <c r="P126" s="129"/>
      <c r="Q126" s="128"/>
      <c r="R126" s="129"/>
      <c r="S126" s="128"/>
      <c r="T126" s="129"/>
      <c r="U126" s="128"/>
      <c r="V126" s="129"/>
      <c r="W126" s="128"/>
      <c r="X126" s="129"/>
      <c r="Y126" s="128"/>
      <c r="Z126" s="129"/>
      <c r="AA126" s="128"/>
      <c r="AB126" s="129"/>
      <c r="AC126" s="128"/>
      <c r="AD126" s="129"/>
      <c r="AE126" s="128"/>
      <c r="AF126" s="129"/>
      <c r="AG126" s="128"/>
      <c r="AH126" s="118"/>
    </row>
    <row r="127">
      <c r="A127" s="4">
        <v>7.0</v>
      </c>
      <c r="B127" s="36" t="s">
        <v>130</v>
      </c>
      <c r="C127" t="str">
        <f>'Womens JV Results'!F132</f>
        <v>Montague</v>
      </c>
      <c r="D127">
        <f>'Womens Varsity Results'!C132</f>
        <v>4</v>
      </c>
      <c r="G127" s="130"/>
      <c r="H127" s="131"/>
      <c r="I127" s="132"/>
      <c r="J127" s="131"/>
      <c r="K127" s="132"/>
      <c r="L127" s="131"/>
      <c r="M127" s="132"/>
      <c r="N127" s="131"/>
      <c r="O127" s="132"/>
      <c r="P127" s="131"/>
      <c r="Q127" s="132"/>
      <c r="R127" s="131"/>
      <c r="S127" s="132"/>
      <c r="T127" s="131"/>
      <c r="U127" s="132"/>
      <c r="V127" s="131"/>
      <c r="W127" s="132"/>
      <c r="X127" s="131"/>
      <c r="Y127" s="132"/>
      <c r="Z127" s="131"/>
      <c r="AA127" s="132"/>
      <c r="AB127" s="131"/>
      <c r="AC127" s="132"/>
      <c r="AD127" s="131"/>
      <c r="AE127" s="132"/>
      <c r="AF127" s="131"/>
      <c r="AG127" s="132"/>
      <c r="AH127" s="133"/>
    </row>
    <row r="128">
      <c r="A128" s="4">
        <v>8.0</v>
      </c>
      <c r="B128" s="36" t="s">
        <v>130</v>
      </c>
      <c r="C128" t="str">
        <f>'Womens JV Results'!F133</f>
        <v>Port Huron</v>
      </c>
      <c r="D128">
        <f>'Womens Varsity Results'!C133</f>
        <v>3</v>
      </c>
      <c r="G128" s="112"/>
      <c r="H128" s="129"/>
      <c r="I128" s="128"/>
      <c r="J128" s="129"/>
      <c r="K128" s="128"/>
      <c r="L128" s="129"/>
      <c r="M128" s="128"/>
      <c r="N128" s="129"/>
      <c r="O128" s="128"/>
      <c r="P128" s="129"/>
      <c r="Q128" s="128"/>
      <c r="R128" s="129"/>
      <c r="S128" s="128"/>
      <c r="T128" s="129"/>
      <c r="U128" s="128"/>
      <c r="V128" s="129"/>
      <c r="W128" s="128"/>
      <c r="X128" s="129"/>
      <c r="Y128" s="128"/>
      <c r="Z128" s="129"/>
      <c r="AA128" s="128"/>
      <c r="AB128" s="129"/>
      <c r="AC128" s="128"/>
      <c r="AD128" s="129"/>
      <c r="AE128" s="128"/>
      <c r="AF128" s="129"/>
      <c r="AG128" s="128"/>
      <c r="AH128" s="118"/>
    </row>
    <row r="129">
      <c r="A129" s="4">
        <v>9.0</v>
      </c>
      <c r="B129" s="36" t="s">
        <v>130</v>
      </c>
      <c r="C129" t="str">
        <f>'Womens JV Results'!F134</f>
        <v/>
      </c>
      <c r="D129">
        <f>'Womens Varsity Results'!C134</f>
        <v>2</v>
      </c>
      <c r="G129" s="130"/>
      <c r="H129" s="131"/>
      <c r="I129" s="132"/>
      <c r="J129" s="131"/>
      <c r="K129" s="132"/>
      <c r="L129" s="131"/>
      <c r="M129" s="132"/>
      <c r="N129" s="131"/>
      <c r="O129" s="132"/>
      <c r="P129" s="131"/>
      <c r="Q129" s="132"/>
      <c r="R129" s="131"/>
      <c r="S129" s="132"/>
      <c r="T129" s="131"/>
      <c r="U129" s="132"/>
      <c r="V129" s="131"/>
      <c r="W129" s="132"/>
      <c r="X129" s="131"/>
      <c r="Y129" s="132"/>
      <c r="Z129" s="131"/>
      <c r="AA129" s="132"/>
      <c r="AB129" s="131"/>
      <c r="AC129" s="132"/>
      <c r="AD129" s="131"/>
      <c r="AE129" s="132"/>
      <c r="AF129" s="131"/>
      <c r="AG129" s="132"/>
      <c r="AH129" s="133"/>
    </row>
    <row r="130">
      <c r="A130" s="4">
        <v>10.0</v>
      </c>
      <c r="B130" s="36" t="s">
        <v>130</v>
      </c>
      <c r="C130" t="str">
        <f>'Womens JV Results'!F135</f>
        <v/>
      </c>
      <c r="D130">
        <f>'Womens Varsity Results'!C135</f>
        <v>1</v>
      </c>
      <c r="G130" s="112"/>
      <c r="H130" s="129"/>
      <c r="I130" s="128"/>
      <c r="J130" s="129"/>
      <c r="K130" s="128"/>
      <c r="L130" s="129"/>
      <c r="M130" s="128"/>
      <c r="N130" s="129"/>
      <c r="O130" s="128"/>
      <c r="P130" s="129"/>
      <c r="Q130" s="128"/>
      <c r="R130" s="129"/>
      <c r="S130" s="128"/>
      <c r="T130" s="129"/>
      <c r="U130" s="128"/>
      <c r="V130" s="129"/>
      <c r="W130" s="128"/>
      <c r="X130" s="129"/>
      <c r="Y130" s="128"/>
      <c r="Z130" s="129"/>
      <c r="AA130" s="128"/>
      <c r="AB130" s="129"/>
      <c r="AC130" s="128"/>
      <c r="AD130" s="129"/>
      <c r="AE130" s="128"/>
      <c r="AF130" s="129"/>
      <c r="AG130" s="128"/>
      <c r="AH130" s="118"/>
    </row>
    <row r="131">
      <c r="G131" s="134"/>
      <c r="H131" s="135"/>
      <c r="I131" s="136"/>
      <c r="J131" s="135"/>
      <c r="K131" s="136"/>
      <c r="L131" s="135"/>
      <c r="M131" s="136"/>
      <c r="N131" s="135"/>
      <c r="O131" s="136"/>
      <c r="P131" s="135"/>
      <c r="Q131" s="136"/>
      <c r="R131" s="135"/>
      <c r="S131" s="136"/>
      <c r="T131" s="137"/>
      <c r="U131" s="136"/>
      <c r="V131" s="135"/>
      <c r="W131" s="136"/>
      <c r="X131" s="135"/>
      <c r="Y131" s="136"/>
      <c r="Z131" s="135"/>
      <c r="AA131" s="136"/>
      <c r="AB131" s="135"/>
      <c r="AC131" s="136"/>
      <c r="AD131" s="135"/>
      <c r="AE131" s="136"/>
      <c r="AF131" s="135"/>
      <c r="AG131" s="136"/>
      <c r="AH131" s="138"/>
    </row>
    <row r="132" hidden="1">
      <c r="H132" s="139">
        <v>114.0</v>
      </c>
      <c r="J132" s="139">
        <v>123.0</v>
      </c>
      <c r="L132" s="139">
        <v>132.0</v>
      </c>
      <c r="N132" s="139">
        <v>145.0</v>
      </c>
      <c r="P132" s="139">
        <v>155.0</v>
      </c>
      <c r="R132" s="139">
        <v>165.0</v>
      </c>
      <c r="T132" s="139">
        <v>181.0</v>
      </c>
      <c r="V132" s="139">
        <v>194.0</v>
      </c>
      <c r="X132" s="139">
        <v>207.0</v>
      </c>
      <c r="Z132" s="139">
        <v>220.0</v>
      </c>
      <c r="AB132" s="139">
        <v>242.0</v>
      </c>
      <c r="AD132" s="139">
        <v>275.0</v>
      </c>
      <c r="AF132" s="139" t="s">
        <v>130</v>
      </c>
      <c r="AH132" s="140" t="s">
        <v>118</v>
      </c>
    </row>
    <row r="133" hidden="1">
      <c r="F133" s="4">
        <v>1.0</v>
      </c>
      <c r="G133" t="str">
        <f>IFERROR(__xludf.DUMMYFUNCTION("unique(C:C)"),"Central Montcalm")</f>
        <v>Central Montcalm</v>
      </c>
      <c r="H133">
        <f t="shared" ref="H133:H270" si="1">IFERROR(__xludf.DUMMYFUNCTION("if(isblank($G133),, if(iserror(index(filter($C$1:$D$10,$C$1:$C$10=$G133),1,2)),,index(filter($C$1:$D$10,$C$1:$C$10=$G133),1,2)))"),12.0)</f>
        <v>12</v>
      </c>
      <c r="I133">
        <f t="shared" ref="I133:I270" si="2">IFERROR(__xludf.DUMMYFUNCTION("if(isblank($G133),, if(iserror(index(filter($C$1:$D$10,$C$1:$C$10=$G133),2,2)),,index(filter($C$1:$D$10,$C$1:$C$10=$G133),2,2)))"),6.0)</f>
        <v>6</v>
      </c>
      <c r="J133">
        <f t="shared" ref="J133:J270" si="3">IFERROR(__xludf.DUMMYFUNCTION("if(isblank($G133),, if(iserror(index(filter($C$11:$D$20,$C$11:$C$20=$G133),1,2)),,index(filter($C$11:$D$20,$C$11:$C$20=$G133),1,2)))"),8.0)</f>
        <v>8</v>
      </c>
      <c r="K133">
        <f t="shared" ref="K133:K270" si="4">IFERROR(__xludf.DUMMYFUNCTION("if(isblank($G133),, if(iserror(index(filter($C$11:$D$20,$C$11:$C$20=$G133),2,2)),,index(filter($C$11:$D$20,$C$11:$C$20=$G133),2,2)))"),5.0)</f>
        <v>5</v>
      </c>
      <c r="L133">
        <f t="shared" ref="L133:L270" si="5">IFERROR(__xludf.DUMMYFUNCTION("if(isblank($G133),, if(iserror(index(filter($C$21:$D$30,$C$21:$C$30=$G133),1,2)),,index(filter($C$21:$D$30,$C$21:$C$30=$G133),1,2)))"),12.0)</f>
        <v>12</v>
      </c>
      <c r="M133">
        <f t="shared" ref="M133:M270" si="6">IFERROR(__xludf.DUMMYFUNCTION("if(isblank($G133),, if(iserror(index(filter($C$21:$D$30,$C$21:$C$30=$G133),2,2)),,index(filter($C$21:$D$30,$C$21:$C$30=$G133),2,2)))"),7.0)</f>
        <v>7</v>
      </c>
      <c r="N133">
        <f t="shared" ref="N133:N270" si="7">IFERROR(__xludf.DUMMYFUNCTION("if(isblank($G133),, if(iserror(index(filter($C$31:$D$40,$C$31:$C$40=$G133),1,2)),,index(filter($C$31:$D$40,$C$31:$C$40=$G133),1,2)))"),12.0)</f>
        <v>12</v>
      </c>
      <c r="O133">
        <f t="shared" ref="O133:O270" si="8">IFERROR(__xludf.DUMMYFUNCTION("if(isblank($G133),, if(iserror(index(filter($C$31:$D$40,$C$31:$C$40=$G133),2,2)),,index(filter($C$31:$D$40,$C$31:$C$40=$G133),2,2)))"),9.0)</f>
        <v>9</v>
      </c>
      <c r="P133">
        <f t="shared" ref="P133:P270" si="9">IFERROR(__xludf.DUMMYFUNCTION("if(isblank($G133),, if(iserror(index(filter($C$41:$D$50,$C$41:$C$50=$G133),1,2)),,index(filter($C$41:$D$50,$C$41:$C$50=$G133),1,2)))"),12.0)</f>
        <v>12</v>
      </c>
      <c r="Q133">
        <f t="shared" ref="Q133:Q270" si="10">IFERROR(__xludf.DUMMYFUNCTION("if(isblank($G133),, if(iserror(index(filter($C$41:$D$50,$C$41:$C$50=$G133),2,2)),,index(filter($C$41:$D$50,$C$41:$C$50=$G133),2,2)))"),8.0)</f>
        <v>8</v>
      </c>
      <c r="R133" t="str">
        <f t="shared" ref="R133:R270" si="11">IFERROR(__xludf.DUMMYFUNCTION("if(isblank($G133),, if(iserror(index(filter($C$51:$D$60,$C$51:$C$60=$G133),1,2)),,index(filter($C$51:$D$60,$C$51:$C$60=$G133),1,2)))"),"")</f>
        <v/>
      </c>
      <c r="S133" t="str">
        <f t="shared" ref="S133:S270" si="12">IFERROR(__xludf.DUMMYFUNCTION("if(isblank($G133),, if(iserror(index(filter($C$51:$D$60,$C$51:$C$60=$G133),2,2)),,index(filter($C$51:$D$60,$C$51:$C$60=$G133),2,2)))"),"")</f>
        <v/>
      </c>
      <c r="T133" t="str">
        <f t="shared" ref="T133:T270" si="13">IFERROR(__xludf.DUMMYFUNCTION("if(isblank($G133),, if(iserror(index(filter($C$61:$D$70,$C$61:$C$70=$G133),1,2)),,index(filter($C$61:$D$70,$C$61:$C$70=$G133),1,2)))"),"")</f>
        <v/>
      </c>
      <c r="U133" t="str">
        <f t="shared" ref="U133:U270" si="14">IFERROR(__xludf.DUMMYFUNCTION("if(isblank($G133),, if(iserror(index(filter($C$61:$D$70,$C$61:$C$70=$G133),2,2)),,index(filter($C$61:$D$70,$C$61:$C$70=$G133),2,2)))"),"")</f>
        <v/>
      </c>
      <c r="V133">
        <f t="shared" ref="V133:V270" si="15">IFERROR(__xludf.DUMMYFUNCTION("if(isblank($G133),, if(iserror(index(filter($C$71:$D$80,$C$71:$C$80=$G133),1,2)),,index(filter($C$71:$D$80,$C$71:$C$80=$G133),1,2)))"),6.0)</f>
        <v>6</v>
      </c>
      <c r="W133" t="str">
        <f t="shared" ref="W133:W270" si="16">IFERROR(__xludf.DUMMYFUNCTION("if(isblank($G133),, if(iserror(index(filter($C$71:$D$80,$C$71:$C$80=$G133),2,2)),,index(filter($C$71:$D$80,$C$71:$C$80=$G133),2,2)))"),"")</f>
        <v/>
      </c>
      <c r="X133" t="str">
        <f t="shared" ref="X133:X270" si="17">IFERROR(__xludf.DUMMYFUNCTION("if(isblank($G133),, if(iserror(index(filter($C$81:$D$90,$C$81:$C$90=$G133),1,2)),,index(filter($C$81:$D$90,$C$81:$C$90=$G133),1,2)))"),"")</f>
        <v/>
      </c>
      <c r="Y133" t="str">
        <f t="shared" ref="Y133:Y270" si="18">IFERROR(__xludf.DUMMYFUNCTION("if(isblank($G133),, if(iserror(index(filter($C$81:$D$90,$C$81:$C$90=$G133),2,2)),,index(filter($C$81:$D$90,$C$81:$C$90=$G133),2,2)))"),"")</f>
        <v/>
      </c>
      <c r="Z133">
        <f t="shared" ref="Z133:Z270" si="19">IFERROR(__xludf.DUMMYFUNCTION("if(isblank($G133),, if(iserror(index(filter($C$91:$D$100,$C$91:$C$100=$G133),1,2)),,index(filter($C$91:$D$100,$C$91:$C$100=$G133),1,2)))"),3.0)</f>
        <v>3</v>
      </c>
      <c r="AA133" t="str">
        <f t="shared" ref="AA133:AA270" si="20">IFERROR(__xludf.DUMMYFUNCTION("if(isblank($G133),, if(iserror(index(filter($C$91:$D$100,$C$91:$C$100=$G133),2,2)),,index(filter($C$91:$D$100,$C$91:$C$100=$G133),2,2)))"),"")</f>
        <v/>
      </c>
      <c r="AB133">
        <f t="shared" ref="AB133:AB270" si="21">IFERROR(__xludf.DUMMYFUNCTION("if(isblank($G133),, if(iserror(index(filter($C$101:$D$110,$C$101:$C$110=$G133),1,2)),,index(filter($C$101:$D$110,$C$101:$C$110=$G133),1,2)))"),9.0)</f>
        <v>9</v>
      </c>
      <c r="AC133" t="str">
        <f t="shared" ref="AC133:AC270" si="22">IFERROR(__xludf.DUMMYFUNCTION("if(isblank($G133),, if(iserror(index(filter($C$101:$D$110,$C$101:$C$110=$G133),2,2)),,index(filter($C$101:$D$110,$C$101:$C$110=$G133),2,2)))"),"")</f>
        <v/>
      </c>
      <c r="AD133" t="str">
        <f t="shared" ref="AD133:AD270" si="23">IFERROR(__xludf.DUMMYFUNCTION("if(isblank($G133),, if(iserror(index(filter($C$111:$D$120,$C$111:$C$120=$G133),1,2)),,index(filter($C$111:$D$120,$C$111:$C$120=$G133),1,2)))"),"")</f>
        <v/>
      </c>
      <c r="AE133" t="str">
        <f t="shared" ref="AE133:AE270" si="24">IFERROR(__xludf.DUMMYFUNCTION("if(isblank($G133),, if(iserror(index(filter($C$111:$D$120,$C$111:$C$120=$G133),2,2)),,index(filter($C$111:$D$120,$C$111:$C$120=$G133),2,2)))"),"")</f>
        <v/>
      </c>
      <c r="AF133" t="str">
        <f t="shared" ref="AF133:AF270" si="25">IFERROR(__xludf.DUMMYFUNCTION("if(isblank($G133),, if(iserror(index(filter($C$121:$D$130,$C$121:$C$130=$G133),1,2)),,index(filter($C$121:$D$130,$C$121:$C$130=$G133),1,2)))"),"")</f>
        <v/>
      </c>
      <c r="AG133" t="str">
        <f t="shared" ref="AG133:AG270" si="26">IFERROR(__xludf.DUMMYFUNCTION("if(isblank($G133),, if(iserror(index(filter($C$121:$D$130,$C$121:$C$130=$G133),2,2)),,index(filter($C$121:$D$130,$C$121:$C$130=$G133),2,2)))"),"")</f>
        <v/>
      </c>
      <c r="AH133" s="65">
        <f t="array" ref="AH133">if(sum(H133:AG133)=0,,sum(sort(TRANSPOSE(H133:AG133),1,false)))</f>
        <v>95</v>
      </c>
    </row>
    <row r="134" hidden="1">
      <c r="F134" s="4">
        <v>2.0</v>
      </c>
      <c r="G134" t="str">
        <f>IFERROR(__xludf.DUMMYFUNCTION("""COMPUTED_VALUE"""),"Martin")</f>
        <v>Martin</v>
      </c>
      <c r="H134">
        <f t="shared" si="1"/>
        <v>9</v>
      </c>
      <c r="I134" t="str">
        <f t="shared" si="2"/>
        <v/>
      </c>
      <c r="J134" t="str">
        <f t="shared" si="3"/>
        <v/>
      </c>
      <c r="K134" t="str">
        <f t="shared" si="4"/>
        <v/>
      </c>
      <c r="L134" t="str">
        <f t="shared" si="5"/>
        <v/>
      </c>
      <c r="M134" t="str">
        <f t="shared" si="6"/>
        <v/>
      </c>
      <c r="N134" t="str">
        <f t="shared" si="7"/>
        <v/>
      </c>
      <c r="O134" t="str">
        <f t="shared" si="8"/>
        <v/>
      </c>
      <c r="P134">
        <f t="shared" si="9"/>
        <v>4</v>
      </c>
      <c r="Q134" t="str">
        <f t="shared" si="10"/>
        <v/>
      </c>
      <c r="R134" t="str">
        <f t="shared" si="11"/>
        <v/>
      </c>
      <c r="S134" t="str">
        <f t="shared" si="12"/>
        <v/>
      </c>
      <c r="T134" t="str">
        <f t="shared" si="13"/>
        <v/>
      </c>
      <c r="U134" t="str">
        <f t="shared" si="14"/>
        <v/>
      </c>
      <c r="V134" t="str">
        <f t="shared" si="15"/>
        <v/>
      </c>
      <c r="W134" t="str">
        <f t="shared" si="16"/>
        <v/>
      </c>
      <c r="X134" t="str">
        <f t="shared" si="17"/>
        <v/>
      </c>
      <c r="Y134" t="str">
        <f t="shared" si="18"/>
        <v/>
      </c>
      <c r="Z134" t="str">
        <f t="shared" si="19"/>
        <v/>
      </c>
      <c r="AA134" t="str">
        <f t="shared" si="20"/>
        <v/>
      </c>
      <c r="AB134" t="str">
        <f t="shared" si="21"/>
        <v/>
      </c>
      <c r="AC134" t="str">
        <f t="shared" si="22"/>
        <v/>
      </c>
      <c r="AD134" t="str">
        <f t="shared" si="23"/>
        <v/>
      </c>
      <c r="AE134" t="str">
        <f t="shared" si="24"/>
        <v/>
      </c>
      <c r="AF134" t="str">
        <f t="shared" si="25"/>
        <v/>
      </c>
      <c r="AG134" t="str">
        <f t="shared" si="26"/>
        <v/>
      </c>
      <c r="AH134" s="65">
        <f t="array" ref="AH134">if(sum(H134:AG134)=0,,sum(sort(TRANSPOSE(H134:AG134),1,false)))</f>
        <v>13</v>
      </c>
    </row>
    <row r="135" hidden="1">
      <c r="F135" s="4">
        <v>3.0</v>
      </c>
      <c r="G135" s="141" t="str">
        <f>IFERROR(__xludf.DUMMYFUNCTION("""COMPUTED_VALUE"""),"Cros-Lex")</f>
        <v>Cros-Lex</v>
      </c>
      <c r="H135">
        <f t="shared" si="1"/>
        <v>8</v>
      </c>
      <c r="I135" t="str">
        <f t="shared" si="2"/>
        <v/>
      </c>
      <c r="J135" t="str">
        <f t="shared" si="3"/>
        <v/>
      </c>
      <c r="K135" t="str">
        <f t="shared" si="4"/>
        <v/>
      </c>
      <c r="L135">
        <f t="shared" si="5"/>
        <v>9</v>
      </c>
      <c r="M135" t="str">
        <f t="shared" si="6"/>
        <v/>
      </c>
      <c r="N135">
        <f t="shared" si="7"/>
        <v>7</v>
      </c>
      <c r="O135" t="str">
        <f t="shared" si="8"/>
        <v/>
      </c>
      <c r="P135" t="str">
        <f t="shared" si="9"/>
        <v/>
      </c>
      <c r="Q135" t="str">
        <f t="shared" si="10"/>
        <v/>
      </c>
      <c r="R135">
        <f t="shared" si="11"/>
        <v>8</v>
      </c>
      <c r="S135" t="str">
        <f t="shared" si="12"/>
        <v/>
      </c>
      <c r="T135">
        <f t="shared" si="13"/>
        <v>2</v>
      </c>
      <c r="U135" t="str">
        <f t="shared" si="14"/>
        <v/>
      </c>
      <c r="V135">
        <f t="shared" si="15"/>
        <v>7</v>
      </c>
      <c r="W135" t="str">
        <f t="shared" si="16"/>
        <v/>
      </c>
      <c r="X135" t="str">
        <f t="shared" si="17"/>
        <v/>
      </c>
      <c r="Y135" t="str">
        <f t="shared" si="18"/>
        <v/>
      </c>
      <c r="Z135">
        <f t="shared" si="19"/>
        <v>1</v>
      </c>
      <c r="AA135" t="str">
        <f t="shared" si="20"/>
        <v/>
      </c>
      <c r="AB135" t="str">
        <f t="shared" si="21"/>
        <v/>
      </c>
      <c r="AC135" t="str">
        <f t="shared" si="22"/>
        <v/>
      </c>
      <c r="AD135" t="str">
        <f t="shared" si="23"/>
        <v/>
      </c>
      <c r="AE135" t="str">
        <f t="shared" si="24"/>
        <v/>
      </c>
      <c r="AF135" t="str">
        <f t="shared" si="25"/>
        <v/>
      </c>
      <c r="AG135" t="str">
        <f t="shared" si="26"/>
        <v/>
      </c>
      <c r="AH135" s="65">
        <f t="array" ref="AH135">if(sum(H135:AG135)=0,,sum(sort(TRANSPOSE(H135:AG135),1,false)))</f>
        <v>42</v>
      </c>
    </row>
    <row r="136" hidden="1">
      <c r="F136" s="4">
        <v>4.0</v>
      </c>
      <c r="G136" s="141" t="str">
        <f>IFERROR(__xludf.DUMMYFUNCTION("""COMPUTED_VALUE"""),"Kearsley")</f>
        <v>Kearsley</v>
      </c>
      <c r="H136">
        <f t="shared" si="1"/>
        <v>7</v>
      </c>
      <c r="I136" t="str">
        <f t="shared" si="2"/>
        <v/>
      </c>
      <c r="J136">
        <f t="shared" si="3"/>
        <v>9</v>
      </c>
      <c r="K136" t="str">
        <f t="shared" si="4"/>
        <v/>
      </c>
      <c r="L136" t="str">
        <f t="shared" si="5"/>
        <v/>
      </c>
      <c r="M136" t="str">
        <f t="shared" si="6"/>
        <v/>
      </c>
      <c r="N136" t="str">
        <f t="shared" si="7"/>
        <v/>
      </c>
      <c r="O136" t="str">
        <f t="shared" si="8"/>
        <v/>
      </c>
      <c r="P136" t="str">
        <f t="shared" si="9"/>
        <v/>
      </c>
      <c r="Q136" t="str">
        <f t="shared" si="10"/>
        <v/>
      </c>
      <c r="R136">
        <f t="shared" si="11"/>
        <v>4</v>
      </c>
      <c r="S136" t="str">
        <f t="shared" si="12"/>
        <v/>
      </c>
      <c r="T136" t="str">
        <f t="shared" si="13"/>
        <v/>
      </c>
      <c r="U136" t="str">
        <f t="shared" si="14"/>
        <v/>
      </c>
      <c r="V136" t="str">
        <f t="shared" si="15"/>
        <v/>
      </c>
      <c r="W136" t="str">
        <f t="shared" si="16"/>
        <v/>
      </c>
      <c r="X136" t="str">
        <f t="shared" si="17"/>
        <v/>
      </c>
      <c r="Y136" t="str">
        <f t="shared" si="18"/>
        <v/>
      </c>
      <c r="Z136" t="str">
        <f t="shared" si="19"/>
        <v/>
      </c>
      <c r="AA136" t="str">
        <f t="shared" si="20"/>
        <v/>
      </c>
      <c r="AB136">
        <f t="shared" si="21"/>
        <v>1</v>
      </c>
      <c r="AC136" t="str">
        <f t="shared" si="22"/>
        <v/>
      </c>
      <c r="AD136" t="str">
        <f t="shared" si="23"/>
        <v/>
      </c>
      <c r="AE136" t="str">
        <f t="shared" si="24"/>
        <v/>
      </c>
      <c r="AF136" t="str">
        <f t="shared" si="25"/>
        <v/>
      </c>
      <c r="AG136" t="str">
        <f t="shared" si="26"/>
        <v/>
      </c>
      <c r="AH136" s="65">
        <f t="array" ref="AH136">if(sum(H136:AG136)=0,,sum(sort(TRANSPOSE(H136:AG136),1,false)))</f>
        <v>21</v>
      </c>
    </row>
    <row r="137" hidden="1">
      <c r="F137" s="4">
        <v>5.0</v>
      </c>
      <c r="G137" s="141" t="str">
        <f>IFERROR(__xludf.DUMMYFUNCTION("""COMPUTED_VALUE"""),"Yale")</f>
        <v>Yale</v>
      </c>
      <c r="H137">
        <f t="shared" si="1"/>
        <v>5</v>
      </c>
      <c r="I137" t="str">
        <f t="shared" si="2"/>
        <v/>
      </c>
      <c r="J137" t="str">
        <f t="shared" si="3"/>
        <v/>
      </c>
      <c r="K137" t="str">
        <f t="shared" si="4"/>
        <v/>
      </c>
      <c r="L137" t="str">
        <f t="shared" si="5"/>
        <v/>
      </c>
      <c r="M137" t="str">
        <f t="shared" si="6"/>
        <v/>
      </c>
      <c r="N137" t="str">
        <f t="shared" si="7"/>
        <v/>
      </c>
      <c r="O137" t="str">
        <f t="shared" si="8"/>
        <v/>
      </c>
      <c r="P137" t="str">
        <f t="shared" si="9"/>
        <v/>
      </c>
      <c r="Q137" t="str">
        <f t="shared" si="10"/>
        <v/>
      </c>
      <c r="R137" t="str">
        <f t="shared" si="11"/>
        <v/>
      </c>
      <c r="S137" t="str">
        <f t="shared" si="12"/>
        <v/>
      </c>
      <c r="T137" t="str">
        <f t="shared" si="13"/>
        <v/>
      </c>
      <c r="U137" t="str">
        <f t="shared" si="14"/>
        <v/>
      </c>
      <c r="V137" t="str">
        <f t="shared" si="15"/>
        <v/>
      </c>
      <c r="W137" t="str">
        <f t="shared" si="16"/>
        <v/>
      </c>
      <c r="X137" t="str">
        <f t="shared" si="17"/>
        <v/>
      </c>
      <c r="Y137" t="str">
        <f t="shared" si="18"/>
        <v/>
      </c>
      <c r="Z137" t="str">
        <f t="shared" si="19"/>
        <v/>
      </c>
      <c r="AA137" t="str">
        <f t="shared" si="20"/>
        <v/>
      </c>
      <c r="AB137">
        <f t="shared" si="21"/>
        <v>6</v>
      </c>
      <c r="AC137" t="str">
        <f t="shared" si="22"/>
        <v/>
      </c>
      <c r="AD137" t="str">
        <f t="shared" si="23"/>
        <v/>
      </c>
      <c r="AE137" t="str">
        <f t="shared" si="24"/>
        <v/>
      </c>
      <c r="AF137" t="str">
        <f t="shared" si="25"/>
        <v/>
      </c>
      <c r="AG137" t="str">
        <f t="shared" si="26"/>
        <v/>
      </c>
      <c r="AH137" s="65">
        <f t="array" ref="AH137">if(sum(H137:AG137)=0,,sum(sort(TRANSPOSE(H137:AG137),1,false)))</f>
        <v>11</v>
      </c>
    </row>
    <row r="138" hidden="1">
      <c r="F138" s="4">
        <v>6.0</v>
      </c>
      <c r="G138" s="141" t="str">
        <f>IFERROR(__xludf.DUMMYFUNCTION("""COMPUTED_VALUE"""),"Elk Rapids")</f>
        <v>Elk Rapids</v>
      </c>
      <c r="H138">
        <f t="shared" si="1"/>
        <v>4</v>
      </c>
      <c r="I138" t="str">
        <f t="shared" si="2"/>
        <v/>
      </c>
      <c r="J138" t="str">
        <f t="shared" si="3"/>
        <v/>
      </c>
      <c r="K138" t="str">
        <f t="shared" si="4"/>
        <v/>
      </c>
      <c r="L138" t="str">
        <f t="shared" si="5"/>
        <v/>
      </c>
      <c r="M138" t="str">
        <f t="shared" si="6"/>
        <v/>
      </c>
      <c r="N138" t="str">
        <f t="shared" si="7"/>
        <v/>
      </c>
      <c r="O138" t="str">
        <f t="shared" si="8"/>
        <v/>
      </c>
      <c r="P138" t="str">
        <f t="shared" si="9"/>
        <v/>
      </c>
      <c r="Q138" t="str">
        <f t="shared" si="10"/>
        <v/>
      </c>
      <c r="R138" t="str">
        <f t="shared" si="11"/>
        <v/>
      </c>
      <c r="S138" t="str">
        <f t="shared" si="12"/>
        <v/>
      </c>
      <c r="T138" t="str">
        <f t="shared" si="13"/>
        <v/>
      </c>
      <c r="U138" t="str">
        <f t="shared" si="14"/>
        <v/>
      </c>
      <c r="V138" t="str">
        <f t="shared" si="15"/>
        <v/>
      </c>
      <c r="W138" t="str">
        <f t="shared" si="16"/>
        <v/>
      </c>
      <c r="X138" t="str">
        <f t="shared" si="17"/>
        <v/>
      </c>
      <c r="Y138" t="str">
        <f t="shared" si="18"/>
        <v/>
      </c>
      <c r="Z138" t="str">
        <f t="shared" si="19"/>
        <v/>
      </c>
      <c r="AA138" t="str">
        <f t="shared" si="20"/>
        <v/>
      </c>
      <c r="AB138" t="str">
        <f t="shared" si="21"/>
        <v/>
      </c>
      <c r="AC138" t="str">
        <f t="shared" si="22"/>
        <v/>
      </c>
      <c r="AD138" t="str">
        <f t="shared" si="23"/>
        <v/>
      </c>
      <c r="AE138" t="str">
        <f t="shared" si="24"/>
        <v/>
      </c>
      <c r="AF138" t="str">
        <f t="shared" si="25"/>
        <v/>
      </c>
      <c r="AG138" t="str">
        <f t="shared" si="26"/>
        <v/>
      </c>
      <c r="AH138" s="65">
        <f t="array" ref="AH138">if(sum(H138:AG138)=0,,sum(sort(TRANSPOSE(H138:AG138),1,false)))</f>
        <v>4</v>
      </c>
    </row>
    <row r="139" hidden="1">
      <c r="F139" s="4">
        <v>7.0</v>
      </c>
      <c r="G139" s="141" t="str">
        <f>IFERROR(__xludf.DUMMYFUNCTION("""COMPUTED_VALUE"""),"Birch Run")</f>
        <v>Birch Run</v>
      </c>
      <c r="H139">
        <f t="shared" si="1"/>
        <v>3</v>
      </c>
      <c r="I139" t="str">
        <f t="shared" si="2"/>
        <v/>
      </c>
      <c r="J139" t="str">
        <f t="shared" si="3"/>
        <v/>
      </c>
      <c r="K139" t="str">
        <f t="shared" si="4"/>
        <v/>
      </c>
      <c r="L139" t="str">
        <f t="shared" si="5"/>
        <v/>
      </c>
      <c r="M139" t="str">
        <f t="shared" si="6"/>
        <v/>
      </c>
      <c r="N139" t="str">
        <f t="shared" si="7"/>
        <v/>
      </c>
      <c r="O139" t="str">
        <f t="shared" si="8"/>
        <v/>
      </c>
      <c r="P139" t="str">
        <f t="shared" si="9"/>
        <v/>
      </c>
      <c r="Q139" t="str">
        <f t="shared" si="10"/>
        <v/>
      </c>
      <c r="R139" t="str">
        <f t="shared" si="11"/>
        <v/>
      </c>
      <c r="S139" t="str">
        <f t="shared" si="12"/>
        <v/>
      </c>
      <c r="T139" t="str">
        <f t="shared" si="13"/>
        <v/>
      </c>
      <c r="U139" t="str">
        <f t="shared" si="14"/>
        <v/>
      </c>
      <c r="V139">
        <f t="shared" si="15"/>
        <v>3</v>
      </c>
      <c r="W139" t="str">
        <f t="shared" si="16"/>
        <v/>
      </c>
      <c r="X139" t="str">
        <f t="shared" si="17"/>
        <v/>
      </c>
      <c r="Y139" t="str">
        <f t="shared" si="18"/>
        <v/>
      </c>
      <c r="Z139" t="str">
        <f t="shared" si="19"/>
        <v/>
      </c>
      <c r="AA139" t="str">
        <f t="shared" si="20"/>
        <v/>
      </c>
      <c r="AB139" t="str">
        <f t="shared" si="21"/>
        <v/>
      </c>
      <c r="AC139" t="str">
        <f t="shared" si="22"/>
        <v/>
      </c>
      <c r="AD139">
        <f t="shared" si="23"/>
        <v>5</v>
      </c>
      <c r="AE139" t="str">
        <f t="shared" si="24"/>
        <v/>
      </c>
      <c r="AF139">
        <f t="shared" si="25"/>
        <v>9</v>
      </c>
      <c r="AG139" t="str">
        <f t="shared" si="26"/>
        <v/>
      </c>
      <c r="AH139" s="65">
        <f t="array" ref="AH139">if(sum(H139:AG139)=0,,sum(sort(TRANSPOSE(H139:AG139),1,false)))</f>
        <v>20</v>
      </c>
    </row>
    <row r="140" hidden="1">
      <c r="F140" s="4">
        <v>8.0</v>
      </c>
      <c r="G140" s="141" t="str">
        <f>IFERROR(__xludf.DUMMYFUNCTION("""COMPUTED_VALUE"""),"")</f>
        <v/>
      </c>
      <c r="H140" t="str">
        <f t="shared" si="1"/>
        <v/>
      </c>
      <c r="I140" t="str">
        <f t="shared" si="2"/>
        <v/>
      </c>
      <c r="J140" t="str">
        <f t="shared" si="3"/>
        <v/>
      </c>
      <c r="K140" t="str">
        <f t="shared" si="4"/>
        <v/>
      </c>
      <c r="L140" t="str">
        <f t="shared" si="5"/>
        <v/>
      </c>
      <c r="M140" t="str">
        <f t="shared" si="6"/>
        <v/>
      </c>
      <c r="N140" t="str">
        <f t="shared" si="7"/>
        <v/>
      </c>
      <c r="O140" t="str">
        <f t="shared" si="8"/>
        <v/>
      </c>
      <c r="P140" t="str">
        <f t="shared" si="9"/>
        <v/>
      </c>
      <c r="Q140" t="str">
        <f t="shared" si="10"/>
        <v/>
      </c>
      <c r="R140" t="str">
        <f t="shared" si="11"/>
        <v/>
      </c>
      <c r="S140" t="str">
        <f t="shared" si="12"/>
        <v/>
      </c>
      <c r="T140" t="str">
        <f t="shared" si="13"/>
        <v/>
      </c>
      <c r="U140" t="str">
        <f t="shared" si="14"/>
        <v/>
      </c>
      <c r="V140" t="str">
        <f t="shared" si="15"/>
        <v/>
      </c>
      <c r="W140" t="str">
        <f t="shared" si="16"/>
        <v/>
      </c>
      <c r="X140" t="str">
        <f t="shared" si="17"/>
        <v/>
      </c>
      <c r="Y140" t="str">
        <f t="shared" si="18"/>
        <v/>
      </c>
      <c r="Z140" t="str">
        <f t="shared" si="19"/>
        <v/>
      </c>
      <c r="AA140" t="str">
        <f t="shared" si="20"/>
        <v/>
      </c>
      <c r="AB140" t="str">
        <f t="shared" si="21"/>
        <v/>
      </c>
      <c r="AC140" t="str">
        <f t="shared" si="22"/>
        <v/>
      </c>
      <c r="AD140" t="str">
        <f t="shared" si="23"/>
        <v/>
      </c>
      <c r="AE140" t="str">
        <f t="shared" si="24"/>
        <v/>
      </c>
      <c r="AF140" t="str">
        <f t="shared" si="25"/>
        <v/>
      </c>
      <c r="AG140" t="str">
        <f t="shared" si="26"/>
        <v/>
      </c>
      <c r="AH140" s="65" t="str">
        <f t="array" ref="AH140">if(sum(H140:AG140)=0,,sum(sort(TRANSPOSE(H140:AG140),1,false)))</f>
        <v/>
      </c>
    </row>
    <row r="141" hidden="1">
      <c r="F141" s="4">
        <v>9.0</v>
      </c>
      <c r="G141" s="141" t="str">
        <f>IFERROR(__xludf.DUMMYFUNCTION("""COMPUTED_VALUE"""),"Whitehall")</f>
        <v>Whitehall</v>
      </c>
      <c r="H141" t="str">
        <f t="shared" si="1"/>
        <v/>
      </c>
      <c r="I141" t="str">
        <f t="shared" si="2"/>
        <v/>
      </c>
      <c r="J141">
        <f t="shared" si="3"/>
        <v>12</v>
      </c>
      <c r="K141" t="str">
        <f t="shared" si="4"/>
        <v/>
      </c>
      <c r="L141">
        <f t="shared" si="5"/>
        <v>2</v>
      </c>
      <c r="M141" t="str">
        <f t="shared" si="6"/>
        <v/>
      </c>
      <c r="N141" t="str">
        <f t="shared" si="7"/>
        <v/>
      </c>
      <c r="O141" t="str">
        <f t="shared" si="8"/>
        <v/>
      </c>
      <c r="P141" t="str">
        <f t="shared" si="9"/>
        <v/>
      </c>
      <c r="Q141" t="str">
        <f t="shared" si="10"/>
        <v/>
      </c>
      <c r="R141" t="str">
        <f t="shared" si="11"/>
        <v/>
      </c>
      <c r="S141" t="str">
        <f t="shared" si="12"/>
        <v/>
      </c>
      <c r="T141" t="str">
        <f t="shared" si="13"/>
        <v/>
      </c>
      <c r="U141" t="str">
        <f t="shared" si="14"/>
        <v/>
      </c>
      <c r="V141" t="str">
        <f t="shared" si="15"/>
        <v/>
      </c>
      <c r="W141" t="str">
        <f t="shared" si="16"/>
        <v/>
      </c>
      <c r="X141">
        <f t="shared" si="17"/>
        <v>1</v>
      </c>
      <c r="Y141" t="str">
        <f t="shared" si="18"/>
        <v/>
      </c>
      <c r="Z141">
        <f t="shared" si="19"/>
        <v>5</v>
      </c>
      <c r="AA141" t="str">
        <f t="shared" si="20"/>
        <v/>
      </c>
      <c r="AB141" t="str">
        <f t="shared" si="21"/>
        <v/>
      </c>
      <c r="AC141" t="str">
        <f t="shared" si="22"/>
        <v/>
      </c>
      <c r="AD141" t="str">
        <f t="shared" si="23"/>
        <v/>
      </c>
      <c r="AE141" t="str">
        <f t="shared" si="24"/>
        <v/>
      </c>
      <c r="AF141" t="str">
        <f t="shared" si="25"/>
        <v/>
      </c>
      <c r="AG141" t="str">
        <f t="shared" si="26"/>
        <v/>
      </c>
      <c r="AH141" s="65">
        <f t="array" ref="AH141">if(sum(H141:AG141)=0,,sum(sort(TRANSPOSE(H141:AG141),1,false)))</f>
        <v>20</v>
      </c>
    </row>
    <row r="142" hidden="1">
      <c r="F142" s="4">
        <v>10.0</v>
      </c>
      <c r="G142" s="141" t="str">
        <f>IFERROR(__xludf.DUMMYFUNCTION("""COMPUTED_VALUE"""),"Edwardsburg")</f>
        <v>Edwardsburg</v>
      </c>
      <c r="H142" t="str">
        <f t="shared" si="1"/>
        <v/>
      </c>
      <c r="I142" t="str">
        <f t="shared" si="2"/>
        <v/>
      </c>
      <c r="J142">
        <f t="shared" si="3"/>
        <v>7</v>
      </c>
      <c r="K142" t="str">
        <f t="shared" si="4"/>
        <v/>
      </c>
      <c r="L142" t="str">
        <f t="shared" si="5"/>
        <v/>
      </c>
      <c r="M142" t="str">
        <f t="shared" si="6"/>
        <v/>
      </c>
      <c r="N142" t="str">
        <f t="shared" si="7"/>
        <v/>
      </c>
      <c r="O142" t="str">
        <f t="shared" si="8"/>
        <v/>
      </c>
      <c r="P142" t="str">
        <f t="shared" si="9"/>
        <v/>
      </c>
      <c r="Q142" t="str">
        <f t="shared" si="10"/>
        <v/>
      </c>
      <c r="R142" t="str">
        <f t="shared" si="11"/>
        <v/>
      </c>
      <c r="S142" t="str">
        <f t="shared" si="12"/>
        <v/>
      </c>
      <c r="T142">
        <f t="shared" si="13"/>
        <v>9</v>
      </c>
      <c r="U142" t="str">
        <f t="shared" si="14"/>
        <v/>
      </c>
      <c r="V142" t="str">
        <f t="shared" si="15"/>
        <v/>
      </c>
      <c r="W142" t="str">
        <f t="shared" si="16"/>
        <v/>
      </c>
      <c r="X142" t="str">
        <f t="shared" si="17"/>
        <v/>
      </c>
      <c r="Y142" t="str">
        <f t="shared" si="18"/>
        <v/>
      </c>
      <c r="Z142" t="str">
        <f t="shared" si="19"/>
        <v/>
      </c>
      <c r="AA142" t="str">
        <f t="shared" si="20"/>
        <v/>
      </c>
      <c r="AB142" t="str">
        <f t="shared" si="21"/>
        <v/>
      </c>
      <c r="AC142" t="str">
        <f t="shared" si="22"/>
        <v/>
      </c>
      <c r="AD142">
        <f t="shared" si="23"/>
        <v>7</v>
      </c>
      <c r="AE142" t="str">
        <f t="shared" si="24"/>
        <v/>
      </c>
      <c r="AF142" t="str">
        <f t="shared" si="25"/>
        <v/>
      </c>
      <c r="AG142" t="str">
        <f t="shared" si="26"/>
        <v/>
      </c>
      <c r="AH142" s="65">
        <f t="array" ref="AH142">if(sum(H142:AG142)=0,,sum(sort(TRANSPOSE(H142:AG142),1,false)))</f>
        <v>23</v>
      </c>
    </row>
    <row r="143" hidden="1">
      <c r="F143" s="4">
        <v>11.0</v>
      </c>
      <c r="G143" s="141" t="str">
        <f>IFERROR(__xludf.DUMMYFUNCTION("""COMPUTED_VALUE"""),"Lake Orion")</f>
        <v>Lake Orion</v>
      </c>
      <c r="H143" t="str">
        <f t="shared" si="1"/>
        <v/>
      </c>
      <c r="I143" t="str">
        <f t="shared" si="2"/>
        <v/>
      </c>
      <c r="J143">
        <f t="shared" si="3"/>
        <v>6</v>
      </c>
      <c r="K143" t="str">
        <f t="shared" si="4"/>
        <v/>
      </c>
      <c r="L143" t="str">
        <f t="shared" si="5"/>
        <v/>
      </c>
      <c r="M143" t="str">
        <f t="shared" si="6"/>
        <v/>
      </c>
      <c r="N143" t="str">
        <f t="shared" si="7"/>
        <v/>
      </c>
      <c r="O143" t="str">
        <f t="shared" si="8"/>
        <v/>
      </c>
      <c r="P143">
        <f t="shared" si="9"/>
        <v>7</v>
      </c>
      <c r="Q143" t="str">
        <f t="shared" si="10"/>
        <v/>
      </c>
      <c r="R143">
        <f t="shared" si="11"/>
        <v>5</v>
      </c>
      <c r="S143" t="str">
        <f t="shared" si="12"/>
        <v/>
      </c>
      <c r="T143" t="str">
        <f t="shared" si="13"/>
        <v/>
      </c>
      <c r="U143" t="str">
        <f t="shared" si="14"/>
        <v/>
      </c>
      <c r="V143">
        <f t="shared" si="15"/>
        <v>5</v>
      </c>
      <c r="W143">
        <f t="shared" si="16"/>
        <v>4</v>
      </c>
      <c r="X143">
        <f t="shared" si="17"/>
        <v>6</v>
      </c>
      <c r="Y143" t="str">
        <f t="shared" si="18"/>
        <v/>
      </c>
      <c r="Z143" t="str">
        <f t="shared" si="19"/>
        <v/>
      </c>
      <c r="AA143" t="str">
        <f t="shared" si="20"/>
        <v/>
      </c>
      <c r="AB143">
        <f t="shared" si="21"/>
        <v>7</v>
      </c>
      <c r="AC143" t="str">
        <f t="shared" si="22"/>
        <v/>
      </c>
      <c r="AD143">
        <f t="shared" si="23"/>
        <v>6</v>
      </c>
      <c r="AE143" t="str">
        <f t="shared" si="24"/>
        <v/>
      </c>
      <c r="AF143" t="str">
        <f t="shared" si="25"/>
        <v/>
      </c>
      <c r="AG143" t="str">
        <f t="shared" si="26"/>
        <v/>
      </c>
      <c r="AH143" s="65">
        <f t="array" ref="AH143">if(sum(H143:AG143)=0,,sum(sort(TRANSPOSE(H143:AG143),1,false)))</f>
        <v>46</v>
      </c>
    </row>
    <row r="144" hidden="1">
      <c r="F144" s="4">
        <v>12.0</v>
      </c>
      <c r="G144" s="141" t="str">
        <f>IFERROR(__xludf.DUMMYFUNCTION("""COMPUTED_VALUE"""),"Brighton")</f>
        <v>Brighton</v>
      </c>
      <c r="H144" t="str">
        <f t="shared" si="1"/>
        <v/>
      </c>
      <c r="I144" t="str">
        <f t="shared" si="2"/>
        <v/>
      </c>
      <c r="J144">
        <f t="shared" si="3"/>
        <v>3</v>
      </c>
      <c r="K144" t="str">
        <f t="shared" si="4"/>
        <v/>
      </c>
      <c r="L144" t="str">
        <f t="shared" si="5"/>
        <v/>
      </c>
      <c r="M144" t="str">
        <f t="shared" si="6"/>
        <v/>
      </c>
      <c r="N144" t="str">
        <f t="shared" si="7"/>
        <v/>
      </c>
      <c r="O144" t="str">
        <f t="shared" si="8"/>
        <v/>
      </c>
      <c r="P144" t="str">
        <f t="shared" si="9"/>
        <v/>
      </c>
      <c r="Q144" t="str">
        <f t="shared" si="10"/>
        <v/>
      </c>
      <c r="R144">
        <f t="shared" si="11"/>
        <v>6</v>
      </c>
      <c r="S144">
        <f t="shared" si="12"/>
        <v>2</v>
      </c>
      <c r="T144" t="str">
        <f t="shared" si="13"/>
        <v/>
      </c>
      <c r="U144" t="str">
        <f t="shared" si="14"/>
        <v/>
      </c>
      <c r="V144">
        <f t="shared" si="15"/>
        <v>1</v>
      </c>
      <c r="W144" t="str">
        <f t="shared" si="16"/>
        <v/>
      </c>
      <c r="X144" t="str">
        <f t="shared" si="17"/>
        <v/>
      </c>
      <c r="Y144" t="str">
        <f t="shared" si="18"/>
        <v/>
      </c>
      <c r="Z144" t="str">
        <f t="shared" si="19"/>
        <v/>
      </c>
      <c r="AA144" t="str">
        <f t="shared" si="20"/>
        <v/>
      </c>
      <c r="AB144" t="str">
        <f t="shared" si="21"/>
        <v/>
      </c>
      <c r="AC144" t="str">
        <f t="shared" si="22"/>
        <v/>
      </c>
      <c r="AD144" t="str">
        <f t="shared" si="23"/>
        <v/>
      </c>
      <c r="AE144" t="str">
        <f t="shared" si="24"/>
        <v/>
      </c>
      <c r="AF144" t="str">
        <f t="shared" si="25"/>
        <v/>
      </c>
      <c r="AG144" t="str">
        <f t="shared" si="26"/>
        <v/>
      </c>
      <c r="AH144" s="65">
        <f t="array" ref="AH144">if(sum(H144:AG144)=0,,sum(sort(TRANSPOSE(H144:AG144),1,false)))</f>
        <v>12</v>
      </c>
    </row>
    <row r="145" hidden="1">
      <c r="F145" s="4">
        <v>13.0</v>
      </c>
      <c r="G145" s="141" t="str">
        <f>IFERROR(__xludf.DUMMYFUNCTION("""COMPUTED_VALUE"""),"Goodrich")</f>
        <v>Goodrich</v>
      </c>
      <c r="H145" t="str">
        <f t="shared" si="1"/>
        <v/>
      </c>
      <c r="I145" t="str">
        <f t="shared" si="2"/>
        <v/>
      </c>
      <c r="J145">
        <f t="shared" si="3"/>
        <v>2</v>
      </c>
      <c r="K145" t="str">
        <f t="shared" si="4"/>
        <v/>
      </c>
      <c r="L145" t="str">
        <f t="shared" si="5"/>
        <v/>
      </c>
      <c r="M145" t="str">
        <f t="shared" si="6"/>
        <v/>
      </c>
      <c r="N145" t="str">
        <f t="shared" si="7"/>
        <v/>
      </c>
      <c r="O145" t="str">
        <f t="shared" si="8"/>
        <v/>
      </c>
      <c r="P145" t="str">
        <f t="shared" si="9"/>
        <v/>
      </c>
      <c r="Q145" t="str">
        <f t="shared" si="10"/>
        <v/>
      </c>
      <c r="R145" t="str">
        <f t="shared" si="11"/>
        <v/>
      </c>
      <c r="S145" t="str">
        <f t="shared" si="12"/>
        <v/>
      </c>
      <c r="T145">
        <f t="shared" si="13"/>
        <v>1</v>
      </c>
      <c r="U145" t="str">
        <f t="shared" si="14"/>
        <v/>
      </c>
      <c r="V145" t="str">
        <f t="shared" si="15"/>
        <v/>
      </c>
      <c r="W145" t="str">
        <f t="shared" si="16"/>
        <v/>
      </c>
      <c r="X145" t="str">
        <f t="shared" si="17"/>
        <v/>
      </c>
      <c r="Y145" t="str">
        <f t="shared" si="18"/>
        <v/>
      </c>
      <c r="Z145">
        <f t="shared" si="19"/>
        <v>8</v>
      </c>
      <c r="AA145" t="str">
        <f t="shared" si="20"/>
        <v/>
      </c>
      <c r="AB145" t="str">
        <f t="shared" si="21"/>
        <v/>
      </c>
      <c r="AC145" t="str">
        <f t="shared" si="22"/>
        <v/>
      </c>
      <c r="AD145" t="str">
        <f t="shared" si="23"/>
        <v/>
      </c>
      <c r="AE145" t="str">
        <f t="shared" si="24"/>
        <v/>
      </c>
      <c r="AF145" t="str">
        <f t="shared" si="25"/>
        <v/>
      </c>
      <c r="AG145" t="str">
        <f t="shared" si="26"/>
        <v/>
      </c>
      <c r="AH145" s="65">
        <f t="array" ref="AH145">if(sum(H145:AG145)=0,,sum(sort(TRANSPOSE(H145:AG145),1,false)))</f>
        <v>11</v>
      </c>
    </row>
    <row r="146" hidden="1">
      <c r="F146" s="4">
        <v>14.0</v>
      </c>
      <c r="G146" t="str">
        <f>IFERROR(__xludf.DUMMYFUNCTION("""COMPUTED_VALUE"""),"Standish-Sterling")</f>
        <v>Standish-Sterling</v>
      </c>
      <c r="H146" t="str">
        <f t="shared" si="1"/>
        <v/>
      </c>
      <c r="I146" t="str">
        <f t="shared" si="2"/>
        <v/>
      </c>
      <c r="J146" t="str">
        <f t="shared" si="3"/>
        <v/>
      </c>
      <c r="K146" t="str">
        <f t="shared" si="4"/>
        <v/>
      </c>
      <c r="L146">
        <f t="shared" si="5"/>
        <v>8</v>
      </c>
      <c r="M146" t="str">
        <f t="shared" si="6"/>
        <v/>
      </c>
      <c r="N146">
        <f t="shared" si="7"/>
        <v>8</v>
      </c>
      <c r="O146">
        <f t="shared" si="8"/>
        <v>1</v>
      </c>
      <c r="P146" t="str">
        <f t="shared" si="9"/>
        <v/>
      </c>
      <c r="Q146" t="str">
        <f t="shared" si="10"/>
        <v/>
      </c>
      <c r="R146" t="str">
        <f t="shared" si="11"/>
        <v/>
      </c>
      <c r="S146" t="str">
        <f t="shared" si="12"/>
        <v/>
      </c>
      <c r="T146">
        <f t="shared" si="13"/>
        <v>8</v>
      </c>
      <c r="U146">
        <f t="shared" si="14"/>
        <v>7</v>
      </c>
      <c r="V146" t="str">
        <f t="shared" si="15"/>
        <v/>
      </c>
      <c r="W146" t="str">
        <f t="shared" si="16"/>
        <v/>
      </c>
      <c r="X146" t="str">
        <f t="shared" si="17"/>
        <v/>
      </c>
      <c r="Y146" t="str">
        <f t="shared" si="18"/>
        <v/>
      </c>
      <c r="Z146" t="str">
        <f t="shared" si="19"/>
        <v/>
      </c>
      <c r="AA146" t="str">
        <f t="shared" si="20"/>
        <v/>
      </c>
      <c r="AB146" t="str">
        <f t="shared" si="21"/>
        <v/>
      </c>
      <c r="AC146" t="str">
        <f t="shared" si="22"/>
        <v/>
      </c>
      <c r="AD146" t="str">
        <f t="shared" si="23"/>
        <v/>
      </c>
      <c r="AE146" t="str">
        <f t="shared" si="24"/>
        <v/>
      </c>
      <c r="AF146" t="str">
        <f t="shared" si="25"/>
        <v/>
      </c>
      <c r="AG146" t="str">
        <f t="shared" si="26"/>
        <v/>
      </c>
      <c r="AH146" s="65">
        <f t="array" ref="AH146">if(sum(H146:AG146)=0,,sum(sort(TRANSPOSE(H146:AG146),1,false)))</f>
        <v>32</v>
      </c>
    </row>
    <row r="147" hidden="1">
      <c r="F147" s="4">
        <v>15.0</v>
      </c>
      <c r="G147" t="str">
        <f>IFERROR(__xludf.DUMMYFUNCTION("""COMPUTED_VALUE"""),"Port Huron")</f>
        <v>Port Huron</v>
      </c>
      <c r="H147" t="str">
        <f t="shared" si="1"/>
        <v/>
      </c>
      <c r="I147" t="str">
        <f t="shared" si="2"/>
        <v/>
      </c>
      <c r="J147" t="str">
        <f t="shared" si="3"/>
        <v/>
      </c>
      <c r="K147" t="str">
        <f t="shared" si="4"/>
        <v/>
      </c>
      <c r="L147">
        <f t="shared" si="5"/>
        <v>6</v>
      </c>
      <c r="M147">
        <f t="shared" si="6"/>
        <v>4</v>
      </c>
      <c r="N147">
        <f t="shared" si="7"/>
        <v>6</v>
      </c>
      <c r="O147" t="str">
        <f t="shared" si="8"/>
        <v/>
      </c>
      <c r="P147">
        <f t="shared" si="9"/>
        <v>5</v>
      </c>
      <c r="Q147">
        <f t="shared" si="10"/>
        <v>3</v>
      </c>
      <c r="R147">
        <f t="shared" si="11"/>
        <v>7</v>
      </c>
      <c r="S147" t="str">
        <f t="shared" si="12"/>
        <v/>
      </c>
      <c r="T147" t="str">
        <f t="shared" si="13"/>
        <v/>
      </c>
      <c r="U147" t="str">
        <f t="shared" si="14"/>
        <v/>
      </c>
      <c r="V147" t="str">
        <f t="shared" si="15"/>
        <v/>
      </c>
      <c r="W147" t="str">
        <f t="shared" si="16"/>
        <v/>
      </c>
      <c r="X147">
        <f t="shared" si="17"/>
        <v>8</v>
      </c>
      <c r="Y147" t="str">
        <f t="shared" si="18"/>
        <v/>
      </c>
      <c r="Z147" t="str">
        <f t="shared" si="19"/>
        <v/>
      </c>
      <c r="AA147" t="str">
        <f t="shared" si="20"/>
        <v/>
      </c>
      <c r="AB147">
        <f t="shared" si="21"/>
        <v>12</v>
      </c>
      <c r="AC147">
        <f t="shared" si="22"/>
        <v>4</v>
      </c>
      <c r="AD147">
        <f t="shared" si="23"/>
        <v>9</v>
      </c>
      <c r="AE147">
        <f t="shared" si="24"/>
        <v>8</v>
      </c>
      <c r="AF147">
        <f t="shared" si="25"/>
        <v>8</v>
      </c>
      <c r="AG147">
        <f t="shared" si="26"/>
        <v>3</v>
      </c>
      <c r="AH147" s="65">
        <f t="array" ref="AH147">if(sum(H147:AG147)=0,,sum(sort(TRANSPOSE(H147:AG147),1,false)))</f>
        <v>73</v>
      </c>
    </row>
    <row r="148" hidden="1">
      <c r="F148" s="4">
        <v>16.0</v>
      </c>
      <c r="G148" t="str">
        <f>IFERROR(__xludf.DUMMYFUNCTION("""COMPUTED_VALUE"""),"Traverse City West")</f>
        <v>Traverse City West</v>
      </c>
      <c r="H148" t="str">
        <f t="shared" si="1"/>
        <v/>
      </c>
      <c r="I148" t="str">
        <f t="shared" si="2"/>
        <v/>
      </c>
      <c r="J148" t="str">
        <f t="shared" si="3"/>
        <v/>
      </c>
      <c r="K148" t="str">
        <f t="shared" si="4"/>
        <v/>
      </c>
      <c r="L148">
        <f t="shared" si="5"/>
        <v>5</v>
      </c>
      <c r="M148" t="str">
        <f t="shared" si="6"/>
        <v/>
      </c>
      <c r="N148">
        <f t="shared" si="7"/>
        <v>4</v>
      </c>
      <c r="O148" t="str">
        <f t="shared" si="8"/>
        <v/>
      </c>
      <c r="P148" t="str">
        <f t="shared" si="9"/>
        <v/>
      </c>
      <c r="Q148" t="str">
        <f t="shared" si="10"/>
        <v/>
      </c>
      <c r="R148" t="str">
        <f t="shared" si="11"/>
        <v/>
      </c>
      <c r="S148" t="str">
        <f t="shared" si="12"/>
        <v/>
      </c>
      <c r="T148" t="str">
        <f t="shared" si="13"/>
        <v/>
      </c>
      <c r="U148" t="str">
        <f t="shared" si="14"/>
        <v/>
      </c>
      <c r="V148" t="str">
        <f t="shared" si="15"/>
        <v/>
      </c>
      <c r="W148" t="str">
        <f t="shared" si="16"/>
        <v/>
      </c>
      <c r="X148" t="str">
        <f t="shared" si="17"/>
        <v/>
      </c>
      <c r="Y148" t="str">
        <f t="shared" si="18"/>
        <v/>
      </c>
      <c r="Z148" t="str">
        <f t="shared" si="19"/>
        <v/>
      </c>
      <c r="AA148" t="str">
        <f t="shared" si="20"/>
        <v/>
      </c>
      <c r="AB148" t="str">
        <f t="shared" si="21"/>
        <v/>
      </c>
      <c r="AC148" t="str">
        <f t="shared" si="22"/>
        <v/>
      </c>
      <c r="AD148" t="str">
        <f t="shared" si="23"/>
        <v/>
      </c>
      <c r="AE148" t="str">
        <f t="shared" si="24"/>
        <v/>
      </c>
      <c r="AF148" t="str">
        <f t="shared" si="25"/>
        <v/>
      </c>
      <c r="AG148" t="str">
        <f t="shared" si="26"/>
        <v/>
      </c>
      <c r="AH148" s="65">
        <f t="array" ref="AH148">if(sum(H148:AG148)=0,,sum(sort(TRANSPOSE(H148:AG148),1,false)))</f>
        <v>9</v>
      </c>
    </row>
    <row r="149" hidden="1">
      <c r="F149" s="4">
        <v>17.0</v>
      </c>
      <c r="G149" t="str">
        <f>IFERROR(__xludf.DUMMYFUNCTION("""COMPUTED_VALUE"""),"North Branch")</f>
        <v>North Branch</v>
      </c>
      <c r="H149" t="str">
        <f t="shared" si="1"/>
        <v/>
      </c>
      <c r="I149" t="str">
        <f t="shared" si="2"/>
        <v/>
      </c>
      <c r="J149" t="str">
        <f t="shared" si="3"/>
        <v/>
      </c>
      <c r="K149" t="str">
        <f t="shared" si="4"/>
        <v/>
      </c>
      <c r="L149">
        <f t="shared" si="5"/>
        <v>3</v>
      </c>
      <c r="M149" t="str">
        <f t="shared" si="6"/>
        <v/>
      </c>
      <c r="N149" t="str">
        <f t="shared" si="7"/>
        <v/>
      </c>
      <c r="O149" t="str">
        <f t="shared" si="8"/>
        <v/>
      </c>
      <c r="P149" t="str">
        <f t="shared" si="9"/>
        <v/>
      </c>
      <c r="Q149" t="str">
        <f t="shared" si="10"/>
        <v/>
      </c>
      <c r="R149" t="str">
        <f t="shared" si="11"/>
        <v/>
      </c>
      <c r="S149" t="str">
        <f t="shared" si="12"/>
        <v/>
      </c>
      <c r="T149" t="str">
        <f t="shared" si="13"/>
        <v/>
      </c>
      <c r="U149" t="str">
        <f t="shared" si="14"/>
        <v/>
      </c>
      <c r="V149" t="str">
        <f t="shared" si="15"/>
        <v/>
      </c>
      <c r="W149" t="str">
        <f t="shared" si="16"/>
        <v/>
      </c>
      <c r="X149" t="str">
        <f t="shared" si="17"/>
        <v/>
      </c>
      <c r="Y149" t="str">
        <f t="shared" si="18"/>
        <v/>
      </c>
      <c r="Z149" t="str">
        <f t="shared" si="19"/>
        <v/>
      </c>
      <c r="AA149" t="str">
        <f t="shared" si="20"/>
        <v/>
      </c>
      <c r="AB149" t="str">
        <f t="shared" si="21"/>
        <v/>
      </c>
      <c r="AC149" t="str">
        <f t="shared" si="22"/>
        <v/>
      </c>
      <c r="AD149" t="str">
        <f t="shared" si="23"/>
        <v/>
      </c>
      <c r="AE149" t="str">
        <f t="shared" si="24"/>
        <v/>
      </c>
      <c r="AF149">
        <f t="shared" si="25"/>
        <v>6</v>
      </c>
      <c r="AG149" t="str">
        <f t="shared" si="26"/>
        <v/>
      </c>
      <c r="AH149" s="65">
        <f t="array" ref="AH149">if(sum(H149:AG149)=0,,sum(sort(TRANSPOSE(H149:AG149),1,false)))</f>
        <v>9</v>
      </c>
    </row>
    <row r="150" hidden="1">
      <c r="F150" s="4">
        <v>18.0</v>
      </c>
      <c r="G150" t="str">
        <f>IFERROR(__xludf.DUMMYFUNCTION("""COMPUTED_VALUE"""),"Central Lake")</f>
        <v>Central Lake</v>
      </c>
      <c r="H150" t="str">
        <f t="shared" si="1"/>
        <v/>
      </c>
      <c r="I150" t="str">
        <f t="shared" si="2"/>
        <v/>
      </c>
      <c r="J150" t="str">
        <f t="shared" si="3"/>
        <v/>
      </c>
      <c r="K150" t="str">
        <f t="shared" si="4"/>
        <v/>
      </c>
      <c r="L150" t="str">
        <f t="shared" si="5"/>
        <v/>
      </c>
      <c r="M150" t="str">
        <f t="shared" si="6"/>
        <v/>
      </c>
      <c r="N150">
        <f t="shared" si="7"/>
        <v>5</v>
      </c>
      <c r="O150" t="str">
        <f t="shared" si="8"/>
        <v/>
      </c>
      <c r="P150" t="str">
        <f t="shared" si="9"/>
        <v/>
      </c>
      <c r="Q150" t="str">
        <f t="shared" si="10"/>
        <v/>
      </c>
      <c r="R150" t="str">
        <f t="shared" si="11"/>
        <v/>
      </c>
      <c r="S150" t="str">
        <f t="shared" si="12"/>
        <v/>
      </c>
      <c r="T150" t="str">
        <f t="shared" si="13"/>
        <v/>
      </c>
      <c r="U150" t="str">
        <f t="shared" si="14"/>
        <v/>
      </c>
      <c r="V150">
        <f t="shared" si="15"/>
        <v>9</v>
      </c>
      <c r="W150" t="str">
        <f t="shared" si="16"/>
        <v/>
      </c>
      <c r="X150">
        <f t="shared" si="17"/>
        <v>12</v>
      </c>
      <c r="Y150" t="str">
        <f t="shared" si="18"/>
        <v/>
      </c>
      <c r="Z150" t="str">
        <f t="shared" si="19"/>
        <v/>
      </c>
      <c r="AA150" t="str">
        <f t="shared" si="20"/>
        <v/>
      </c>
      <c r="AB150" t="str">
        <f t="shared" si="21"/>
        <v/>
      </c>
      <c r="AC150" t="str">
        <f t="shared" si="22"/>
        <v/>
      </c>
      <c r="AD150" t="str">
        <f t="shared" si="23"/>
        <v/>
      </c>
      <c r="AE150" t="str">
        <f t="shared" si="24"/>
        <v/>
      </c>
      <c r="AF150" t="str">
        <f t="shared" si="25"/>
        <v/>
      </c>
      <c r="AG150" t="str">
        <f t="shared" si="26"/>
        <v/>
      </c>
      <c r="AH150" s="65">
        <f t="array" ref="AH150">if(sum(H150:AG150)=0,,sum(sort(TRANSPOSE(H150:AG150),1,false)))</f>
        <v>26</v>
      </c>
    </row>
    <row r="151" hidden="1">
      <c r="F151" s="4">
        <v>19.0</v>
      </c>
      <c r="G151" t="str">
        <f>IFERROR(__xludf.DUMMYFUNCTION("""COMPUTED_VALUE"""),"Almont")</f>
        <v>Almont</v>
      </c>
      <c r="H151" t="str">
        <f t="shared" si="1"/>
        <v/>
      </c>
      <c r="I151" t="str">
        <f t="shared" si="2"/>
        <v/>
      </c>
      <c r="J151" t="str">
        <f t="shared" si="3"/>
        <v/>
      </c>
      <c r="K151" t="str">
        <f t="shared" si="4"/>
        <v/>
      </c>
      <c r="L151" t="str">
        <f t="shared" si="5"/>
        <v/>
      </c>
      <c r="M151" t="str">
        <f t="shared" si="6"/>
        <v/>
      </c>
      <c r="N151">
        <f t="shared" si="7"/>
        <v>3</v>
      </c>
      <c r="O151" t="str">
        <f t="shared" si="8"/>
        <v/>
      </c>
      <c r="P151">
        <f t="shared" si="9"/>
        <v>6</v>
      </c>
      <c r="Q151" t="str">
        <f t="shared" si="10"/>
        <v/>
      </c>
      <c r="R151" t="str">
        <f t="shared" si="11"/>
        <v/>
      </c>
      <c r="S151" t="str">
        <f t="shared" si="12"/>
        <v/>
      </c>
      <c r="T151" t="str">
        <f t="shared" si="13"/>
        <v/>
      </c>
      <c r="U151" t="str">
        <f t="shared" si="14"/>
        <v/>
      </c>
      <c r="V151" t="str">
        <f t="shared" si="15"/>
        <v/>
      </c>
      <c r="W151" t="str">
        <f t="shared" si="16"/>
        <v/>
      </c>
      <c r="X151" t="str">
        <f t="shared" si="17"/>
        <v/>
      </c>
      <c r="Y151" t="str">
        <f t="shared" si="18"/>
        <v/>
      </c>
      <c r="Z151" t="str">
        <f t="shared" si="19"/>
        <v/>
      </c>
      <c r="AA151" t="str">
        <f t="shared" si="20"/>
        <v/>
      </c>
      <c r="AB151" t="str">
        <f t="shared" si="21"/>
        <v/>
      </c>
      <c r="AC151" t="str">
        <f t="shared" si="22"/>
        <v/>
      </c>
      <c r="AD151" t="str">
        <f t="shared" si="23"/>
        <v/>
      </c>
      <c r="AE151" t="str">
        <f t="shared" si="24"/>
        <v/>
      </c>
      <c r="AF151" t="str">
        <f t="shared" si="25"/>
        <v/>
      </c>
      <c r="AG151" t="str">
        <f t="shared" si="26"/>
        <v/>
      </c>
      <c r="AH151" s="65">
        <f t="array" ref="AH151">if(sum(H151:AG151)=0,,sum(sort(TRANSPOSE(H151:AG151),1,false)))</f>
        <v>9</v>
      </c>
    </row>
    <row r="152" hidden="1">
      <c r="F152" s="4">
        <v>20.0</v>
      </c>
      <c r="G152" t="str">
        <f>IFERROR(__xludf.DUMMYFUNCTION("""COMPUTED_VALUE"""),"Grand Haven")</f>
        <v>Grand Haven</v>
      </c>
      <c r="H152" t="str">
        <f t="shared" si="1"/>
        <v/>
      </c>
      <c r="I152" t="str">
        <f t="shared" si="2"/>
        <v/>
      </c>
      <c r="J152" t="str">
        <f t="shared" si="3"/>
        <v/>
      </c>
      <c r="K152" t="str">
        <f t="shared" si="4"/>
        <v/>
      </c>
      <c r="L152" t="str">
        <f t="shared" si="5"/>
        <v/>
      </c>
      <c r="M152" t="str">
        <f t="shared" si="6"/>
        <v/>
      </c>
      <c r="N152">
        <f t="shared" si="7"/>
        <v>2</v>
      </c>
      <c r="O152" t="str">
        <f t="shared" si="8"/>
        <v/>
      </c>
      <c r="P152" t="str">
        <f t="shared" si="9"/>
        <v/>
      </c>
      <c r="Q152" t="str">
        <f t="shared" si="10"/>
        <v/>
      </c>
      <c r="R152" t="str">
        <f t="shared" si="11"/>
        <v/>
      </c>
      <c r="S152" t="str">
        <f t="shared" si="12"/>
        <v/>
      </c>
      <c r="T152" t="str">
        <f t="shared" si="13"/>
        <v/>
      </c>
      <c r="U152" t="str">
        <f t="shared" si="14"/>
        <v/>
      </c>
      <c r="V152" t="str">
        <f t="shared" si="15"/>
        <v/>
      </c>
      <c r="W152" t="str">
        <f t="shared" si="16"/>
        <v/>
      </c>
      <c r="X152" t="str">
        <f t="shared" si="17"/>
        <v/>
      </c>
      <c r="Y152" t="str">
        <f t="shared" si="18"/>
        <v/>
      </c>
      <c r="Z152" t="str">
        <f t="shared" si="19"/>
        <v/>
      </c>
      <c r="AA152" t="str">
        <f t="shared" si="20"/>
        <v/>
      </c>
      <c r="AB152" t="str">
        <f t="shared" si="21"/>
        <v/>
      </c>
      <c r="AC152" t="str">
        <f t="shared" si="22"/>
        <v/>
      </c>
      <c r="AD152" t="str">
        <f t="shared" si="23"/>
        <v/>
      </c>
      <c r="AE152" t="str">
        <f t="shared" si="24"/>
        <v/>
      </c>
      <c r="AF152" t="str">
        <f t="shared" si="25"/>
        <v/>
      </c>
      <c r="AG152" t="str">
        <f t="shared" si="26"/>
        <v/>
      </c>
      <c r="AH152" s="65">
        <f t="array" ref="AH152">if(sum(H152:AG152)=0,,sum(sort(TRANSPOSE(H152:AG152),1,false)))</f>
        <v>2</v>
      </c>
    </row>
    <row r="153" hidden="1">
      <c r="F153" s="4">
        <v>21.0</v>
      </c>
      <c r="G153" t="str">
        <f>IFERROR(__xludf.DUMMYFUNCTION("""COMPUTED_VALUE"""),"Independent")</f>
        <v>Independent</v>
      </c>
      <c r="H153" t="str">
        <f t="shared" si="1"/>
        <v/>
      </c>
      <c r="I153" t="str">
        <f t="shared" si="2"/>
        <v/>
      </c>
      <c r="J153" t="str">
        <f t="shared" si="3"/>
        <v/>
      </c>
      <c r="K153" t="str">
        <f t="shared" si="4"/>
        <v/>
      </c>
      <c r="L153" t="str">
        <f t="shared" si="5"/>
        <v/>
      </c>
      <c r="M153" t="str">
        <f t="shared" si="6"/>
        <v/>
      </c>
      <c r="N153" t="str">
        <f t="shared" si="7"/>
        <v/>
      </c>
      <c r="O153" t="str">
        <f t="shared" si="8"/>
        <v/>
      </c>
      <c r="P153">
        <f t="shared" si="9"/>
        <v>9</v>
      </c>
      <c r="Q153" t="str">
        <f t="shared" si="10"/>
        <v/>
      </c>
      <c r="R153" t="str">
        <f t="shared" si="11"/>
        <v/>
      </c>
      <c r="S153" t="str">
        <f t="shared" si="12"/>
        <v/>
      </c>
      <c r="T153" t="str">
        <f t="shared" si="13"/>
        <v/>
      </c>
      <c r="U153" t="str">
        <f t="shared" si="14"/>
        <v/>
      </c>
      <c r="V153" t="str">
        <f t="shared" si="15"/>
        <v/>
      </c>
      <c r="W153" t="str">
        <f t="shared" si="16"/>
        <v/>
      </c>
      <c r="X153" t="str">
        <f t="shared" si="17"/>
        <v/>
      </c>
      <c r="Y153" t="str">
        <f t="shared" si="18"/>
        <v/>
      </c>
      <c r="Z153" t="str">
        <f t="shared" si="19"/>
        <v/>
      </c>
      <c r="AA153" t="str">
        <f t="shared" si="20"/>
        <v/>
      </c>
      <c r="AB153" t="str">
        <f t="shared" si="21"/>
        <v/>
      </c>
      <c r="AC153" t="str">
        <f t="shared" si="22"/>
        <v/>
      </c>
      <c r="AD153" t="str">
        <f t="shared" si="23"/>
        <v/>
      </c>
      <c r="AE153" t="str">
        <f t="shared" si="24"/>
        <v/>
      </c>
      <c r="AF153" t="str">
        <f t="shared" si="25"/>
        <v/>
      </c>
      <c r="AG153" t="str">
        <f t="shared" si="26"/>
        <v/>
      </c>
      <c r="AH153" s="65">
        <f t="array" ref="AH153">if(sum(H153:AG153)=0,,sum(sort(TRANSPOSE(H153:AG153),1,false)))</f>
        <v>9</v>
      </c>
    </row>
    <row r="154" hidden="1">
      <c r="F154" s="4">
        <v>22.0</v>
      </c>
      <c r="G154" t="str">
        <f>IFERROR(__xludf.DUMMYFUNCTION("""COMPUTED_VALUE"""),"Mona Shores")</f>
        <v>Mona Shores</v>
      </c>
      <c r="H154" t="str">
        <f t="shared" si="1"/>
        <v/>
      </c>
      <c r="I154" t="str">
        <f t="shared" si="2"/>
        <v/>
      </c>
      <c r="J154" t="str">
        <f t="shared" si="3"/>
        <v/>
      </c>
      <c r="K154" t="str">
        <f t="shared" si="4"/>
        <v/>
      </c>
      <c r="L154" t="str">
        <f t="shared" si="5"/>
        <v/>
      </c>
      <c r="M154" t="str">
        <f t="shared" si="6"/>
        <v/>
      </c>
      <c r="N154" t="str">
        <f t="shared" si="7"/>
        <v/>
      </c>
      <c r="O154" t="str">
        <f t="shared" si="8"/>
        <v/>
      </c>
      <c r="P154">
        <f t="shared" si="9"/>
        <v>2</v>
      </c>
      <c r="Q154" t="str">
        <f t="shared" si="10"/>
        <v/>
      </c>
      <c r="R154" t="str">
        <f t="shared" si="11"/>
        <v/>
      </c>
      <c r="S154" t="str">
        <f t="shared" si="12"/>
        <v/>
      </c>
      <c r="T154" t="str">
        <f t="shared" si="13"/>
        <v/>
      </c>
      <c r="U154" t="str">
        <f t="shared" si="14"/>
        <v/>
      </c>
      <c r="V154" t="str">
        <f t="shared" si="15"/>
        <v/>
      </c>
      <c r="W154" t="str">
        <f t="shared" si="16"/>
        <v/>
      </c>
      <c r="X154" t="str">
        <f t="shared" si="17"/>
        <v/>
      </c>
      <c r="Y154" t="str">
        <f t="shared" si="18"/>
        <v/>
      </c>
      <c r="Z154" t="str">
        <f t="shared" si="19"/>
        <v/>
      </c>
      <c r="AA154" t="str">
        <f t="shared" si="20"/>
        <v/>
      </c>
      <c r="AB154" t="str">
        <f t="shared" si="21"/>
        <v/>
      </c>
      <c r="AC154" t="str">
        <f t="shared" si="22"/>
        <v/>
      </c>
      <c r="AD154" t="str">
        <f t="shared" si="23"/>
        <v/>
      </c>
      <c r="AE154" t="str">
        <f t="shared" si="24"/>
        <v/>
      </c>
      <c r="AF154" t="str">
        <f t="shared" si="25"/>
        <v/>
      </c>
      <c r="AG154" t="str">
        <f t="shared" si="26"/>
        <v/>
      </c>
      <c r="AH154" s="65">
        <f t="array" ref="AH154">if(sum(H154:AG154)=0,,sum(sort(TRANSPOSE(H154:AG154),1,false)))</f>
        <v>2</v>
      </c>
    </row>
    <row r="155" hidden="1">
      <c r="F155" s="4">
        <v>23.0</v>
      </c>
      <c r="G155" t="str">
        <f>IFERROR(__xludf.DUMMYFUNCTION("""COMPUTED_VALUE"""),"Flushing")</f>
        <v>Flushing</v>
      </c>
      <c r="H155" t="str">
        <f t="shared" si="1"/>
        <v/>
      </c>
      <c r="I155" t="str">
        <f t="shared" si="2"/>
        <v/>
      </c>
      <c r="J155" t="str">
        <f t="shared" si="3"/>
        <v/>
      </c>
      <c r="K155" t="str">
        <f t="shared" si="4"/>
        <v/>
      </c>
      <c r="L155" t="str">
        <f t="shared" si="5"/>
        <v/>
      </c>
      <c r="M155" t="str">
        <f t="shared" si="6"/>
        <v/>
      </c>
      <c r="N155" t="str">
        <f t="shared" si="7"/>
        <v/>
      </c>
      <c r="O155" t="str">
        <f t="shared" si="8"/>
        <v/>
      </c>
      <c r="P155">
        <f t="shared" si="9"/>
        <v>1</v>
      </c>
      <c r="Q155" t="str">
        <f t="shared" si="10"/>
        <v/>
      </c>
      <c r="R155" t="str">
        <f t="shared" si="11"/>
        <v/>
      </c>
      <c r="S155" t="str">
        <f t="shared" si="12"/>
        <v/>
      </c>
      <c r="T155">
        <f t="shared" si="13"/>
        <v>5</v>
      </c>
      <c r="U155" t="str">
        <f t="shared" si="14"/>
        <v/>
      </c>
      <c r="V155" t="str">
        <f t="shared" si="15"/>
        <v/>
      </c>
      <c r="W155" t="str">
        <f t="shared" si="16"/>
        <v/>
      </c>
      <c r="X155">
        <f t="shared" si="17"/>
        <v>2</v>
      </c>
      <c r="Y155" t="str">
        <f t="shared" si="18"/>
        <v/>
      </c>
      <c r="Z155">
        <f t="shared" si="19"/>
        <v>12</v>
      </c>
      <c r="AA155" t="str">
        <f t="shared" si="20"/>
        <v/>
      </c>
      <c r="AB155" t="str">
        <f t="shared" si="21"/>
        <v/>
      </c>
      <c r="AC155" t="str">
        <f t="shared" si="22"/>
        <v/>
      </c>
      <c r="AD155" t="str">
        <f t="shared" si="23"/>
        <v/>
      </c>
      <c r="AE155" t="str">
        <f t="shared" si="24"/>
        <v/>
      </c>
      <c r="AF155" t="str">
        <f t="shared" si="25"/>
        <v/>
      </c>
      <c r="AG155" t="str">
        <f t="shared" si="26"/>
        <v/>
      </c>
      <c r="AH155" s="65">
        <f t="array" ref="AH155">if(sum(H155:AG155)=0,,sum(sort(TRANSPOSE(H155:AG155),1,false)))</f>
        <v>20</v>
      </c>
    </row>
    <row r="156" hidden="1">
      <c r="F156" s="4">
        <v>24.0</v>
      </c>
      <c r="G156" t="str">
        <f>IFERROR(__xludf.DUMMYFUNCTION("""COMPUTED_VALUE"""),"Montague")</f>
        <v>Montague</v>
      </c>
      <c r="H156" t="str">
        <f t="shared" si="1"/>
        <v/>
      </c>
      <c r="I156" t="str">
        <f t="shared" si="2"/>
        <v/>
      </c>
      <c r="J156" t="str">
        <f t="shared" si="3"/>
        <v/>
      </c>
      <c r="K156" t="str">
        <f t="shared" si="4"/>
        <v/>
      </c>
      <c r="L156" t="str">
        <f t="shared" si="5"/>
        <v/>
      </c>
      <c r="M156" t="str">
        <f t="shared" si="6"/>
        <v/>
      </c>
      <c r="N156" t="str">
        <f t="shared" si="7"/>
        <v/>
      </c>
      <c r="O156" t="str">
        <f t="shared" si="8"/>
        <v/>
      </c>
      <c r="P156" t="str">
        <f t="shared" si="9"/>
        <v/>
      </c>
      <c r="Q156" t="str">
        <f t="shared" si="10"/>
        <v/>
      </c>
      <c r="R156">
        <f t="shared" si="11"/>
        <v>12</v>
      </c>
      <c r="S156" t="str">
        <f t="shared" si="12"/>
        <v/>
      </c>
      <c r="T156" t="str">
        <f t="shared" si="13"/>
        <v/>
      </c>
      <c r="U156" t="str">
        <f t="shared" si="14"/>
        <v/>
      </c>
      <c r="V156" t="str">
        <f t="shared" si="15"/>
        <v/>
      </c>
      <c r="W156" t="str">
        <f t="shared" si="16"/>
        <v/>
      </c>
      <c r="X156">
        <f t="shared" si="17"/>
        <v>5</v>
      </c>
      <c r="Y156" t="str">
        <f t="shared" si="18"/>
        <v/>
      </c>
      <c r="Z156" t="str">
        <f t="shared" si="19"/>
        <v/>
      </c>
      <c r="AA156" t="str">
        <f t="shared" si="20"/>
        <v/>
      </c>
      <c r="AB156" t="str">
        <f t="shared" si="21"/>
        <v/>
      </c>
      <c r="AC156" t="str">
        <f t="shared" si="22"/>
        <v/>
      </c>
      <c r="AD156">
        <f t="shared" si="23"/>
        <v>12</v>
      </c>
      <c r="AE156" t="str">
        <f t="shared" si="24"/>
        <v/>
      </c>
      <c r="AF156">
        <f t="shared" si="25"/>
        <v>4</v>
      </c>
      <c r="AG156" t="str">
        <f t="shared" si="26"/>
        <v/>
      </c>
      <c r="AH156" s="65">
        <f t="array" ref="AH156">if(sum(H156:AG156)=0,,sum(sort(TRANSPOSE(H156:AG156),1,false)))</f>
        <v>33</v>
      </c>
    </row>
    <row r="157" hidden="1">
      <c r="F157" s="4">
        <v>25.0</v>
      </c>
      <c r="G157" t="str">
        <f>IFERROR(__xludf.DUMMYFUNCTION("""COMPUTED_VALUE"""),"Climax-Scotts")</f>
        <v>Climax-Scotts</v>
      </c>
      <c r="H157" t="str">
        <f t="shared" si="1"/>
        <v/>
      </c>
      <c r="I157" t="str">
        <f t="shared" si="2"/>
        <v/>
      </c>
      <c r="J157" t="str">
        <f t="shared" si="3"/>
        <v/>
      </c>
      <c r="K157" t="str">
        <f t="shared" si="4"/>
        <v/>
      </c>
      <c r="L157" t="str">
        <f t="shared" si="5"/>
        <v/>
      </c>
      <c r="M157" t="str">
        <f t="shared" si="6"/>
        <v/>
      </c>
      <c r="N157" t="str">
        <f t="shared" si="7"/>
        <v/>
      </c>
      <c r="O157" t="str">
        <f t="shared" si="8"/>
        <v/>
      </c>
      <c r="P157" t="str">
        <f t="shared" si="9"/>
        <v/>
      </c>
      <c r="Q157" t="str">
        <f t="shared" si="10"/>
        <v/>
      </c>
      <c r="R157">
        <f t="shared" si="11"/>
        <v>9</v>
      </c>
      <c r="S157" t="str">
        <f t="shared" si="12"/>
        <v/>
      </c>
      <c r="T157" t="str">
        <f t="shared" si="13"/>
        <v/>
      </c>
      <c r="U157" t="str">
        <f t="shared" si="14"/>
        <v/>
      </c>
      <c r="V157" t="str">
        <f t="shared" si="15"/>
        <v/>
      </c>
      <c r="W157" t="str">
        <f t="shared" si="16"/>
        <v/>
      </c>
      <c r="X157" t="str">
        <f t="shared" si="17"/>
        <v/>
      </c>
      <c r="Y157" t="str">
        <f t="shared" si="18"/>
        <v/>
      </c>
      <c r="Z157" t="str">
        <f t="shared" si="19"/>
        <v/>
      </c>
      <c r="AA157" t="str">
        <f t="shared" si="20"/>
        <v/>
      </c>
      <c r="AB157" t="str">
        <f t="shared" si="21"/>
        <v/>
      </c>
      <c r="AC157" t="str">
        <f t="shared" si="22"/>
        <v/>
      </c>
      <c r="AD157" t="str">
        <f t="shared" si="23"/>
        <v/>
      </c>
      <c r="AE157" t="str">
        <f t="shared" si="24"/>
        <v/>
      </c>
      <c r="AF157" t="str">
        <f t="shared" si="25"/>
        <v/>
      </c>
      <c r="AG157" t="str">
        <f t="shared" si="26"/>
        <v/>
      </c>
      <c r="AH157" s="65">
        <f t="array" ref="AH157">if(sum(H157:AG157)=0,,sum(sort(TRANSPOSE(H157:AG157),1,false)))</f>
        <v>9</v>
      </c>
    </row>
    <row r="158" hidden="1">
      <c r="F158" s="4">
        <v>26.0</v>
      </c>
      <c r="G158" t="str">
        <f>IFERROR(__xludf.DUMMYFUNCTION("""COMPUTED_VALUE"""),"Davison")</f>
        <v>Davison</v>
      </c>
      <c r="H158" t="str">
        <f t="shared" si="1"/>
        <v/>
      </c>
      <c r="I158" t="str">
        <f t="shared" si="2"/>
        <v/>
      </c>
      <c r="J158" t="str">
        <f t="shared" si="3"/>
        <v/>
      </c>
      <c r="K158" t="str">
        <f t="shared" si="4"/>
        <v/>
      </c>
      <c r="L158" t="str">
        <f t="shared" si="5"/>
        <v/>
      </c>
      <c r="M158" t="str">
        <f t="shared" si="6"/>
        <v/>
      </c>
      <c r="N158" t="str">
        <f t="shared" si="7"/>
        <v/>
      </c>
      <c r="O158" t="str">
        <f t="shared" si="8"/>
        <v/>
      </c>
      <c r="P158" t="str">
        <f t="shared" si="9"/>
        <v/>
      </c>
      <c r="Q158" t="str">
        <f t="shared" si="10"/>
        <v/>
      </c>
      <c r="R158">
        <f t="shared" si="11"/>
        <v>3</v>
      </c>
      <c r="S158" t="str">
        <f t="shared" si="12"/>
        <v/>
      </c>
      <c r="T158" t="str">
        <f t="shared" si="13"/>
        <v/>
      </c>
      <c r="U158" t="str">
        <f t="shared" si="14"/>
        <v/>
      </c>
      <c r="V158">
        <f t="shared" si="15"/>
        <v>8</v>
      </c>
      <c r="W158" t="str">
        <f t="shared" si="16"/>
        <v/>
      </c>
      <c r="X158" t="str">
        <f t="shared" si="17"/>
        <v/>
      </c>
      <c r="Y158" t="str">
        <f t="shared" si="18"/>
        <v/>
      </c>
      <c r="Z158" t="str">
        <f t="shared" si="19"/>
        <v/>
      </c>
      <c r="AA158" t="str">
        <f t="shared" si="20"/>
        <v/>
      </c>
      <c r="AB158" t="str">
        <f t="shared" si="21"/>
        <v/>
      </c>
      <c r="AC158" t="str">
        <f t="shared" si="22"/>
        <v/>
      </c>
      <c r="AD158" t="str">
        <f t="shared" si="23"/>
        <v/>
      </c>
      <c r="AE158" t="str">
        <f t="shared" si="24"/>
        <v/>
      </c>
      <c r="AF158" t="str">
        <f t="shared" si="25"/>
        <v/>
      </c>
      <c r="AG158" t="str">
        <f t="shared" si="26"/>
        <v/>
      </c>
      <c r="AH158" s="65">
        <f t="array" ref="AH158">if(sum(H158:AG158)=0,,sum(sort(TRANSPOSE(H158:AG158),1,false)))</f>
        <v>11</v>
      </c>
    </row>
    <row r="159" hidden="1">
      <c r="F159" s="4">
        <v>27.0</v>
      </c>
      <c r="G159" t="str">
        <f>IFERROR(__xludf.DUMMYFUNCTION("""COMPUTED_VALUE"""),"Morenci")</f>
        <v>Morenci</v>
      </c>
      <c r="H159" t="str">
        <f t="shared" si="1"/>
        <v/>
      </c>
      <c r="I159" t="str">
        <f t="shared" si="2"/>
        <v/>
      </c>
      <c r="J159" t="str">
        <f t="shared" si="3"/>
        <v/>
      </c>
      <c r="K159" t="str">
        <f t="shared" si="4"/>
        <v/>
      </c>
      <c r="L159" t="str">
        <f t="shared" si="5"/>
        <v/>
      </c>
      <c r="M159" t="str">
        <f t="shared" si="6"/>
        <v/>
      </c>
      <c r="N159" t="str">
        <f t="shared" si="7"/>
        <v/>
      </c>
      <c r="O159" t="str">
        <f t="shared" si="8"/>
        <v/>
      </c>
      <c r="P159" t="str">
        <f t="shared" si="9"/>
        <v/>
      </c>
      <c r="Q159" t="str">
        <f t="shared" si="10"/>
        <v/>
      </c>
      <c r="R159">
        <f t="shared" si="11"/>
        <v>1</v>
      </c>
      <c r="S159" t="str">
        <f t="shared" si="12"/>
        <v/>
      </c>
      <c r="T159" t="str">
        <f t="shared" si="13"/>
        <v/>
      </c>
      <c r="U159" t="str">
        <f t="shared" si="14"/>
        <v/>
      </c>
      <c r="V159" t="str">
        <f t="shared" si="15"/>
        <v/>
      </c>
      <c r="W159" t="str">
        <f t="shared" si="16"/>
        <v/>
      </c>
      <c r="X159" t="str">
        <f t="shared" si="17"/>
        <v/>
      </c>
      <c r="Y159" t="str">
        <f t="shared" si="18"/>
        <v/>
      </c>
      <c r="Z159" t="str">
        <f t="shared" si="19"/>
        <v/>
      </c>
      <c r="AA159" t="str">
        <f t="shared" si="20"/>
        <v/>
      </c>
      <c r="AB159">
        <f t="shared" si="21"/>
        <v>5</v>
      </c>
      <c r="AC159" t="str">
        <f t="shared" si="22"/>
        <v/>
      </c>
      <c r="AD159" t="str">
        <f t="shared" si="23"/>
        <v/>
      </c>
      <c r="AE159" t="str">
        <f t="shared" si="24"/>
        <v/>
      </c>
      <c r="AF159">
        <f t="shared" si="25"/>
        <v>5</v>
      </c>
      <c r="AG159" t="str">
        <f t="shared" si="26"/>
        <v/>
      </c>
      <c r="AH159" s="65">
        <f t="array" ref="AH159">if(sum(H159:AG159)=0,,sum(sort(TRANSPOSE(H159:AG159),1,false)))</f>
        <v>11</v>
      </c>
    </row>
    <row r="160" hidden="1">
      <c r="F160" s="4">
        <v>28.0</v>
      </c>
      <c r="G160" t="str">
        <f>IFERROR(__xludf.DUMMYFUNCTION("""COMPUTED_VALUE"""),"Royal Oak")</f>
        <v>Royal Oak</v>
      </c>
      <c r="H160" t="str">
        <f t="shared" si="1"/>
        <v/>
      </c>
      <c r="I160" t="str">
        <f t="shared" si="2"/>
        <v/>
      </c>
      <c r="J160" t="str">
        <f t="shared" si="3"/>
        <v/>
      </c>
      <c r="K160" t="str">
        <f t="shared" si="4"/>
        <v/>
      </c>
      <c r="L160" t="str">
        <f t="shared" si="5"/>
        <v/>
      </c>
      <c r="M160" t="str">
        <f t="shared" si="6"/>
        <v/>
      </c>
      <c r="N160" t="str">
        <f t="shared" si="7"/>
        <v/>
      </c>
      <c r="O160" t="str">
        <f t="shared" si="8"/>
        <v/>
      </c>
      <c r="P160" t="str">
        <f t="shared" si="9"/>
        <v/>
      </c>
      <c r="Q160" t="str">
        <f t="shared" si="10"/>
        <v/>
      </c>
      <c r="R160" t="str">
        <f t="shared" si="11"/>
        <v/>
      </c>
      <c r="S160" t="str">
        <f t="shared" si="12"/>
        <v/>
      </c>
      <c r="T160">
        <f t="shared" si="13"/>
        <v>12</v>
      </c>
      <c r="U160" t="str">
        <f t="shared" si="14"/>
        <v/>
      </c>
      <c r="V160">
        <f t="shared" si="15"/>
        <v>2</v>
      </c>
      <c r="W160" t="str">
        <f t="shared" si="16"/>
        <v/>
      </c>
      <c r="X160" t="str">
        <f t="shared" si="17"/>
        <v/>
      </c>
      <c r="Y160" t="str">
        <f t="shared" si="18"/>
        <v/>
      </c>
      <c r="Z160" t="str">
        <f t="shared" si="19"/>
        <v/>
      </c>
      <c r="AA160" t="str">
        <f t="shared" si="20"/>
        <v/>
      </c>
      <c r="AB160" t="str">
        <f t="shared" si="21"/>
        <v/>
      </c>
      <c r="AC160" t="str">
        <f t="shared" si="22"/>
        <v/>
      </c>
      <c r="AD160" t="str">
        <f t="shared" si="23"/>
        <v/>
      </c>
      <c r="AE160" t="str">
        <f t="shared" si="24"/>
        <v/>
      </c>
      <c r="AF160" t="str">
        <f t="shared" si="25"/>
        <v/>
      </c>
      <c r="AG160" t="str">
        <f t="shared" si="26"/>
        <v/>
      </c>
      <c r="AH160" s="65">
        <f t="array" ref="AH160">if(sum(H160:AG160)=0,,sum(sort(TRANSPOSE(H160:AG160),1,false)))</f>
        <v>14</v>
      </c>
    </row>
    <row r="161" hidden="1">
      <c r="F161" s="4">
        <v>29.0</v>
      </c>
      <c r="G161" t="str">
        <f>IFERROR(__xludf.DUMMYFUNCTION("""COMPUTED_VALUE"""),"Kingsley")</f>
        <v>Kingsley</v>
      </c>
      <c r="H161" t="str">
        <f t="shared" si="1"/>
        <v/>
      </c>
      <c r="I161" t="str">
        <f t="shared" si="2"/>
        <v/>
      </c>
      <c r="J161" t="str">
        <f t="shared" si="3"/>
        <v/>
      </c>
      <c r="K161" t="str">
        <f t="shared" si="4"/>
        <v/>
      </c>
      <c r="L161" t="str">
        <f t="shared" si="5"/>
        <v/>
      </c>
      <c r="M161" t="str">
        <f t="shared" si="6"/>
        <v/>
      </c>
      <c r="N161" t="str">
        <f t="shared" si="7"/>
        <v/>
      </c>
      <c r="O161" t="str">
        <f t="shared" si="8"/>
        <v/>
      </c>
      <c r="P161" t="str">
        <f t="shared" si="9"/>
        <v/>
      </c>
      <c r="Q161" t="str">
        <f t="shared" si="10"/>
        <v/>
      </c>
      <c r="R161" t="str">
        <f t="shared" si="11"/>
        <v/>
      </c>
      <c r="S161" t="str">
        <f t="shared" si="12"/>
        <v/>
      </c>
      <c r="T161">
        <f t="shared" si="13"/>
        <v>6</v>
      </c>
      <c r="U161" t="str">
        <f t="shared" si="14"/>
        <v/>
      </c>
      <c r="V161" t="str">
        <f t="shared" si="15"/>
        <v/>
      </c>
      <c r="W161" t="str">
        <f t="shared" si="16"/>
        <v/>
      </c>
      <c r="X161" t="str">
        <f t="shared" si="17"/>
        <v/>
      </c>
      <c r="Y161" t="str">
        <f t="shared" si="18"/>
        <v/>
      </c>
      <c r="Z161" t="str">
        <f t="shared" si="19"/>
        <v/>
      </c>
      <c r="AA161" t="str">
        <f t="shared" si="20"/>
        <v/>
      </c>
      <c r="AB161" t="str">
        <f t="shared" si="21"/>
        <v/>
      </c>
      <c r="AC161" t="str">
        <f t="shared" si="22"/>
        <v/>
      </c>
      <c r="AD161" t="str">
        <f t="shared" si="23"/>
        <v/>
      </c>
      <c r="AE161" t="str">
        <f t="shared" si="24"/>
        <v/>
      </c>
      <c r="AF161" t="str">
        <f t="shared" si="25"/>
        <v/>
      </c>
      <c r="AG161" t="str">
        <f t="shared" si="26"/>
        <v/>
      </c>
      <c r="AH161" s="65">
        <f t="array" ref="AH161">if(sum(H161:AG161)=0,,sum(sort(TRANSPOSE(H161:AG161),1,false)))</f>
        <v>6</v>
      </c>
    </row>
    <row r="162" hidden="1">
      <c r="F162" s="4">
        <v>30.0</v>
      </c>
      <c r="G162" t="str">
        <f>IFERROR(__xludf.DUMMYFUNCTION("""COMPUTED_VALUE"""),"Kelloggsville")</f>
        <v>Kelloggsville</v>
      </c>
      <c r="H162" t="str">
        <f t="shared" si="1"/>
        <v/>
      </c>
      <c r="I162" t="str">
        <f t="shared" si="2"/>
        <v/>
      </c>
      <c r="J162" t="str">
        <f t="shared" si="3"/>
        <v/>
      </c>
      <c r="K162" t="str">
        <f t="shared" si="4"/>
        <v/>
      </c>
      <c r="L162" t="str">
        <f t="shared" si="5"/>
        <v/>
      </c>
      <c r="M162" t="str">
        <f t="shared" si="6"/>
        <v/>
      </c>
      <c r="N162" t="str">
        <f t="shared" si="7"/>
        <v/>
      </c>
      <c r="O162" t="str">
        <f t="shared" si="8"/>
        <v/>
      </c>
      <c r="P162" t="str">
        <f t="shared" si="9"/>
        <v/>
      </c>
      <c r="Q162" t="str">
        <f t="shared" si="10"/>
        <v/>
      </c>
      <c r="R162" t="str">
        <f t="shared" si="11"/>
        <v/>
      </c>
      <c r="S162" t="str">
        <f t="shared" si="12"/>
        <v/>
      </c>
      <c r="T162">
        <f t="shared" si="13"/>
        <v>4</v>
      </c>
      <c r="U162" t="str">
        <f t="shared" si="14"/>
        <v/>
      </c>
      <c r="V162" t="str">
        <f t="shared" si="15"/>
        <v/>
      </c>
      <c r="W162" t="str">
        <f t="shared" si="16"/>
        <v/>
      </c>
      <c r="X162" t="str">
        <f t="shared" si="17"/>
        <v/>
      </c>
      <c r="Y162" t="str">
        <f t="shared" si="18"/>
        <v/>
      </c>
      <c r="Z162" t="str">
        <f t="shared" si="19"/>
        <v/>
      </c>
      <c r="AA162" t="str">
        <f t="shared" si="20"/>
        <v/>
      </c>
      <c r="AB162" t="str">
        <f t="shared" si="21"/>
        <v/>
      </c>
      <c r="AC162" t="str">
        <f t="shared" si="22"/>
        <v/>
      </c>
      <c r="AD162" t="str">
        <f t="shared" si="23"/>
        <v/>
      </c>
      <c r="AE162" t="str">
        <f t="shared" si="24"/>
        <v/>
      </c>
      <c r="AF162" t="str">
        <f t="shared" si="25"/>
        <v/>
      </c>
      <c r="AG162" t="str">
        <f t="shared" si="26"/>
        <v/>
      </c>
      <c r="AH162" s="65">
        <f t="array" ref="AH162">if(sum(H162:AG162)=0,,sum(sort(TRANSPOSE(H162:AG162),1,false)))</f>
        <v>4</v>
      </c>
    </row>
    <row r="163" hidden="1">
      <c r="F163" s="4">
        <v>31.0</v>
      </c>
      <c r="G163" t="str">
        <f>IFERROR(__xludf.DUMMYFUNCTION("""COMPUTED_VALUE"""),"Adrian")</f>
        <v>Adrian</v>
      </c>
      <c r="H163" t="str">
        <f t="shared" si="1"/>
        <v/>
      </c>
      <c r="I163" t="str">
        <f t="shared" si="2"/>
        <v/>
      </c>
      <c r="J163" t="str">
        <f t="shared" si="3"/>
        <v/>
      </c>
      <c r="K163" t="str">
        <f t="shared" si="4"/>
        <v/>
      </c>
      <c r="L163" t="str">
        <f t="shared" si="5"/>
        <v/>
      </c>
      <c r="M163" t="str">
        <f t="shared" si="6"/>
        <v/>
      </c>
      <c r="N163" t="str">
        <f t="shared" si="7"/>
        <v/>
      </c>
      <c r="O163" t="str">
        <f t="shared" si="8"/>
        <v/>
      </c>
      <c r="P163" t="str">
        <f t="shared" si="9"/>
        <v/>
      </c>
      <c r="Q163" t="str">
        <f t="shared" si="10"/>
        <v/>
      </c>
      <c r="R163" t="str">
        <f t="shared" si="11"/>
        <v/>
      </c>
      <c r="S163" t="str">
        <f t="shared" si="12"/>
        <v/>
      </c>
      <c r="T163">
        <f t="shared" si="13"/>
        <v>3</v>
      </c>
      <c r="U163" t="str">
        <f t="shared" si="14"/>
        <v/>
      </c>
      <c r="V163" t="str">
        <f t="shared" si="15"/>
        <v/>
      </c>
      <c r="W163" t="str">
        <f t="shared" si="16"/>
        <v/>
      </c>
      <c r="X163" t="str">
        <f t="shared" si="17"/>
        <v/>
      </c>
      <c r="Y163" t="str">
        <f t="shared" si="18"/>
        <v/>
      </c>
      <c r="Z163" t="str">
        <f t="shared" si="19"/>
        <v/>
      </c>
      <c r="AA163" t="str">
        <f t="shared" si="20"/>
        <v/>
      </c>
      <c r="AB163" t="str">
        <f t="shared" si="21"/>
        <v/>
      </c>
      <c r="AC163" t="str">
        <f t="shared" si="22"/>
        <v/>
      </c>
      <c r="AD163" t="str">
        <f t="shared" si="23"/>
        <v/>
      </c>
      <c r="AE163" t="str">
        <f t="shared" si="24"/>
        <v/>
      </c>
      <c r="AF163" t="str">
        <f t="shared" si="25"/>
        <v/>
      </c>
      <c r="AG163" t="str">
        <f t="shared" si="26"/>
        <v/>
      </c>
      <c r="AH163" s="65">
        <f t="array" ref="AH163">if(sum(H163:AG163)=0,,sum(sort(TRANSPOSE(H163:AG163),1,false)))</f>
        <v>3</v>
      </c>
    </row>
    <row r="164" hidden="1">
      <c r="F164" s="4">
        <v>32.0</v>
      </c>
      <c r="G164" t="str">
        <f>IFERROR(__xludf.DUMMYFUNCTION("""COMPUTED_VALUE"""),"Grand Blanc")</f>
        <v>Grand Blanc</v>
      </c>
      <c r="H164" t="str">
        <f t="shared" si="1"/>
        <v/>
      </c>
      <c r="I164" t="str">
        <f t="shared" si="2"/>
        <v/>
      </c>
      <c r="J164" t="str">
        <f t="shared" si="3"/>
        <v/>
      </c>
      <c r="K164" t="str">
        <f t="shared" si="4"/>
        <v/>
      </c>
      <c r="L164" t="str">
        <f t="shared" si="5"/>
        <v/>
      </c>
      <c r="M164" t="str">
        <f t="shared" si="6"/>
        <v/>
      </c>
      <c r="N164" t="str">
        <f t="shared" si="7"/>
        <v/>
      </c>
      <c r="O164" t="str">
        <f t="shared" si="8"/>
        <v/>
      </c>
      <c r="P164" t="str">
        <f t="shared" si="9"/>
        <v/>
      </c>
      <c r="Q164" t="str">
        <f t="shared" si="10"/>
        <v/>
      </c>
      <c r="R164" t="str">
        <f t="shared" si="11"/>
        <v/>
      </c>
      <c r="S164" t="str">
        <f t="shared" si="12"/>
        <v/>
      </c>
      <c r="T164" t="str">
        <f t="shared" si="13"/>
        <v/>
      </c>
      <c r="U164" t="str">
        <f t="shared" si="14"/>
        <v/>
      </c>
      <c r="V164">
        <f t="shared" si="15"/>
        <v>12</v>
      </c>
      <c r="W164" t="str">
        <f t="shared" si="16"/>
        <v/>
      </c>
      <c r="X164" t="str">
        <f t="shared" si="17"/>
        <v/>
      </c>
      <c r="Y164" t="str">
        <f t="shared" si="18"/>
        <v/>
      </c>
      <c r="Z164" t="str">
        <f t="shared" si="19"/>
        <v/>
      </c>
      <c r="AA164" t="str">
        <f t="shared" si="20"/>
        <v/>
      </c>
      <c r="AB164" t="str">
        <f t="shared" si="21"/>
        <v/>
      </c>
      <c r="AC164" t="str">
        <f t="shared" si="22"/>
        <v/>
      </c>
      <c r="AD164" t="str">
        <f t="shared" si="23"/>
        <v/>
      </c>
      <c r="AE164" t="str">
        <f t="shared" si="24"/>
        <v/>
      </c>
      <c r="AF164" t="str">
        <f t="shared" si="25"/>
        <v/>
      </c>
      <c r="AG164" t="str">
        <f t="shared" si="26"/>
        <v/>
      </c>
      <c r="AH164" s="65">
        <f t="array" ref="AH164">if(sum(H164:AG164)=0,,sum(sort(TRANSPOSE(H164:AG164),1,false)))</f>
        <v>12</v>
      </c>
    </row>
    <row r="165" hidden="1">
      <c r="F165" s="4">
        <v>33.0</v>
      </c>
      <c r="G165" t="str">
        <f>IFERROR(__xludf.DUMMYFUNCTION("""COMPUTED_VALUE"""),"Paw Paw")</f>
        <v>Paw Paw</v>
      </c>
      <c r="H165" t="str">
        <f t="shared" si="1"/>
        <v/>
      </c>
      <c r="I165" t="str">
        <f t="shared" si="2"/>
        <v/>
      </c>
      <c r="J165" t="str">
        <f t="shared" si="3"/>
        <v/>
      </c>
      <c r="K165" t="str">
        <f t="shared" si="4"/>
        <v/>
      </c>
      <c r="L165" t="str">
        <f t="shared" si="5"/>
        <v/>
      </c>
      <c r="M165" t="str">
        <f t="shared" si="6"/>
        <v/>
      </c>
      <c r="N165" t="str">
        <f t="shared" si="7"/>
        <v/>
      </c>
      <c r="O165" t="str">
        <f t="shared" si="8"/>
        <v/>
      </c>
      <c r="P165" t="str">
        <f t="shared" si="9"/>
        <v/>
      </c>
      <c r="Q165" t="str">
        <f t="shared" si="10"/>
        <v/>
      </c>
      <c r="R165" t="str">
        <f t="shared" si="11"/>
        <v/>
      </c>
      <c r="S165" t="str">
        <f t="shared" si="12"/>
        <v/>
      </c>
      <c r="T165" t="str">
        <f t="shared" si="13"/>
        <v/>
      </c>
      <c r="U165" t="str">
        <f t="shared" si="14"/>
        <v/>
      </c>
      <c r="V165" t="str">
        <f t="shared" si="15"/>
        <v/>
      </c>
      <c r="W165" t="str">
        <f t="shared" si="16"/>
        <v/>
      </c>
      <c r="X165">
        <f t="shared" si="17"/>
        <v>9</v>
      </c>
      <c r="Y165" t="str">
        <f t="shared" si="18"/>
        <v/>
      </c>
      <c r="Z165" t="str">
        <f t="shared" si="19"/>
        <v/>
      </c>
      <c r="AA165" t="str">
        <f t="shared" si="20"/>
        <v/>
      </c>
      <c r="AB165" t="str">
        <f t="shared" si="21"/>
        <v/>
      </c>
      <c r="AC165" t="str">
        <f t="shared" si="22"/>
        <v/>
      </c>
      <c r="AD165" t="str">
        <f t="shared" si="23"/>
        <v/>
      </c>
      <c r="AE165" t="str">
        <f t="shared" si="24"/>
        <v/>
      </c>
      <c r="AF165" t="str">
        <f t="shared" si="25"/>
        <v/>
      </c>
      <c r="AG165" t="str">
        <f t="shared" si="26"/>
        <v/>
      </c>
      <c r="AH165" s="65">
        <f t="array" ref="AH165">if(sum(H165:AG165)=0,,sum(sort(TRANSPOSE(H165:AG165),1,false)))</f>
        <v>9</v>
      </c>
    </row>
    <row r="166" hidden="1">
      <c r="F166" s="4">
        <v>34.0</v>
      </c>
      <c r="G166" t="str">
        <f>IFERROR(__xludf.DUMMYFUNCTION("""COMPUTED_VALUE"""),"Lakeville")</f>
        <v>Lakeville</v>
      </c>
      <c r="H166" t="str">
        <f t="shared" si="1"/>
        <v/>
      </c>
      <c r="I166" t="str">
        <f t="shared" si="2"/>
        <v/>
      </c>
      <c r="J166" t="str">
        <f t="shared" si="3"/>
        <v/>
      </c>
      <c r="K166" t="str">
        <f t="shared" si="4"/>
        <v/>
      </c>
      <c r="L166" t="str">
        <f t="shared" si="5"/>
        <v/>
      </c>
      <c r="M166" t="str">
        <f t="shared" si="6"/>
        <v/>
      </c>
      <c r="N166" t="str">
        <f t="shared" si="7"/>
        <v/>
      </c>
      <c r="O166" t="str">
        <f t="shared" si="8"/>
        <v/>
      </c>
      <c r="P166" t="str">
        <f t="shared" si="9"/>
        <v/>
      </c>
      <c r="Q166" t="str">
        <f t="shared" si="10"/>
        <v/>
      </c>
      <c r="R166" t="str">
        <f t="shared" si="11"/>
        <v/>
      </c>
      <c r="S166" t="str">
        <f t="shared" si="12"/>
        <v/>
      </c>
      <c r="T166" t="str">
        <f t="shared" si="13"/>
        <v/>
      </c>
      <c r="U166" t="str">
        <f t="shared" si="14"/>
        <v/>
      </c>
      <c r="V166" t="str">
        <f t="shared" si="15"/>
        <v/>
      </c>
      <c r="W166" t="str">
        <f t="shared" si="16"/>
        <v/>
      </c>
      <c r="X166">
        <f t="shared" si="17"/>
        <v>7</v>
      </c>
      <c r="Y166" t="str">
        <f t="shared" si="18"/>
        <v/>
      </c>
      <c r="Z166" t="str">
        <f t="shared" si="19"/>
        <v/>
      </c>
      <c r="AA166" t="str">
        <f t="shared" si="20"/>
        <v/>
      </c>
      <c r="AB166" t="str">
        <f t="shared" si="21"/>
        <v/>
      </c>
      <c r="AC166" t="str">
        <f t="shared" si="22"/>
        <v/>
      </c>
      <c r="AD166" t="str">
        <f t="shared" si="23"/>
        <v/>
      </c>
      <c r="AE166" t="str">
        <f t="shared" si="24"/>
        <v/>
      </c>
      <c r="AF166" t="str">
        <f t="shared" si="25"/>
        <v/>
      </c>
      <c r="AG166" t="str">
        <f t="shared" si="26"/>
        <v/>
      </c>
      <c r="AH166" s="65">
        <f t="array" ref="AH166">if(sum(H166:AG166)=0,,sum(sort(TRANSPOSE(H166:AG166),1,false)))</f>
        <v>7</v>
      </c>
    </row>
    <row r="167" hidden="1">
      <c r="F167" s="4">
        <v>35.0</v>
      </c>
      <c r="G167" t="str">
        <f>IFERROR(__xludf.DUMMYFUNCTION("""COMPUTED_VALUE"""),"Brandon")</f>
        <v>Brandon</v>
      </c>
      <c r="H167" t="str">
        <f t="shared" si="1"/>
        <v/>
      </c>
      <c r="I167" t="str">
        <f t="shared" si="2"/>
        <v/>
      </c>
      <c r="J167" t="str">
        <f t="shared" si="3"/>
        <v/>
      </c>
      <c r="K167" t="str">
        <f t="shared" si="4"/>
        <v/>
      </c>
      <c r="L167" t="str">
        <f t="shared" si="5"/>
        <v/>
      </c>
      <c r="M167" t="str">
        <f t="shared" si="6"/>
        <v/>
      </c>
      <c r="N167" t="str">
        <f t="shared" si="7"/>
        <v/>
      </c>
      <c r="O167" t="str">
        <f t="shared" si="8"/>
        <v/>
      </c>
      <c r="P167" t="str">
        <f t="shared" si="9"/>
        <v/>
      </c>
      <c r="Q167" t="str">
        <f t="shared" si="10"/>
        <v/>
      </c>
      <c r="R167" t="str">
        <f t="shared" si="11"/>
        <v/>
      </c>
      <c r="S167" t="str">
        <f t="shared" si="12"/>
        <v/>
      </c>
      <c r="T167" t="str">
        <f t="shared" si="13"/>
        <v/>
      </c>
      <c r="U167" t="str">
        <f t="shared" si="14"/>
        <v/>
      </c>
      <c r="V167" t="str">
        <f t="shared" si="15"/>
        <v/>
      </c>
      <c r="W167" t="str">
        <f t="shared" si="16"/>
        <v/>
      </c>
      <c r="X167">
        <f t="shared" si="17"/>
        <v>4</v>
      </c>
      <c r="Y167" t="str">
        <f t="shared" si="18"/>
        <v/>
      </c>
      <c r="Z167" t="str">
        <f t="shared" si="19"/>
        <v/>
      </c>
      <c r="AA167" t="str">
        <f t="shared" si="20"/>
        <v/>
      </c>
      <c r="AB167" t="str">
        <f t="shared" si="21"/>
        <v/>
      </c>
      <c r="AC167" t="str">
        <f t="shared" si="22"/>
        <v/>
      </c>
      <c r="AD167" t="str">
        <f t="shared" si="23"/>
        <v/>
      </c>
      <c r="AE167" t="str">
        <f t="shared" si="24"/>
        <v/>
      </c>
      <c r="AF167" t="str">
        <f t="shared" si="25"/>
        <v/>
      </c>
      <c r="AG167" t="str">
        <f t="shared" si="26"/>
        <v/>
      </c>
      <c r="AH167" s="65">
        <f t="array" ref="AH167">if(sum(H167:AG167)=0,,sum(sort(TRANSPOSE(H167:AG167),1,false)))</f>
        <v>4</v>
      </c>
    </row>
    <row r="168" hidden="1">
      <c r="F168" s="4">
        <v>36.0</v>
      </c>
      <c r="G168" t="str">
        <f>IFERROR(__xludf.DUMMYFUNCTION("""COMPUTED_VALUE"""),"Henry Ford II")</f>
        <v>Henry Ford II</v>
      </c>
      <c r="H168" t="str">
        <f t="shared" si="1"/>
        <v/>
      </c>
      <c r="I168" t="str">
        <f t="shared" si="2"/>
        <v/>
      </c>
      <c r="J168" t="str">
        <f t="shared" si="3"/>
        <v/>
      </c>
      <c r="K168" t="str">
        <f t="shared" si="4"/>
        <v/>
      </c>
      <c r="L168" t="str">
        <f t="shared" si="5"/>
        <v/>
      </c>
      <c r="M168" t="str">
        <f t="shared" si="6"/>
        <v/>
      </c>
      <c r="N168" t="str">
        <f t="shared" si="7"/>
        <v/>
      </c>
      <c r="O168" t="str">
        <f t="shared" si="8"/>
        <v/>
      </c>
      <c r="P168" t="str">
        <f t="shared" si="9"/>
        <v/>
      </c>
      <c r="Q168" t="str">
        <f t="shared" si="10"/>
        <v/>
      </c>
      <c r="R168" t="str">
        <f t="shared" si="11"/>
        <v/>
      </c>
      <c r="S168" t="str">
        <f t="shared" si="12"/>
        <v/>
      </c>
      <c r="T168" t="str">
        <f t="shared" si="13"/>
        <v/>
      </c>
      <c r="U168" t="str">
        <f t="shared" si="14"/>
        <v/>
      </c>
      <c r="V168" t="str">
        <f t="shared" si="15"/>
        <v/>
      </c>
      <c r="W168" t="str">
        <f t="shared" si="16"/>
        <v/>
      </c>
      <c r="X168">
        <f t="shared" si="17"/>
        <v>3</v>
      </c>
      <c r="Y168" t="str">
        <f t="shared" si="18"/>
        <v/>
      </c>
      <c r="Z168">
        <f t="shared" si="19"/>
        <v>2</v>
      </c>
      <c r="AA168" t="str">
        <f t="shared" si="20"/>
        <v/>
      </c>
      <c r="AB168" t="str">
        <f t="shared" si="21"/>
        <v/>
      </c>
      <c r="AC168" t="str">
        <f t="shared" si="22"/>
        <v/>
      </c>
      <c r="AD168">
        <f t="shared" si="23"/>
        <v>4</v>
      </c>
      <c r="AE168" t="str">
        <f t="shared" si="24"/>
        <v/>
      </c>
      <c r="AF168" t="str">
        <f t="shared" si="25"/>
        <v/>
      </c>
      <c r="AG168" t="str">
        <f t="shared" si="26"/>
        <v/>
      </c>
      <c r="AH168" s="65">
        <f t="array" ref="AH168">if(sum(H168:AG168)=0,,sum(sort(TRANSPOSE(H168:AG168),1,false)))</f>
        <v>9</v>
      </c>
    </row>
    <row r="169" hidden="1">
      <c r="F169" s="4">
        <v>37.0</v>
      </c>
      <c r="G169" t="str">
        <f>IFERROR(__xludf.DUMMYFUNCTION("""COMPUTED_VALUE"""),"Dowagiac")</f>
        <v>Dowagiac</v>
      </c>
      <c r="H169" t="str">
        <f t="shared" si="1"/>
        <v/>
      </c>
      <c r="I169" t="str">
        <f t="shared" si="2"/>
        <v/>
      </c>
      <c r="J169" t="str">
        <f t="shared" si="3"/>
        <v/>
      </c>
      <c r="K169" t="str">
        <f t="shared" si="4"/>
        <v/>
      </c>
      <c r="L169" t="str">
        <f t="shared" si="5"/>
        <v/>
      </c>
      <c r="M169" t="str">
        <f t="shared" si="6"/>
        <v/>
      </c>
      <c r="N169" t="str">
        <f t="shared" si="7"/>
        <v/>
      </c>
      <c r="O169" t="str">
        <f t="shared" si="8"/>
        <v/>
      </c>
      <c r="P169" t="str">
        <f t="shared" si="9"/>
        <v/>
      </c>
      <c r="Q169" t="str">
        <f t="shared" si="10"/>
        <v/>
      </c>
      <c r="R169" t="str">
        <f t="shared" si="11"/>
        <v/>
      </c>
      <c r="S169" t="str">
        <f t="shared" si="12"/>
        <v/>
      </c>
      <c r="T169" t="str">
        <f t="shared" si="13"/>
        <v/>
      </c>
      <c r="U169" t="str">
        <f t="shared" si="14"/>
        <v/>
      </c>
      <c r="V169" t="str">
        <f t="shared" si="15"/>
        <v/>
      </c>
      <c r="W169" t="str">
        <f t="shared" si="16"/>
        <v/>
      </c>
      <c r="X169" t="str">
        <f t="shared" si="17"/>
        <v/>
      </c>
      <c r="Y169" t="str">
        <f t="shared" si="18"/>
        <v/>
      </c>
      <c r="Z169">
        <f t="shared" si="19"/>
        <v>9</v>
      </c>
      <c r="AA169" t="str">
        <f t="shared" si="20"/>
        <v/>
      </c>
      <c r="AB169" t="str">
        <f t="shared" si="21"/>
        <v/>
      </c>
      <c r="AC169" t="str">
        <f t="shared" si="22"/>
        <v/>
      </c>
      <c r="AD169" t="str">
        <f t="shared" si="23"/>
        <v/>
      </c>
      <c r="AE169" t="str">
        <f t="shared" si="24"/>
        <v/>
      </c>
      <c r="AF169" t="str">
        <f t="shared" si="25"/>
        <v/>
      </c>
      <c r="AG169" t="str">
        <f t="shared" si="26"/>
        <v/>
      </c>
      <c r="AH169" s="65">
        <f t="array" ref="AH169">if(sum(H169:AG169)=0,,sum(sort(TRANSPOSE(H169:AG169),1,false)))</f>
        <v>9</v>
      </c>
    </row>
    <row r="170" hidden="1">
      <c r="F170" s="4">
        <v>38.0</v>
      </c>
      <c r="G170" t="str">
        <f>IFERROR(__xludf.DUMMYFUNCTION("""COMPUTED_VALUE"""),"Kingston")</f>
        <v>Kingston</v>
      </c>
      <c r="H170" t="str">
        <f t="shared" si="1"/>
        <v/>
      </c>
      <c r="I170" t="str">
        <f t="shared" si="2"/>
        <v/>
      </c>
      <c r="J170" t="str">
        <f t="shared" si="3"/>
        <v/>
      </c>
      <c r="K170" t="str">
        <f t="shared" si="4"/>
        <v/>
      </c>
      <c r="L170" t="str">
        <f t="shared" si="5"/>
        <v/>
      </c>
      <c r="M170" t="str">
        <f t="shared" si="6"/>
        <v/>
      </c>
      <c r="N170" t="str">
        <f t="shared" si="7"/>
        <v/>
      </c>
      <c r="O170" t="str">
        <f t="shared" si="8"/>
        <v/>
      </c>
      <c r="P170" t="str">
        <f t="shared" si="9"/>
        <v/>
      </c>
      <c r="Q170" t="str">
        <f t="shared" si="10"/>
        <v/>
      </c>
      <c r="R170" t="str">
        <f t="shared" si="11"/>
        <v/>
      </c>
      <c r="S170" t="str">
        <f t="shared" si="12"/>
        <v/>
      </c>
      <c r="T170" t="str">
        <f t="shared" si="13"/>
        <v/>
      </c>
      <c r="U170" t="str">
        <f t="shared" si="14"/>
        <v/>
      </c>
      <c r="V170" t="str">
        <f t="shared" si="15"/>
        <v/>
      </c>
      <c r="W170" t="str">
        <f t="shared" si="16"/>
        <v/>
      </c>
      <c r="X170" t="str">
        <f t="shared" si="17"/>
        <v/>
      </c>
      <c r="Y170" t="str">
        <f t="shared" si="18"/>
        <v/>
      </c>
      <c r="Z170">
        <f t="shared" si="19"/>
        <v>7</v>
      </c>
      <c r="AA170" t="str">
        <f t="shared" si="20"/>
        <v/>
      </c>
      <c r="AB170">
        <f t="shared" si="21"/>
        <v>3</v>
      </c>
      <c r="AC170" t="str">
        <f t="shared" si="22"/>
        <v/>
      </c>
      <c r="AD170" t="str">
        <f t="shared" si="23"/>
        <v/>
      </c>
      <c r="AE170" t="str">
        <f t="shared" si="24"/>
        <v/>
      </c>
      <c r="AF170" t="str">
        <f t="shared" si="25"/>
        <v/>
      </c>
      <c r="AG170" t="str">
        <f t="shared" si="26"/>
        <v/>
      </c>
      <c r="AH170" s="65">
        <f t="array" ref="AH170">if(sum(H170:AG170)=0,,sum(sort(TRANSPOSE(H170:AG170),1,false)))</f>
        <v>10</v>
      </c>
    </row>
    <row r="171" hidden="1">
      <c r="F171" s="4">
        <v>39.0</v>
      </c>
      <c r="G171" t="str">
        <f>IFERROR(__xludf.DUMMYFUNCTION("""COMPUTED_VALUE"""),"Grass Lake")</f>
        <v>Grass Lake</v>
      </c>
      <c r="H171" t="str">
        <f t="shared" si="1"/>
        <v/>
      </c>
      <c r="I171" t="str">
        <f t="shared" si="2"/>
        <v/>
      </c>
      <c r="J171" t="str">
        <f t="shared" si="3"/>
        <v/>
      </c>
      <c r="K171" t="str">
        <f t="shared" si="4"/>
        <v/>
      </c>
      <c r="L171" t="str">
        <f t="shared" si="5"/>
        <v/>
      </c>
      <c r="M171" t="str">
        <f t="shared" si="6"/>
        <v/>
      </c>
      <c r="N171" t="str">
        <f t="shared" si="7"/>
        <v/>
      </c>
      <c r="O171" t="str">
        <f t="shared" si="8"/>
        <v/>
      </c>
      <c r="P171" t="str">
        <f t="shared" si="9"/>
        <v/>
      </c>
      <c r="Q171" t="str">
        <f t="shared" si="10"/>
        <v/>
      </c>
      <c r="R171" t="str">
        <f t="shared" si="11"/>
        <v/>
      </c>
      <c r="S171" t="str">
        <f t="shared" si="12"/>
        <v/>
      </c>
      <c r="T171" t="str">
        <f t="shared" si="13"/>
        <v/>
      </c>
      <c r="U171" t="str">
        <f t="shared" si="14"/>
        <v/>
      </c>
      <c r="V171" t="str">
        <f t="shared" si="15"/>
        <v/>
      </c>
      <c r="W171" t="str">
        <f t="shared" si="16"/>
        <v/>
      </c>
      <c r="X171" t="str">
        <f t="shared" si="17"/>
        <v/>
      </c>
      <c r="Y171" t="str">
        <f t="shared" si="18"/>
        <v/>
      </c>
      <c r="Z171">
        <f t="shared" si="19"/>
        <v>6</v>
      </c>
      <c r="AA171" t="str">
        <f t="shared" si="20"/>
        <v/>
      </c>
      <c r="AB171" t="str">
        <f t="shared" si="21"/>
        <v/>
      </c>
      <c r="AC171" t="str">
        <f t="shared" si="22"/>
        <v/>
      </c>
      <c r="AD171" t="str">
        <f t="shared" si="23"/>
        <v/>
      </c>
      <c r="AE171" t="str">
        <f t="shared" si="24"/>
        <v/>
      </c>
      <c r="AF171" t="str">
        <f t="shared" si="25"/>
        <v/>
      </c>
      <c r="AG171" t="str">
        <f t="shared" si="26"/>
        <v/>
      </c>
      <c r="AH171" s="65">
        <f t="array" ref="AH171">if(sum(H171:AG171)=0,,sum(sort(TRANSPOSE(H171:AG171),1,false)))</f>
        <v>6</v>
      </c>
    </row>
    <row r="172" hidden="1">
      <c r="F172" s="4">
        <v>40.0</v>
      </c>
      <c r="G172" t="str">
        <f>IFERROR(__xludf.DUMMYFUNCTION("""COMPUTED_VALUE"""),"WHITEHALL")</f>
        <v>WHITEHALL</v>
      </c>
      <c r="H172" t="str">
        <f t="shared" si="1"/>
        <v/>
      </c>
      <c r="I172" t="str">
        <f t="shared" si="2"/>
        <v/>
      </c>
      <c r="J172">
        <f t="shared" si="3"/>
        <v>12</v>
      </c>
      <c r="K172" t="str">
        <f t="shared" si="4"/>
        <v/>
      </c>
      <c r="L172">
        <f t="shared" si="5"/>
        <v>2</v>
      </c>
      <c r="M172" t="str">
        <f t="shared" si="6"/>
        <v/>
      </c>
      <c r="N172" t="str">
        <f t="shared" si="7"/>
        <v/>
      </c>
      <c r="O172" t="str">
        <f t="shared" si="8"/>
        <v/>
      </c>
      <c r="P172" t="str">
        <f t="shared" si="9"/>
        <v/>
      </c>
      <c r="Q172" t="str">
        <f t="shared" si="10"/>
        <v/>
      </c>
      <c r="R172" t="str">
        <f t="shared" si="11"/>
        <v/>
      </c>
      <c r="S172" t="str">
        <f t="shared" si="12"/>
        <v/>
      </c>
      <c r="T172" t="str">
        <f t="shared" si="13"/>
        <v/>
      </c>
      <c r="U172" t="str">
        <f t="shared" si="14"/>
        <v/>
      </c>
      <c r="V172" t="str">
        <f t="shared" si="15"/>
        <v/>
      </c>
      <c r="W172" t="str">
        <f t="shared" si="16"/>
        <v/>
      </c>
      <c r="X172">
        <f t="shared" si="17"/>
        <v>1</v>
      </c>
      <c r="Y172" t="str">
        <f t="shared" si="18"/>
        <v/>
      </c>
      <c r="Z172">
        <f t="shared" si="19"/>
        <v>5</v>
      </c>
      <c r="AA172" t="str">
        <f t="shared" si="20"/>
        <v/>
      </c>
      <c r="AB172" t="str">
        <f t="shared" si="21"/>
        <v/>
      </c>
      <c r="AC172" t="str">
        <f t="shared" si="22"/>
        <v/>
      </c>
      <c r="AD172" t="str">
        <f t="shared" si="23"/>
        <v/>
      </c>
      <c r="AE172" t="str">
        <f t="shared" si="24"/>
        <v/>
      </c>
      <c r="AF172" t="str">
        <f t="shared" si="25"/>
        <v/>
      </c>
      <c r="AG172" t="str">
        <f t="shared" si="26"/>
        <v/>
      </c>
      <c r="AH172" s="65">
        <f t="array" ref="AH172">if(sum(H172:AG172)=0,,sum(sort(TRANSPOSE(H172:AG172),1,false)))</f>
        <v>20</v>
      </c>
    </row>
    <row r="173" hidden="1">
      <c r="F173" s="4">
        <v>41.0</v>
      </c>
      <c r="G173" t="str">
        <f>IFERROR(__xludf.DUMMYFUNCTION("""COMPUTED_VALUE"""),"Hartford")</f>
        <v>Hartford</v>
      </c>
      <c r="H173" t="str">
        <f t="shared" si="1"/>
        <v/>
      </c>
      <c r="I173" t="str">
        <f t="shared" si="2"/>
        <v/>
      </c>
      <c r="J173" t="str">
        <f t="shared" si="3"/>
        <v/>
      </c>
      <c r="K173" t="str">
        <f t="shared" si="4"/>
        <v/>
      </c>
      <c r="L173" t="str">
        <f t="shared" si="5"/>
        <v/>
      </c>
      <c r="M173" t="str">
        <f t="shared" si="6"/>
        <v/>
      </c>
      <c r="N173" t="str">
        <f t="shared" si="7"/>
        <v/>
      </c>
      <c r="O173" t="str">
        <f t="shared" si="8"/>
        <v/>
      </c>
      <c r="P173" t="str">
        <f t="shared" si="9"/>
        <v/>
      </c>
      <c r="Q173" t="str">
        <f t="shared" si="10"/>
        <v/>
      </c>
      <c r="R173" t="str">
        <f t="shared" si="11"/>
        <v/>
      </c>
      <c r="S173" t="str">
        <f t="shared" si="12"/>
        <v/>
      </c>
      <c r="T173" t="str">
        <f t="shared" si="13"/>
        <v/>
      </c>
      <c r="U173" t="str">
        <f t="shared" si="14"/>
        <v/>
      </c>
      <c r="V173" t="str">
        <f t="shared" si="15"/>
        <v/>
      </c>
      <c r="W173" t="str">
        <f t="shared" si="16"/>
        <v/>
      </c>
      <c r="X173" t="str">
        <f t="shared" si="17"/>
        <v/>
      </c>
      <c r="Y173" t="str">
        <f t="shared" si="18"/>
        <v/>
      </c>
      <c r="Z173">
        <f t="shared" si="19"/>
        <v>4</v>
      </c>
      <c r="AA173" t="str">
        <f t="shared" si="20"/>
        <v/>
      </c>
      <c r="AB173">
        <f t="shared" si="21"/>
        <v>2</v>
      </c>
      <c r="AC173" t="str">
        <f t="shared" si="22"/>
        <v/>
      </c>
      <c r="AD173" t="str">
        <f t="shared" si="23"/>
        <v/>
      </c>
      <c r="AE173" t="str">
        <f t="shared" si="24"/>
        <v/>
      </c>
      <c r="AF173" t="str">
        <f t="shared" si="25"/>
        <v/>
      </c>
      <c r="AG173" t="str">
        <f t="shared" si="26"/>
        <v/>
      </c>
      <c r="AH173" s="65">
        <f t="array" ref="AH173">if(sum(H173:AG173)=0,,sum(sort(TRANSPOSE(H173:AG173),1,false)))</f>
        <v>6</v>
      </c>
    </row>
    <row r="174" hidden="1">
      <c r="F174" s="4">
        <v>42.0</v>
      </c>
      <c r="G174" t="str">
        <f>IFERROR(__xludf.DUMMYFUNCTION("""COMPUTED_VALUE"""),"Grant")</f>
        <v>Grant</v>
      </c>
      <c r="H174" t="str">
        <f t="shared" si="1"/>
        <v/>
      </c>
      <c r="I174" t="str">
        <f t="shared" si="2"/>
        <v/>
      </c>
      <c r="J174" t="str">
        <f t="shared" si="3"/>
        <v/>
      </c>
      <c r="K174" t="str">
        <f t="shared" si="4"/>
        <v/>
      </c>
      <c r="L174" t="str">
        <f t="shared" si="5"/>
        <v/>
      </c>
      <c r="M174" t="str">
        <f t="shared" si="6"/>
        <v/>
      </c>
      <c r="N174" t="str">
        <f t="shared" si="7"/>
        <v/>
      </c>
      <c r="O174" t="str">
        <f t="shared" si="8"/>
        <v/>
      </c>
      <c r="P174" t="str">
        <f t="shared" si="9"/>
        <v/>
      </c>
      <c r="Q174" t="str">
        <f t="shared" si="10"/>
        <v/>
      </c>
      <c r="R174" t="str">
        <f t="shared" si="11"/>
        <v/>
      </c>
      <c r="S174" t="str">
        <f t="shared" si="12"/>
        <v/>
      </c>
      <c r="T174" t="str">
        <f t="shared" si="13"/>
        <v/>
      </c>
      <c r="U174" t="str">
        <f t="shared" si="14"/>
        <v/>
      </c>
      <c r="V174" t="str">
        <f t="shared" si="15"/>
        <v/>
      </c>
      <c r="W174" t="str">
        <f t="shared" si="16"/>
        <v/>
      </c>
      <c r="X174" t="str">
        <f t="shared" si="17"/>
        <v/>
      </c>
      <c r="Y174" t="str">
        <f t="shared" si="18"/>
        <v/>
      </c>
      <c r="Z174" t="str">
        <f t="shared" si="19"/>
        <v/>
      </c>
      <c r="AA174" t="str">
        <f t="shared" si="20"/>
        <v/>
      </c>
      <c r="AB174">
        <f t="shared" si="21"/>
        <v>8</v>
      </c>
      <c r="AC174" t="str">
        <f t="shared" si="22"/>
        <v/>
      </c>
      <c r="AD174" t="str">
        <f t="shared" si="23"/>
        <v/>
      </c>
      <c r="AE174" t="str">
        <f t="shared" si="24"/>
        <v/>
      </c>
      <c r="AF174" t="str">
        <f t="shared" si="25"/>
        <v/>
      </c>
      <c r="AG174" t="str">
        <f t="shared" si="26"/>
        <v/>
      </c>
      <c r="AH174" s="65">
        <f t="array" ref="AH174">if(sum(H174:AG174)=0,,sum(sort(TRANSPOSE(H174:AG174),1,false)))</f>
        <v>8</v>
      </c>
    </row>
    <row r="175" hidden="1">
      <c r="F175" s="4">
        <v>43.0</v>
      </c>
      <c r="G175" t="str">
        <f>IFERROR(__xludf.DUMMYFUNCTION("""COMPUTED_VALUE"""),"Shepherd")</f>
        <v>Shepherd</v>
      </c>
      <c r="H175" t="str">
        <f t="shared" si="1"/>
        <v/>
      </c>
      <c r="I175" t="str">
        <f t="shared" si="2"/>
        <v/>
      </c>
      <c r="J175" t="str">
        <f t="shared" si="3"/>
        <v/>
      </c>
      <c r="K175" t="str">
        <f t="shared" si="4"/>
        <v/>
      </c>
      <c r="L175" t="str">
        <f t="shared" si="5"/>
        <v/>
      </c>
      <c r="M175" t="str">
        <f t="shared" si="6"/>
        <v/>
      </c>
      <c r="N175" t="str">
        <f t="shared" si="7"/>
        <v/>
      </c>
      <c r="O175" t="str">
        <f t="shared" si="8"/>
        <v/>
      </c>
      <c r="P175" t="str">
        <f t="shared" si="9"/>
        <v/>
      </c>
      <c r="Q175" t="str">
        <f t="shared" si="10"/>
        <v/>
      </c>
      <c r="R175" t="str">
        <f t="shared" si="11"/>
        <v/>
      </c>
      <c r="S175" t="str">
        <f t="shared" si="12"/>
        <v/>
      </c>
      <c r="T175" t="str">
        <f t="shared" si="13"/>
        <v/>
      </c>
      <c r="U175" t="str">
        <f t="shared" si="14"/>
        <v/>
      </c>
      <c r="V175" t="str">
        <f t="shared" si="15"/>
        <v/>
      </c>
      <c r="W175" t="str">
        <f t="shared" si="16"/>
        <v/>
      </c>
      <c r="X175" t="str">
        <f t="shared" si="17"/>
        <v/>
      </c>
      <c r="Y175" t="str">
        <f t="shared" si="18"/>
        <v/>
      </c>
      <c r="Z175" t="str">
        <f t="shared" si="19"/>
        <v/>
      </c>
      <c r="AA175" t="str">
        <f t="shared" si="20"/>
        <v/>
      </c>
      <c r="AB175" t="str">
        <f t="shared" si="21"/>
        <v/>
      </c>
      <c r="AC175" t="str">
        <f t="shared" si="22"/>
        <v/>
      </c>
      <c r="AD175" t="str">
        <f t="shared" si="23"/>
        <v/>
      </c>
      <c r="AE175" t="str">
        <f t="shared" si="24"/>
        <v/>
      </c>
      <c r="AF175">
        <f t="shared" si="25"/>
        <v>12</v>
      </c>
      <c r="AG175">
        <f t="shared" si="26"/>
        <v>7</v>
      </c>
      <c r="AH175" s="65">
        <f t="array" ref="AH175">if(sum(H175:AG175)=0,,sum(sort(TRANSPOSE(H175:AG175),1,false)))</f>
        <v>19</v>
      </c>
    </row>
    <row r="176" hidden="1">
      <c r="F176" s="4">
        <v>44.0</v>
      </c>
      <c r="H176" t="str">
        <f t="shared" si="1"/>
        <v/>
      </c>
      <c r="I176" t="str">
        <f t="shared" si="2"/>
        <v/>
      </c>
      <c r="J176" t="str">
        <f t="shared" si="3"/>
        <v/>
      </c>
      <c r="K176" t="str">
        <f t="shared" si="4"/>
        <v/>
      </c>
      <c r="L176" t="str">
        <f t="shared" si="5"/>
        <v/>
      </c>
      <c r="M176" t="str">
        <f t="shared" si="6"/>
        <v/>
      </c>
      <c r="N176" t="str">
        <f t="shared" si="7"/>
        <v/>
      </c>
      <c r="O176" t="str">
        <f t="shared" si="8"/>
        <v/>
      </c>
      <c r="P176" t="str">
        <f t="shared" si="9"/>
        <v/>
      </c>
      <c r="Q176" t="str">
        <f t="shared" si="10"/>
        <v/>
      </c>
      <c r="R176" t="str">
        <f t="shared" si="11"/>
        <v/>
      </c>
      <c r="S176" t="str">
        <f t="shared" si="12"/>
        <v/>
      </c>
      <c r="T176" t="str">
        <f t="shared" si="13"/>
        <v/>
      </c>
      <c r="U176" t="str">
        <f t="shared" si="14"/>
        <v/>
      </c>
      <c r="V176" t="str">
        <f t="shared" si="15"/>
        <v/>
      </c>
      <c r="W176" t="str">
        <f t="shared" si="16"/>
        <v/>
      </c>
      <c r="X176" t="str">
        <f t="shared" si="17"/>
        <v/>
      </c>
      <c r="Y176" t="str">
        <f t="shared" si="18"/>
        <v/>
      </c>
      <c r="Z176" t="str">
        <f t="shared" si="19"/>
        <v/>
      </c>
      <c r="AA176" t="str">
        <f t="shared" si="20"/>
        <v/>
      </c>
      <c r="AB176" t="str">
        <f t="shared" si="21"/>
        <v/>
      </c>
      <c r="AC176" t="str">
        <f t="shared" si="22"/>
        <v/>
      </c>
      <c r="AD176" t="str">
        <f t="shared" si="23"/>
        <v/>
      </c>
      <c r="AE176" t="str">
        <f t="shared" si="24"/>
        <v/>
      </c>
      <c r="AF176" t="str">
        <f t="shared" si="25"/>
        <v/>
      </c>
      <c r="AG176" t="str">
        <f t="shared" si="26"/>
        <v/>
      </c>
      <c r="AH176" s="65" t="str">
        <f t="array" ref="AH176">if(sum(H176:AG176)=0,,sum(sort(TRANSPOSE(H176:AG176),1,false)))</f>
        <v/>
      </c>
    </row>
    <row r="177" hidden="1">
      <c r="F177" s="4">
        <v>45.0</v>
      </c>
      <c r="H177" t="str">
        <f t="shared" si="1"/>
        <v/>
      </c>
      <c r="I177" t="str">
        <f t="shared" si="2"/>
        <v/>
      </c>
      <c r="J177" t="str">
        <f t="shared" si="3"/>
        <v/>
      </c>
      <c r="K177" t="str">
        <f t="shared" si="4"/>
        <v/>
      </c>
      <c r="L177" t="str">
        <f t="shared" si="5"/>
        <v/>
      </c>
      <c r="M177" t="str">
        <f t="shared" si="6"/>
        <v/>
      </c>
      <c r="N177" t="str">
        <f t="shared" si="7"/>
        <v/>
      </c>
      <c r="O177" t="str">
        <f t="shared" si="8"/>
        <v/>
      </c>
      <c r="P177" t="str">
        <f t="shared" si="9"/>
        <v/>
      </c>
      <c r="Q177" t="str">
        <f t="shared" si="10"/>
        <v/>
      </c>
      <c r="R177" t="str">
        <f t="shared" si="11"/>
        <v/>
      </c>
      <c r="S177" t="str">
        <f t="shared" si="12"/>
        <v/>
      </c>
      <c r="T177" t="str">
        <f t="shared" si="13"/>
        <v/>
      </c>
      <c r="U177" t="str">
        <f t="shared" si="14"/>
        <v/>
      </c>
      <c r="V177" t="str">
        <f t="shared" si="15"/>
        <v/>
      </c>
      <c r="W177" t="str">
        <f t="shared" si="16"/>
        <v/>
      </c>
      <c r="X177" t="str">
        <f t="shared" si="17"/>
        <v/>
      </c>
      <c r="Y177" t="str">
        <f t="shared" si="18"/>
        <v/>
      </c>
      <c r="Z177" t="str">
        <f t="shared" si="19"/>
        <v/>
      </c>
      <c r="AA177" t="str">
        <f t="shared" si="20"/>
        <v/>
      </c>
      <c r="AB177" t="str">
        <f t="shared" si="21"/>
        <v/>
      </c>
      <c r="AC177" t="str">
        <f t="shared" si="22"/>
        <v/>
      </c>
      <c r="AD177" t="str">
        <f t="shared" si="23"/>
        <v/>
      </c>
      <c r="AE177" t="str">
        <f t="shared" si="24"/>
        <v/>
      </c>
      <c r="AF177" t="str">
        <f t="shared" si="25"/>
        <v/>
      </c>
      <c r="AG177" t="str">
        <f t="shared" si="26"/>
        <v/>
      </c>
      <c r="AH177" s="65" t="str">
        <f t="array" ref="AH177">if(sum(H177:AG177)=0,,sum(sort(TRANSPOSE(H177:AG177),1,false)))</f>
        <v/>
      </c>
    </row>
    <row r="178" hidden="1">
      <c r="F178" s="4">
        <v>46.0</v>
      </c>
      <c r="H178" t="str">
        <f t="shared" si="1"/>
        <v/>
      </c>
      <c r="I178" t="str">
        <f t="shared" si="2"/>
        <v/>
      </c>
      <c r="J178" t="str">
        <f t="shared" si="3"/>
        <v/>
      </c>
      <c r="K178" t="str">
        <f t="shared" si="4"/>
        <v/>
      </c>
      <c r="L178" t="str">
        <f t="shared" si="5"/>
        <v/>
      </c>
      <c r="M178" t="str">
        <f t="shared" si="6"/>
        <v/>
      </c>
      <c r="N178" t="str">
        <f t="shared" si="7"/>
        <v/>
      </c>
      <c r="O178" t="str">
        <f t="shared" si="8"/>
        <v/>
      </c>
      <c r="P178" t="str">
        <f t="shared" si="9"/>
        <v/>
      </c>
      <c r="Q178" t="str">
        <f t="shared" si="10"/>
        <v/>
      </c>
      <c r="R178" t="str">
        <f t="shared" si="11"/>
        <v/>
      </c>
      <c r="S178" t="str">
        <f t="shared" si="12"/>
        <v/>
      </c>
      <c r="T178" t="str">
        <f t="shared" si="13"/>
        <v/>
      </c>
      <c r="U178" t="str">
        <f t="shared" si="14"/>
        <v/>
      </c>
      <c r="V178" t="str">
        <f t="shared" si="15"/>
        <v/>
      </c>
      <c r="W178" t="str">
        <f t="shared" si="16"/>
        <v/>
      </c>
      <c r="X178" t="str">
        <f t="shared" si="17"/>
        <v/>
      </c>
      <c r="Y178" t="str">
        <f t="shared" si="18"/>
        <v/>
      </c>
      <c r="Z178" t="str">
        <f t="shared" si="19"/>
        <v/>
      </c>
      <c r="AA178" t="str">
        <f t="shared" si="20"/>
        <v/>
      </c>
      <c r="AB178" t="str">
        <f t="shared" si="21"/>
        <v/>
      </c>
      <c r="AC178" t="str">
        <f t="shared" si="22"/>
        <v/>
      </c>
      <c r="AD178" t="str">
        <f t="shared" si="23"/>
        <v/>
      </c>
      <c r="AE178" t="str">
        <f t="shared" si="24"/>
        <v/>
      </c>
      <c r="AF178" t="str">
        <f t="shared" si="25"/>
        <v/>
      </c>
      <c r="AG178" t="str">
        <f t="shared" si="26"/>
        <v/>
      </c>
      <c r="AH178" s="65" t="str">
        <f t="array" ref="AH178">if(sum(H178:AG178)=0,,sum(sort(TRANSPOSE(H178:AG178),1,false)))</f>
        <v/>
      </c>
    </row>
    <row r="179" hidden="1">
      <c r="F179" s="4">
        <v>47.0</v>
      </c>
      <c r="H179" t="str">
        <f t="shared" si="1"/>
        <v/>
      </c>
      <c r="I179" t="str">
        <f t="shared" si="2"/>
        <v/>
      </c>
      <c r="J179" t="str">
        <f t="shared" si="3"/>
        <v/>
      </c>
      <c r="K179" t="str">
        <f t="shared" si="4"/>
        <v/>
      </c>
      <c r="L179" t="str">
        <f t="shared" si="5"/>
        <v/>
      </c>
      <c r="M179" t="str">
        <f t="shared" si="6"/>
        <v/>
      </c>
      <c r="N179" t="str">
        <f t="shared" si="7"/>
        <v/>
      </c>
      <c r="O179" t="str">
        <f t="shared" si="8"/>
        <v/>
      </c>
      <c r="P179" t="str">
        <f t="shared" si="9"/>
        <v/>
      </c>
      <c r="Q179" t="str">
        <f t="shared" si="10"/>
        <v/>
      </c>
      <c r="R179" t="str">
        <f t="shared" si="11"/>
        <v/>
      </c>
      <c r="S179" t="str">
        <f t="shared" si="12"/>
        <v/>
      </c>
      <c r="T179" t="str">
        <f t="shared" si="13"/>
        <v/>
      </c>
      <c r="U179" t="str">
        <f t="shared" si="14"/>
        <v/>
      </c>
      <c r="V179" t="str">
        <f t="shared" si="15"/>
        <v/>
      </c>
      <c r="W179" t="str">
        <f t="shared" si="16"/>
        <v/>
      </c>
      <c r="X179" t="str">
        <f t="shared" si="17"/>
        <v/>
      </c>
      <c r="Y179" t="str">
        <f t="shared" si="18"/>
        <v/>
      </c>
      <c r="Z179" t="str">
        <f t="shared" si="19"/>
        <v/>
      </c>
      <c r="AA179" t="str">
        <f t="shared" si="20"/>
        <v/>
      </c>
      <c r="AB179" t="str">
        <f t="shared" si="21"/>
        <v/>
      </c>
      <c r="AC179" t="str">
        <f t="shared" si="22"/>
        <v/>
      </c>
      <c r="AD179" t="str">
        <f t="shared" si="23"/>
        <v/>
      </c>
      <c r="AE179" t="str">
        <f t="shared" si="24"/>
        <v/>
      </c>
      <c r="AF179" t="str">
        <f t="shared" si="25"/>
        <v/>
      </c>
      <c r="AG179" t="str">
        <f t="shared" si="26"/>
        <v/>
      </c>
      <c r="AH179" s="65" t="str">
        <f t="array" ref="AH179">if(sum(H179:AG179)=0,,sum(sort(TRANSPOSE(H179:AG179),1,false)))</f>
        <v/>
      </c>
    </row>
    <row r="180" hidden="1">
      <c r="F180" s="4">
        <v>48.0</v>
      </c>
      <c r="H180" t="str">
        <f t="shared" si="1"/>
        <v/>
      </c>
      <c r="I180" t="str">
        <f t="shared" si="2"/>
        <v/>
      </c>
      <c r="J180" t="str">
        <f t="shared" si="3"/>
        <v/>
      </c>
      <c r="K180" t="str">
        <f t="shared" si="4"/>
        <v/>
      </c>
      <c r="L180" t="str">
        <f t="shared" si="5"/>
        <v/>
      </c>
      <c r="M180" t="str">
        <f t="shared" si="6"/>
        <v/>
      </c>
      <c r="N180" t="str">
        <f t="shared" si="7"/>
        <v/>
      </c>
      <c r="O180" t="str">
        <f t="shared" si="8"/>
        <v/>
      </c>
      <c r="P180" t="str">
        <f t="shared" si="9"/>
        <v/>
      </c>
      <c r="Q180" t="str">
        <f t="shared" si="10"/>
        <v/>
      </c>
      <c r="R180" t="str">
        <f t="shared" si="11"/>
        <v/>
      </c>
      <c r="S180" t="str">
        <f t="shared" si="12"/>
        <v/>
      </c>
      <c r="T180" t="str">
        <f t="shared" si="13"/>
        <v/>
      </c>
      <c r="U180" t="str">
        <f t="shared" si="14"/>
        <v/>
      </c>
      <c r="V180" t="str">
        <f t="shared" si="15"/>
        <v/>
      </c>
      <c r="W180" t="str">
        <f t="shared" si="16"/>
        <v/>
      </c>
      <c r="X180" t="str">
        <f t="shared" si="17"/>
        <v/>
      </c>
      <c r="Y180" t="str">
        <f t="shared" si="18"/>
        <v/>
      </c>
      <c r="Z180" t="str">
        <f t="shared" si="19"/>
        <v/>
      </c>
      <c r="AA180" t="str">
        <f t="shared" si="20"/>
        <v/>
      </c>
      <c r="AB180" t="str">
        <f t="shared" si="21"/>
        <v/>
      </c>
      <c r="AC180" t="str">
        <f t="shared" si="22"/>
        <v/>
      </c>
      <c r="AD180" t="str">
        <f t="shared" si="23"/>
        <v/>
      </c>
      <c r="AE180" t="str">
        <f t="shared" si="24"/>
        <v/>
      </c>
      <c r="AF180" t="str">
        <f t="shared" si="25"/>
        <v/>
      </c>
      <c r="AG180" t="str">
        <f t="shared" si="26"/>
        <v/>
      </c>
      <c r="AH180" s="65" t="str">
        <f t="array" ref="AH180">if(sum(H180:AG180)=0,,sum(sort(TRANSPOSE(H180:AG180),1,false)))</f>
        <v/>
      </c>
    </row>
    <row r="181" hidden="1">
      <c r="F181" s="4">
        <v>49.0</v>
      </c>
      <c r="H181" t="str">
        <f t="shared" si="1"/>
        <v/>
      </c>
      <c r="I181" t="str">
        <f t="shared" si="2"/>
        <v/>
      </c>
      <c r="J181" t="str">
        <f t="shared" si="3"/>
        <v/>
      </c>
      <c r="K181" t="str">
        <f t="shared" si="4"/>
        <v/>
      </c>
      <c r="L181" t="str">
        <f t="shared" si="5"/>
        <v/>
      </c>
      <c r="M181" t="str">
        <f t="shared" si="6"/>
        <v/>
      </c>
      <c r="N181" t="str">
        <f t="shared" si="7"/>
        <v/>
      </c>
      <c r="O181" t="str">
        <f t="shared" si="8"/>
        <v/>
      </c>
      <c r="P181" t="str">
        <f t="shared" si="9"/>
        <v/>
      </c>
      <c r="Q181" t="str">
        <f t="shared" si="10"/>
        <v/>
      </c>
      <c r="R181" t="str">
        <f t="shared" si="11"/>
        <v/>
      </c>
      <c r="S181" t="str">
        <f t="shared" si="12"/>
        <v/>
      </c>
      <c r="T181" t="str">
        <f t="shared" si="13"/>
        <v/>
      </c>
      <c r="U181" t="str">
        <f t="shared" si="14"/>
        <v/>
      </c>
      <c r="V181" t="str">
        <f t="shared" si="15"/>
        <v/>
      </c>
      <c r="W181" t="str">
        <f t="shared" si="16"/>
        <v/>
      </c>
      <c r="X181" t="str">
        <f t="shared" si="17"/>
        <v/>
      </c>
      <c r="Y181" t="str">
        <f t="shared" si="18"/>
        <v/>
      </c>
      <c r="Z181" t="str">
        <f t="shared" si="19"/>
        <v/>
      </c>
      <c r="AA181" t="str">
        <f t="shared" si="20"/>
        <v/>
      </c>
      <c r="AB181" t="str">
        <f t="shared" si="21"/>
        <v/>
      </c>
      <c r="AC181" t="str">
        <f t="shared" si="22"/>
        <v/>
      </c>
      <c r="AD181" t="str">
        <f t="shared" si="23"/>
        <v/>
      </c>
      <c r="AE181" t="str">
        <f t="shared" si="24"/>
        <v/>
      </c>
      <c r="AF181" t="str">
        <f t="shared" si="25"/>
        <v/>
      </c>
      <c r="AG181" t="str">
        <f t="shared" si="26"/>
        <v/>
      </c>
      <c r="AH181" s="65" t="str">
        <f t="array" ref="AH181">if(sum(H181:AG181)=0,,sum(sort(TRANSPOSE(H181:AG181),1,false)))</f>
        <v/>
      </c>
    </row>
    <row r="182" hidden="1">
      <c r="F182" s="4">
        <v>50.0</v>
      </c>
      <c r="H182" t="str">
        <f t="shared" si="1"/>
        <v/>
      </c>
      <c r="I182" t="str">
        <f t="shared" si="2"/>
        <v/>
      </c>
      <c r="J182" t="str">
        <f t="shared" si="3"/>
        <v/>
      </c>
      <c r="K182" t="str">
        <f t="shared" si="4"/>
        <v/>
      </c>
      <c r="L182" t="str">
        <f t="shared" si="5"/>
        <v/>
      </c>
      <c r="M182" t="str">
        <f t="shared" si="6"/>
        <v/>
      </c>
      <c r="N182" t="str">
        <f t="shared" si="7"/>
        <v/>
      </c>
      <c r="O182" t="str">
        <f t="shared" si="8"/>
        <v/>
      </c>
      <c r="P182" t="str">
        <f t="shared" si="9"/>
        <v/>
      </c>
      <c r="Q182" t="str">
        <f t="shared" si="10"/>
        <v/>
      </c>
      <c r="R182" t="str">
        <f t="shared" si="11"/>
        <v/>
      </c>
      <c r="S182" t="str">
        <f t="shared" si="12"/>
        <v/>
      </c>
      <c r="T182" t="str">
        <f t="shared" si="13"/>
        <v/>
      </c>
      <c r="U182" t="str">
        <f t="shared" si="14"/>
        <v/>
      </c>
      <c r="V182" t="str">
        <f t="shared" si="15"/>
        <v/>
      </c>
      <c r="W182" t="str">
        <f t="shared" si="16"/>
        <v/>
      </c>
      <c r="X182" t="str">
        <f t="shared" si="17"/>
        <v/>
      </c>
      <c r="Y182" t="str">
        <f t="shared" si="18"/>
        <v/>
      </c>
      <c r="Z182" t="str">
        <f t="shared" si="19"/>
        <v/>
      </c>
      <c r="AA182" t="str">
        <f t="shared" si="20"/>
        <v/>
      </c>
      <c r="AB182" t="str">
        <f t="shared" si="21"/>
        <v/>
      </c>
      <c r="AC182" t="str">
        <f t="shared" si="22"/>
        <v/>
      </c>
      <c r="AD182" t="str">
        <f t="shared" si="23"/>
        <v/>
      </c>
      <c r="AE182" t="str">
        <f t="shared" si="24"/>
        <v/>
      </c>
      <c r="AF182" t="str">
        <f t="shared" si="25"/>
        <v/>
      </c>
      <c r="AG182" t="str">
        <f t="shared" si="26"/>
        <v/>
      </c>
      <c r="AH182" s="65" t="str">
        <f t="array" ref="AH182">if(sum(H182:AG182)=0,,sum(sort(TRANSPOSE(H182:AG182),1,false)))</f>
        <v/>
      </c>
    </row>
    <row r="183" hidden="1">
      <c r="F183" s="4">
        <v>51.0</v>
      </c>
      <c r="H183" t="str">
        <f t="shared" si="1"/>
        <v/>
      </c>
      <c r="I183" t="str">
        <f t="shared" si="2"/>
        <v/>
      </c>
      <c r="J183" t="str">
        <f t="shared" si="3"/>
        <v/>
      </c>
      <c r="K183" t="str">
        <f t="shared" si="4"/>
        <v/>
      </c>
      <c r="L183" t="str">
        <f t="shared" si="5"/>
        <v/>
      </c>
      <c r="M183" t="str">
        <f t="shared" si="6"/>
        <v/>
      </c>
      <c r="N183" t="str">
        <f t="shared" si="7"/>
        <v/>
      </c>
      <c r="O183" t="str">
        <f t="shared" si="8"/>
        <v/>
      </c>
      <c r="P183" t="str">
        <f t="shared" si="9"/>
        <v/>
      </c>
      <c r="Q183" t="str">
        <f t="shared" si="10"/>
        <v/>
      </c>
      <c r="R183" t="str">
        <f t="shared" si="11"/>
        <v/>
      </c>
      <c r="S183" t="str">
        <f t="shared" si="12"/>
        <v/>
      </c>
      <c r="T183" t="str">
        <f t="shared" si="13"/>
        <v/>
      </c>
      <c r="U183" t="str">
        <f t="shared" si="14"/>
        <v/>
      </c>
      <c r="V183" t="str">
        <f t="shared" si="15"/>
        <v/>
      </c>
      <c r="W183" t="str">
        <f t="shared" si="16"/>
        <v/>
      </c>
      <c r="X183" t="str">
        <f t="shared" si="17"/>
        <v/>
      </c>
      <c r="Y183" t="str">
        <f t="shared" si="18"/>
        <v/>
      </c>
      <c r="Z183" t="str">
        <f t="shared" si="19"/>
        <v/>
      </c>
      <c r="AA183" t="str">
        <f t="shared" si="20"/>
        <v/>
      </c>
      <c r="AB183" t="str">
        <f t="shared" si="21"/>
        <v/>
      </c>
      <c r="AC183" t="str">
        <f t="shared" si="22"/>
        <v/>
      </c>
      <c r="AD183" t="str">
        <f t="shared" si="23"/>
        <v/>
      </c>
      <c r="AE183" t="str">
        <f t="shared" si="24"/>
        <v/>
      </c>
      <c r="AF183" t="str">
        <f t="shared" si="25"/>
        <v/>
      </c>
      <c r="AG183" t="str">
        <f t="shared" si="26"/>
        <v/>
      </c>
      <c r="AH183" s="65" t="str">
        <f t="array" ref="AH183">if(sum(H183:AG183)=0,,sum(sort(TRANSPOSE(H183:AG183),1,false)))</f>
        <v/>
      </c>
    </row>
    <row r="184" hidden="1">
      <c r="F184" s="4">
        <v>52.0</v>
      </c>
      <c r="H184" t="str">
        <f t="shared" si="1"/>
        <v/>
      </c>
      <c r="I184" t="str">
        <f t="shared" si="2"/>
        <v/>
      </c>
      <c r="J184" t="str">
        <f t="shared" si="3"/>
        <v/>
      </c>
      <c r="K184" t="str">
        <f t="shared" si="4"/>
        <v/>
      </c>
      <c r="L184" t="str">
        <f t="shared" si="5"/>
        <v/>
      </c>
      <c r="M184" t="str">
        <f t="shared" si="6"/>
        <v/>
      </c>
      <c r="N184" t="str">
        <f t="shared" si="7"/>
        <v/>
      </c>
      <c r="O184" t="str">
        <f t="shared" si="8"/>
        <v/>
      </c>
      <c r="P184" t="str">
        <f t="shared" si="9"/>
        <v/>
      </c>
      <c r="Q184" t="str">
        <f t="shared" si="10"/>
        <v/>
      </c>
      <c r="R184" t="str">
        <f t="shared" si="11"/>
        <v/>
      </c>
      <c r="S184" t="str">
        <f t="shared" si="12"/>
        <v/>
      </c>
      <c r="T184" t="str">
        <f t="shared" si="13"/>
        <v/>
      </c>
      <c r="U184" t="str">
        <f t="shared" si="14"/>
        <v/>
      </c>
      <c r="V184" t="str">
        <f t="shared" si="15"/>
        <v/>
      </c>
      <c r="W184" t="str">
        <f t="shared" si="16"/>
        <v/>
      </c>
      <c r="X184" t="str">
        <f t="shared" si="17"/>
        <v/>
      </c>
      <c r="Y184" t="str">
        <f t="shared" si="18"/>
        <v/>
      </c>
      <c r="Z184" t="str">
        <f t="shared" si="19"/>
        <v/>
      </c>
      <c r="AA184" t="str">
        <f t="shared" si="20"/>
        <v/>
      </c>
      <c r="AB184" t="str">
        <f t="shared" si="21"/>
        <v/>
      </c>
      <c r="AC184" t="str">
        <f t="shared" si="22"/>
        <v/>
      </c>
      <c r="AD184" t="str">
        <f t="shared" si="23"/>
        <v/>
      </c>
      <c r="AE184" t="str">
        <f t="shared" si="24"/>
        <v/>
      </c>
      <c r="AF184" t="str">
        <f t="shared" si="25"/>
        <v/>
      </c>
      <c r="AG184" t="str">
        <f t="shared" si="26"/>
        <v/>
      </c>
      <c r="AH184" s="65" t="str">
        <f t="array" ref="AH184">if(sum(H184:AG184)=0,,sum(sort(TRANSPOSE(H184:AG184),1,false)))</f>
        <v/>
      </c>
    </row>
    <row r="185" hidden="1">
      <c r="F185" s="4">
        <v>53.0</v>
      </c>
      <c r="H185" t="str">
        <f t="shared" si="1"/>
        <v/>
      </c>
      <c r="I185" t="str">
        <f t="shared" si="2"/>
        <v/>
      </c>
      <c r="J185" t="str">
        <f t="shared" si="3"/>
        <v/>
      </c>
      <c r="K185" t="str">
        <f t="shared" si="4"/>
        <v/>
      </c>
      <c r="L185" t="str">
        <f t="shared" si="5"/>
        <v/>
      </c>
      <c r="M185" t="str">
        <f t="shared" si="6"/>
        <v/>
      </c>
      <c r="N185" t="str">
        <f t="shared" si="7"/>
        <v/>
      </c>
      <c r="O185" t="str">
        <f t="shared" si="8"/>
        <v/>
      </c>
      <c r="P185" t="str">
        <f t="shared" si="9"/>
        <v/>
      </c>
      <c r="Q185" t="str">
        <f t="shared" si="10"/>
        <v/>
      </c>
      <c r="R185" t="str">
        <f t="shared" si="11"/>
        <v/>
      </c>
      <c r="S185" t="str">
        <f t="shared" si="12"/>
        <v/>
      </c>
      <c r="T185" t="str">
        <f t="shared" si="13"/>
        <v/>
      </c>
      <c r="U185" t="str">
        <f t="shared" si="14"/>
        <v/>
      </c>
      <c r="V185" t="str">
        <f t="shared" si="15"/>
        <v/>
      </c>
      <c r="W185" t="str">
        <f t="shared" si="16"/>
        <v/>
      </c>
      <c r="X185" t="str">
        <f t="shared" si="17"/>
        <v/>
      </c>
      <c r="Y185" t="str">
        <f t="shared" si="18"/>
        <v/>
      </c>
      <c r="Z185" t="str">
        <f t="shared" si="19"/>
        <v/>
      </c>
      <c r="AA185" t="str">
        <f t="shared" si="20"/>
        <v/>
      </c>
      <c r="AB185" t="str">
        <f t="shared" si="21"/>
        <v/>
      </c>
      <c r="AC185" t="str">
        <f t="shared" si="22"/>
        <v/>
      </c>
      <c r="AD185" t="str">
        <f t="shared" si="23"/>
        <v/>
      </c>
      <c r="AE185" t="str">
        <f t="shared" si="24"/>
        <v/>
      </c>
      <c r="AF185" t="str">
        <f t="shared" si="25"/>
        <v/>
      </c>
      <c r="AG185" t="str">
        <f t="shared" si="26"/>
        <v/>
      </c>
      <c r="AH185" s="65" t="str">
        <f t="array" ref="AH185">if(sum(H185:AG185)=0,,sum(sort(TRANSPOSE(H185:AG185),1,false)))</f>
        <v/>
      </c>
    </row>
    <row r="186" hidden="1">
      <c r="F186" s="4">
        <v>54.0</v>
      </c>
      <c r="H186" t="str">
        <f t="shared" si="1"/>
        <v/>
      </c>
      <c r="I186" t="str">
        <f t="shared" si="2"/>
        <v/>
      </c>
      <c r="J186" t="str">
        <f t="shared" si="3"/>
        <v/>
      </c>
      <c r="K186" t="str">
        <f t="shared" si="4"/>
        <v/>
      </c>
      <c r="L186" t="str">
        <f t="shared" si="5"/>
        <v/>
      </c>
      <c r="M186" t="str">
        <f t="shared" si="6"/>
        <v/>
      </c>
      <c r="N186" t="str">
        <f t="shared" si="7"/>
        <v/>
      </c>
      <c r="O186" t="str">
        <f t="shared" si="8"/>
        <v/>
      </c>
      <c r="P186" t="str">
        <f t="shared" si="9"/>
        <v/>
      </c>
      <c r="Q186" t="str">
        <f t="shared" si="10"/>
        <v/>
      </c>
      <c r="R186" t="str">
        <f t="shared" si="11"/>
        <v/>
      </c>
      <c r="S186" t="str">
        <f t="shared" si="12"/>
        <v/>
      </c>
      <c r="T186" t="str">
        <f t="shared" si="13"/>
        <v/>
      </c>
      <c r="U186" t="str">
        <f t="shared" si="14"/>
        <v/>
      </c>
      <c r="V186" t="str">
        <f t="shared" si="15"/>
        <v/>
      </c>
      <c r="W186" t="str">
        <f t="shared" si="16"/>
        <v/>
      </c>
      <c r="X186" t="str">
        <f t="shared" si="17"/>
        <v/>
      </c>
      <c r="Y186" t="str">
        <f t="shared" si="18"/>
        <v/>
      </c>
      <c r="Z186" t="str">
        <f t="shared" si="19"/>
        <v/>
      </c>
      <c r="AA186" t="str">
        <f t="shared" si="20"/>
        <v/>
      </c>
      <c r="AB186" t="str">
        <f t="shared" si="21"/>
        <v/>
      </c>
      <c r="AC186" t="str">
        <f t="shared" si="22"/>
        <v/>
      </c>
      <c r="AD186" t="str">
        <f t="shared" si="23"/>
        <v/>
      </c>
      <c r="AE186" t="str">
        <f t="shared" si="24"/>
        <v/>
      </c>
      <c r="AF186" t="str">
        <f t="shared" si="25"/>
        <v/>
      </c>
      <c r="AG186" t="str">
        <f t="shared" si="26"/>
        <v/>
      </c>
      <c r="AH186" s="65" t="str">
        <f t="array" ref="AH186">if(sum(H186:AG186)=0,,sum(sort(TRANSPOSE(H186:AG186),1,false)))</f>
        <v/>
      </c>
    </row>
    <row r="187" hidden="1">
      <c r="F187" s="4">
        <v>55.0</v>
      </c>
      <c r="H187" t="str">
        <f t="shared" si="1"/>
        <v/>
      </c>
      <c r="I187" t="str">
        <f t="shared" si="2"/>
        <v/>
      </c>
      <c r="J187" t="str">
        <f t="shared" si="3"/>
        <v/>
      </c>
      <c r="K187" t="str">
        <f t="shared" si="4"/>
        <v/>
      </c>
      <c r="L187" t="str">
        <f t="shared" si="5"/>
        <v/>
      </c>
      <c r="M187" t="str">
        <f t="shared" si="6"/>
        <v/>
      </c>
      <c r="N187" t="str">
        <f t="shared" si="7"/>
        <v/>
      </c>
      <c r="O187" t="str">
        <f t="shared" si="8"/>
        <v/>
      </c>
      <c r="P187" t="str">
        <f t="shared" si="9"/>
        <v/>
      </c>
      <c r="Q187" t="str">
        <f t="shared" si="10"/>
        <v/>
      </c>
      <c r="R187" t="str">
        <f t="shared" si="11"/>
        <v/>
      </c>
      <c r="S187" t="str">
        <f t="shared" si="12"/>
        <v/>
      </c>
      <c r="T187" t="str">
        <f t="shared" si="13"/>
        <v/>
      </c>
      <c r="U187" t="str">
        <f t="shared" si="14"/>
        <v/>
      </c>
      <c r="V187" t="str">
        <f t="shared" si="15"/>
        <v/>
      </c>
      <c r="W187" t="str">
        <f t="shared" si="16"/>
        <v/>
      </c>
      <c r="X187" t="str">
        <f t="shared" si="17"/>
        <v/>
      </c>
      <c r="Y187" t="str">
        <f t="shared" si="18"/>
        <v/>
      </c>
      <c r="Z187" t="str">
        <f t="shared" si="19"/>
        <v/>
      </c>
      <c r="AA187" t="str">
        <f t="shared" si="20"/>
        <v/>
      </c>
      <c r="AB187" t="str">
        <f t="shared" si="21"/>
        <v/>
      </c>
      <c r="AC187" t="str">
        <f t="shared" si="22"/>
        <v/>
      </c>
      <c r="AD187" t="str">
        <f t="shared" si="23"/>
        <v/>
      </c>
      <c r="AE187" t="str">
        <f t="shared" si="24"/>
        <v/>
      </c>
      <c r="AF187" t="str">
        <f t="shared" si="25"/>
        <v/>
      </c>
      <c r="AG187" t="str">
        <f t="shared" si="26"/>
        <v/>
      </c>
      <c r="AH187" s="65" t="str">
        <f t="array" ref="AH187">if(sum(H187:AG187)=0,,sum(sort(TRANSPOSE(H187:AG187),1,false)))</f>
        <v/>
      </c>
    </row>
    <row r="188" hidden="1">
      <c r="F188" s="4">
        <v>56.0</v>
      </c>
      <c r="H188" t="str">
        <f t="shared" si="1"/>
        <v/>
      </c>
      <c r="I188" t="str">
        <f t="shared" si="2"/>
        <v/>
      </c>
      <c r="J188" t="str">
        <f t="shared" si="3"/>
        <v/>
      </c>
      <c r="K188" t="str">
        <f t="shared" si="4"/>
        <v/>
      </c>
      <c r="L188" t="str">
        <f t="shared" si="5"/>
        <v/>
      </c>
      <c r="M188" t="str">
        <f t="shared" si="6"/>
        <v/>
      </c>
      <c r="N188" t="str">
        <f t="shared" si="7"/>
        <v/>
      </c>
      <c r="O188" t="str">
        <f t="shared" si="8"/>
        <v/>
      </c>
      <c r="P188" t="str">
        <f t="shared" si="9"/>
        <v/>
      </c>
      <c r="Q188" t="str">
        <f t="shared" si="10"/>
        <v/>
      </c>
      <c r="R188" t="str">
        <f t="shared" si="11"/>
        <v/>
      </c>
      <c r="S188" t="str">
        <f t="shared" si="12"/>
        <v/>
      </c>
      <c r="T188" t="str">
        <f t="shared" si="13"/>
        <v/>
      </c>
      <c r="U188" t="str">
        <f t="shared" si="14"/>
        <v/>
      </c>
      <c r="V188" t="str">
        <f t="shared" si="15"/>
        <v/>
      </c>
      <c r="W188" t="str">
        <f t="shared" si="16"/>
        <v/>
      </c>
      <c r="X188" t="str">
        <f t="shared" si="17"/>
        <v/>
      </c>
      <c r="Y188" t="str">
        <f t="shared" si="18"/>
        <v/>
      </c>
      <c r="Z188" t="str">
        <f t="shared" si="19"/>
        <v/>
      </c>
      <c r="AA188" t="str">
        <f t="shared" si="20"/>
        <v/>
      </c>
      <c r="AB188" t="str">
        <f t="shared" si="21"/>
        <v/>
      </c>
      <c r="AC188" t="str">
        <f t="shared" si="22"/>
        <v/>
      </c>
      <c r="AD188" t="str">
        <f t="shared" si="23"/>
        <v/>
      </c>
      <c r="AE188" t="str">
        <f t="shared" si="24"/>
        <v/>
      </c>
      <c r="AF188" t="str">
        <f t="shared" si="25"/>
        <v/>
      </c>
      <c r="AG188" t="str">
        <f t="shared" si="26"/>
        <v/>
      </c>
      <c r="AH188" s="65" t="str">
        <f t="array" ref="AH188">if(sum(H188:AG188)=0,,sum(sort(TRANSPOSE(H188:AG188),1,false)))</f>
        <v/>
      </c>
    </row>
    <row r="189" hidden="1">
      <c r="F189" s="4">
        <v>57.0</v>
      </c>
      <c r="H189" t="str">
        <f t="shared" si="1"/>
        <v/>
      </c>
      <c r="I189" t="str">
        <f t="shared" si="2"/>
        <v/>
      </c>
      <c r="J189" t="str">
        <f t="shared" si="3"/>
        <v/>
      </c>
      <c r="K189" t="str">
        <f t="shared" si="4"/>
        <v/>
      </c>
      <c r="L189" t="str">
        <f t="shared" si="5"/>
        <v/>
      </c>
      <c r="M189" t="str">
        <f t="shared" si="6"/>
        <v/>
      </c>
      <c r="N189" t="str">
        <f t="shared" si="7"/>
        <v/>
      </c>
      <c r="O189" t="str">
        <f t="shared" si="8"/>
        <v/>
      </c>
      <c r="P189" t="str">
        <f t="shared" si="9"/>
        <v/>
      </c>
      <c r="Q189" t="str">
        <f t="shared" si="10"/>
        <v/>
      </c>
      <c r="R189" t="str">
        <f t="shared" si="11"/>
        <v/>
      </c>
      <c r="S189" t="str">
        <f t="shared" si="12"/>
        <v/>
      </c>
      <c r="T189" t="str">
        <f t="shared" si="13"/>
        <v/>
      </c>
      <c r="U189" t="str">
        <f t="shared" si="14"/>
        <v/>
      </c>
      <c r="V189" t="str">
        <f t="shared" si="15"/>
        <v/>
      </c>
      <c r="W189" t="str">
        <f t="shared" si="16"/>
        <v/>
      </c>
      <c r="X189" t="str">
        <f t="shared" si="17"/>
        <v/>
      </c>
      <c r="Y189" t="str">
        <f t="shared" si="18"/>
        <v/>
      </c>
      <c r="Z189" t="str">
        <f t="shared" si="19"/>
        <v/>
      </c>
      <c r="AA189" t="str">
        <f t="shared" si="20"/>
        <v/>
      </c>
      <c r="AB189" t="str">
        <f t="shared" si="21"/>
        <v/>
      </c>
      <c r="AC189" t="str">
        <f t="shared" si="22"/>
        <v/>
      </c>
      <c r="AD189" t="str">
        <f t="shared" si="23"/>
        <v/>
      </c>
      <c r="AE189" t="str">
        <f t="shared" si="24"/>
        <v/>
      </c>
      <c r="AF189" t="str">
        <f t="shared" si="25"/>
        <v/>
      </c>
      <c r="AG189" t="str">
        <f t="shared" si="26"/>
        <v/>
      </c>
      <c r="AH189" s="65" t="str">
        <f t="array" ref="AH189">if(sum(H189:AG189)=0,,sum(sort(TRANSPOSE(H189:AG189),1,false)))</f>
        <v/>
      </c>
    </row>
    <row r="190" hidden="1">
      <c r="F190" s="4">
        <v>58.0</v>
      </c>
      <c r="H190" t="str">
        <f t="shared" si="1"/>
        <v/>
      </c>
      <c r="I190" t="str">
        <f t="shared" si="2"/>
        <v/>
      </c>
      <c r="J190" t="str">
        <f t="shared" si="3"/>
        <v/>
      </c>
      <c r="K190" t="str">
        <f t="shared" si="4"/>
        <v/>
      </c>
      <c r="L190" t="str">
        <f t="shared" si="5"/>
        <v/>
      </c>
      <c r="M190" t="str">
        <f t="shared" si="6"/>
        <v/>
      </c>
      <c r="N190" t="str">
        <f t="shared" si="7"/>
        <v/>
      </c>
      <c r="O190" t="str">
        <f t="shared" si="8"/>
        <v/>
      </c>
      <c r="P190" t="str">
        <f t="shared" si="9"/>
        <v/>
      </c>
      <c r="Q190" t="str">
        <f t="shared" si="10"/>
        <v/>
      </c>
      <c r="R190" t="str">
        <f t="shared" si="11"/>
        <v/>
      </c>
      <c r="S190" t="str">
        <f t="shared" si="12"/>
        <v/>
      </c>
      <c r="T190" t="str">
        <f t="shared" si="13"/>
        <v/>
      </c>
      <c r="U190" t="str">
        <f t="shared" si="14"/>
        <v/>
      </c>
      <c r="V190" t="str">
        <f t="shared" si="15"/>
        <v/>
      </c>
      <c r="W190" t="str">
        <f t="shared" si="16"/>
        <v/>
      </c>
      <c r="X190" t="str">
        <f t="shared" si="17"/>
        <v/>
      </c>
      <c r="Y190" t="str">
        <f t="shared" si="18"/>
        <v/>
      </c>
      <c r="Z190" t="str">
        <f t="shared" si="19"/>
        <v/>
      </c>
      <c r="AA190" t="str">
        <f t="shared" si="20"/>
        <v/>
      </c>
      <c r="AB190" t="str">
        <f t="shared" si="21"/>
        <v/>
      </c>
      <c r="AC190" t="str">
        <f t="shared" si="22"/>
        <v/>
      </c>
      <c r="AD190" t="str">
        <f t="shared" si="23"/>
        <v/>
      </c>
      <c r="AE190" t="str">
        <f t="shared" si="24"/>
        <v/>
      </c>
      <c r="AF190" t="str">
        <f t="shared" si="25"/>
        <v/>
      </c>
      <c r="AG190" t="str">
        <f t="shared" si="26"/>
        <v/>
      </c>
      <c r="AH190" s="65" t="str">
        <f t="array" ref="AH190">if(sum(H190:AG190)=0,,sum(sort(TRANSPOSE(H190:AG190),1,false)))</f>
        <v/>
      </c>
    </row>
    <row r="191" hidden="1">
      <c r="F191" s="4">
        <v>59.0</v>
      </c>
      <c r="H191" t="str">
        <f t="shared" si="1"/>
        <v/>
      </c>
      <c r="I191" t="str">
        <f t="shared" si="2"/>
        <v/>
      </c>
      <c r="J191" t="str">
        <f t="shared" si="3"/>
        <v/>
      </c>
      <c r="K191" t="str">
        <f t="shared" si="4"/>
        <v/>
      </c>
      <c r="L191" t="str">
        <f t="shared" si="5"/>
        <v/>
      </c>
      <c r="M191" t="str">
        <f t="shared" si="6"/>
        <v/>
      </c>
      <c r="N191" t="str">
        <f t="shared" si="7"/>
        <v/>
      </c>
      <c r="O191" t="str">
        <f t="shared" si="8"/>
        <v/>
      </c>
      <c r="P191" t="str">
        <f t="shared" si="9"/>
        <v/>
      </c>
      <c r="Q191" t="str">
        <f t="shared" si="10"/>
        <v/>
      </c>
      <c r="R191" t="str">
        <f t="shared" si="11"/>
        <v/>
      </c>
      <c r="S191" t="str">
        <f t="shared" si="12"/>
        <v/>
      </c>
      <c r="T191" t="str">
        <f t="shared" si="13"/>
        <v/>
      </c>
      <c r="U191" t="str">
        <f t="shared" si="14"/>
        <v/>
      </c>
      <c r="V191" t="str">
        <f t="shared" si="15"/>
        <v/>
      </c>
      <c r="W191" t="str">
        <f t="shared" si="16"/>
        <v/>
      </c>
      <c r="X191" t="str">
        <f t="shared" si="17"/>
        <v/>
      </c>
      <c r="Y191" t="str">
        <f t="shared" si="18"/>
        <v/>
      </c>
      <c r="Z191" t="str">
        <f t="shared" si="19"/>
        <v/>
      </c>
      <c r="AA191" t="str">
        <f t="shared" si="20"/>
        <v/>
      </c>
      <c r="AB191" t="str">
        <f t="shared" si="21"/>
        <v/>
      </c>
      <c r="AC191" t="str">
        <f t="shared" si="22"/>
        <v/>
      </c>
      <c r="AD191" t="str">
        <f t="shared" si="23"/>
        <v/>
      </c>
      <c r="AE191" t="str">
        <f t="shared" si="24"/>
        <v/>
      </c>
      <c r="AF191" t="str">
        <f t="shared" si="25"/>
        <v/>
      </c>
      <c r="AG191" t="str">
        <f t="shared" si="26"/>
        <v/>
      </c>
      <c r="AH191" s="65" t="str">
        <f t="array" ref="AH191">if(sum(H191:AG191)=0,,sum(sort(TRANSPOSE(H191:AG191),1,false)))</f>
        <v/>
      </c>
    </row>
    <row r="192" hidden="1">
      <c r="F192" s="4">
        <v>60.0</v>
      </c>
      <c r="H192" t="str">
        <f t="shared" si="1"/>
        <v/>
      </c>
      <c r="I192" t="str">
        <f t="shared" si="2"/>
        <v/>
      </c>
      <c r="J192" t="str">
        <f t="shared" si="3"/>
        <v/>
      </c>
      <c r="K192" t="str">
        <f t="shared" si="4"/>
        <v/>
      </c>
      <c r="L192" t="str">
        <f t="shared" si="5"/>
        <v/>
      </c>
      <c r="M192" t="str">
        <f t="shared" si="6"/>
        <v/>
      </c>
      <c r="N192" t="str">
        <f t="shared" si="7"/>
        <v/>
      </c>
      <c r="O192" t="str">
        <f t="shared" si="8"/>
        <v/>
      </c>
      <c r="P192" t="str">
        <f t="shared" si="9"/>
        <v/>
      </c>
      <c r="Q192" t="str">
        <f t="shared" si="10"/>
        <v/>
      </c>
      <c r="R192" t="str">
        <f t="shared" si="11"/>
        <v/>
      </c>
      <c r="S192" t="str">
        <f t="shared" si="12"/>
        <v/>
      </c>
      <c r="T192" t="str">
        <f t="shared" si="13"/>
        <v/>
      </c>
      <c r="U192" t="str">
        <f t="shared" si="14"/>
        <v/>
      </c>
      <c r="V192" t="str">
        <f t="shared" si="15"/>
        <v/>
      </c>
      <c r="W192" t="str">
        <f t="shared" si="16"/>
        <v/>
      </c>
      <c r="X192" t="str">
        <f t="shared" si="17"/>
        <v/>
      </c>
      <c r="Y192" t="str">
        <f t="shared" si="18"/>
        <v/>
      </c>
      <c r="Z192" t="str">
        <f t="shared" si="19"/>
        <v/>
      </c>
      <c r="AA192" t="str">
        <f t="shared" si="20"/>
        <v/>
      </c>
      <c r="AB192" t="str">
        <f t="shared" si="21"/>
        <v/>
      </c>
      <c r="AC192" t="str">
        <f t="shared" si="22"/>
        <v/>
      </c>
      <c r="AD192" t="str">
        <f t="shared" si="23"/>
        <v/>
      </c>
      <c r="AE192" t="str">
        <f t="shared" si="24"/>
        <v/>
      </c>
      <c r="AF192" t="str">
        <f t="shared" si="25"/>
        <v/>
      </c>
      <c r="AG192" t="str">
        <f t="shared" si="26"/>
        <v/>
      </c>
      <c r="AH192" s="65" t="str">
        <f t="array" ref="AH192">if(sum(H192:AG192)=0,,sum(sort(TRANSPOSE(H192:AG192),1,false)))</f>
        <v/>
      </c>
    </row>
    <row r="193" hidden="1">
      <c r="F193" s="4">
        <v>61.0</v>
      </c>
      <c r="H193" t="str">
        <f t="shared" si="1"/>
        <v/>
      </c>
      <c r="I193" t="str">
        <f t="shared" si="2"/>
        <v/>
      </c>
      <c r="J193" t="str">
        <f t="shared" si="3"/>
        <v/>
      </c>
      <c r="K193" t="str">
        <f t="shared" si="4"/>
        <v/>
      </c>
      <c r="L193" t="str">
        <f t="shared" si="5"/>
        <v/>
      </c>
      <c r="M193" t="str">
        <f t="shared" si="6"/>
        <v/>
      </c>
      <c r="N193" t="str">
        <f t="shared" si="7"/>
        <v/>
      </c>
      <c r="O193" t="str">
        <f t="shared" si="8"/>
        <v/>
      </c>
      <c r="P193" t="str">
        <f t="shared" si="9"/>
        <v/>
      </c>
      <c r="Q193" t="str">
        <f t="shared" si="10"/>
        <v/>
      </c>
      <c r="R193" t="str">
        <f t="shared" si="11"/>
        <v/>
      </c>
      <c r="S193" t="str">
        <f t="shared" si="12"/>
        <v/>
      </c>
      <c r="T193" t="str">
        <f t="shared" si="13"/>
        <v/>
      </c>
      <c r="U193" t="str">
        <f t="shared" si="14"/>
        <v/>
      </c>
      <c r="V193" t="str">
        <f t="shared" si="15"/>
        <v/>
      </c>
      <c r="W193" t="str">
        <f t="shared" si="16"/>
        <v/>
      </c>
      <c r="X193" t="str">
        <f t="shared" si="17"/>
        <v/>
      </c>
      <c r="Y193" t="str">
        <f t="shared" si="18"/>
        <v/>
      </c>
      <c r="Z193" t="str">
        <f t="shared" si="19"/>
        <v/>
      </c>
      <c r="AA193" t="str">
        <f t="shared" si="20"/>
        <v/>
      </c>
      <c r="AB193" t="str">
        <f t="shared" si="21"/>
        <v/>
      </c>
      <c r="AC193" t="str">
        <f t="shared" si="22"/>
        <v/>
      </c>
      <c r="AD193" t="str">
        <f t="shared" si="23"/>
        <v/>
      </c>
      <c r="AE193" t="str">
        <f t="shared" si="24"/>
        <v/>
      </c>
      <c r="AF193" t="str">
        <f t="shared" si="25"/>
        <v/>
      </c>
      <c r="AG193" t="str">
        <f t="shared" si="26"/>
        <v/>
      </c>
      <c r="AH193" s="65" t="str">
        <f t="array" ref="AH193">if(sum(H193:AG193)=0,,sum(sort(TRANSPOSE(H193:AG193),1,false)))</f>
        <v/>
      </c>
    </row>
    <row r="194" hidden="1">
      <c r="F194" s="4">
        <v>62.0</v>
      </c>
      <c r="H194" t="str">
        <f t="shared" si="1"/>
        <v/>
      </c>
      <c r="I194" t="str">
        <f t="shared" si="2"/>
        <v/>
      </c>
      <c r="J194" t="str">
        <f t="shared" si="3"/>
        <v/>
      </c>
      <c r="K194" t="str">
        <f t="shared" si="4"/>
        <v/>
      </c>
      <c r="L194" t="str">
        <f t="shared" si="5"/>
        <v/>
      </c>
      <c r="M194" t="str">
        <f t="shared" si="6"/>
        <v/>
      </c>
      <c r="N194" t="str">
        <f t="shared" si="7"/>
        <v/>
      </c>
      <c r="O194" t="str">
        <f t="shared" si="8"/>
        <v/>
      </c>
      <c r="P194" t="str">
        <f t="shared" si="9"/>
        <v/>
      </c>
      <c r="Q194" t="str">
        <f t="shared" si="10"/>
        <v/>
      </c>
      <c r="R194" t="str">
        <f t="shared" si="11"/>
        <v/>
      </c>
      <c r="S194" t="str">
        <f t="shared" si="12"/>
        <v/>
      </c>
      <c r="T194" t="str">
        <f t="shared" si="13"/>
        <v/>
      </c>
      <c r="U194" t="str">
        <f t="shared" si="14"/>
        <v/>
      </c>
      <c r="V194" t="str">
        <f t="shared" si="15"/>
        <v/>
      </c>
      <c r="W194" t="str">
        <f t="shared" si="16"/>
        <v/>
      </c>
      <c r="X194" t="str">
        <f t="shared" si="17"/>
        <v/>
      </c>
      <c r="Y194" t="str">
        <f t="shared" si="18"/>
        <v/>
      </c>
      <c r="Z194" t="str">
        <f t="shared" si="19"/>
        <v/>
      </c>
      <c r="AA194" t="str">
        <f t="shared" si="20"/>
        <v/>
      </c>
      <c r="AB194" t="str">
        <f t="shared" si="21"/>
        <v/>
      </c>
      <c r="AC194" t="str">
        <f t="shared" si="22"/>
        <v/>
      </c>
      <c r="AD194" t="str">
        <f t="shared" si="23"/>
        <v/>
      </c>
      <c r="AE194" t="str">
        <f t="shared" si="24"/>
        <v/>
      </c>
      <c r="AF194" t="str">
        <f t="shared" si="25"/>
        <v/>
      </c>
      <c r="AG194" t="str">
        <f t="shared" si="26"/>
        <v/>
      </c>
      <c r="AH194" s="65" t="str">
        <f t="array" ref="AH194">if(sum(H194:AG194)=0,,sum(sort(TRANSPOSE(H194:AG194),1,false)))</f>
        <v/>
      </c>
    </row>
    <row r="195" hidden="1">
      <c r="F195" s="4">
        <v>63.0</v>
      </c>
      <c r="H195" t="str">
        <f t="shared" si="1"/>
        <v/>
      </c>
      <c r="I195" t="str">
        <f t="shared" si="2"/>
        <v/>
      </c>
      <c r="J195" t="str">
        <f t="shared" si="3"/>
        <v/>
      </c>
      <c r="K195" t="str">
        <f t="shared" si="4"/>
        <v/>
      </c>
      <c r="L195" t="str">
        <f t="shared" si="5"/>
        <v/>
      </c>
      <c r="M195" t="str">
        <f t="shared" si="6"/>
        <v/>
      </c>
      <c r="N195" t="str">
        <f t="shared" si="7"/>
        <v/>
      </c>
      <c r="O195" t="str">
        <f t="shared" si="8"/>
        <v/>
      </c>
      <c r="P195" t="str">
        <f t="shared" si="9"/>
        <v/>
      </c>
      <c r="Q195" t="str">
        <f t="shared" si="10"/>
        <v/>
      </c>
      <c r="R195" t="str">
        <f t="shared" si="11"/>
        <v/>
      </c>
      <c r="S195" t="str">
        <f t="shared" si="12"/>
        <v/>
      </c>
      <c r="T195" t="str">
        <f t="shared" si="13"/>
        <v/>
      </c>
      <c r="U195" t="str">
        <f t="shared" si="14"/>
        <v/>
      </c>
      <c r="V195" t="str">
        <f t="shared" si="15"/>
        <v/>
      </c>
      <c r="W195" t="str">
        <f t="shared" si="16"/>
        <v/>
      </c>
      <c r="X195" t="str">
        <f t="shared" si="17"/>
        <v/>
      </c>
      <c r="Y195" t="str">
        <f t="shared" si="18"/>
        <v/>
      </c>
      <c r="Z195" t="str">
        <f t="shared" si="19"/>
        <v/>
      </c>
      <c r="AA195" t="str">
        <f t="shared" si="20"/>
        <v/>
      </c>
      <c r="AB195" t="str">
        <f t="shared" si="21"/>
        <v/>
      </c>
      <c r="AC195" t="str">
        <f t="shared" si="22"/>
        <v/>
      </c>
      <c r="AD195" t="str">
        <f t="shared" si="23"/>
        <v/>
      </c>
      <c r="AE195" t="str">
        <f t="shared" si="24"/>
        <v/>
      </c>
      <c r="AF195" t="str">
        <f t="shared" si="25"/>
        <v/>
      </c>
      <c r="AG195" t="str">
        <f t="shared" si="26"/>
        <v/>
      </c>
      <c r="AH195" s="65" t="str">
        <f t="array" ref="AH195">if(sum(H195:AG195)=0,,sum(sort(TRANSPOSE(H195:AG195),1,false)))</f>
        <v/>
      </c>
    </row>
    <row r="196" hidden="1">
      <c r="F196" s="4">
        <v>64.0</v>
      </c>
      <c r="H196" t="str">
        <f t="shared" si="1"/>
        <v/>
      </c>
      <c r="I196" t="str">
        <f t="shared" si="2"/>
        <v/>
      </c>
      <c r="J196" t="str">
        <f t="shared" si="3"/>
        <v/>
      </c>
      <c r="K196" t="str">
        <f t="shared" si="4"/>
        <v/>
      </c>
      <c r="L196" t="str">
        <f t="shared" si="5"/>
        <v/>
      </c>
      <c r="M196" t="str">
        <f t="shared" si="6"/>
        <v/>
      </c>
      <c r="N196" t="str">
        <f t="shared" si="7"/>
        <v/>
      </c>
      <c r="O196" t="str">
        <f t="shared" si="8"/>
        <v/>
      </c>
      <c r="P196" t="str">
        <f t="shared" si="9"/>
        <v/>
      </c>
      <c r="Q196" t="str">
        <f t="shared" si="10"/>
        <v/>
      </c>
      <c r="R196" t="str">
        <f t="shared" si="11"/>
        <v/>
      </c>
      <c r="S196" t="str">
        <f t="shared" si="12"/>
        <v/>
      </c>
      <c r="T196" t="str">
        <f t="shared" si="13"/>
        <v/>
      </c>
      <c r="U196" t="str">
        <f t="shared" si="14"/>
        <v/>
      </c>
      <c r="V196" t="str">
        <f t="shared" si="15"/>
        <v/>
      </c>
      <c r="W196" t="str">
        <f t="shared" si="16"/>
        <v/>
      </c>
      <c r="X196" t="str">
        <f t="shared" si="17"/>
        <v/>
      </c>
      <c r="Y196" t="str">
        <f t="shared" si="18"/>
        <v/>
      </c>
      <c r="Z196" t="str">
        <f t="shared" si="19"/>
        <v/>
      </c>
      <c r="AA196" t="str">
        <f t="shared" si="20"/>
        <v/>
      </c>
      <c r="AB196" t="str">
        <f t="shared" si="21"/>
        <v/>
      </c>
      <c r="AC196" t="str">
        <f t="shared" si="22"/>
        <v/>
      </c>
      <c r="AD196" t="str">
        <f t="shared" si="23"/>
        <v/>
      </c>
      <c r="AE196" t="str">
        <f t="shared" si="24"/>
        <v/>
      </c>
      <c r="AF196" t="str">
        <f t="shared" si="25"/>
        <v/>
      </c>
      <c r="AG196" t="str">
        <f t="shared" si="26"/>
        <v/>
      </c>
      <c r="AH196" s="65" t="str">
        <f t="array" ref="AH196">if(sum(H196:AG196)=0,,sum(sort(TRANSPOSE(H196:AG196),1,false)))</f>
        <v/>
      </c>
    </row>
    <row r="197" hidden="1">
      <c r="F197" s="4">
        <v>65.0</v>
      </c>
      <c r="H197" t="str">
        <f t="shared" si="1"/>
        <v/>
      </c>
      <c r="I197" t="str">
        <f t="shared" si="2"/>
        <v/>
      </c>
      <c r="J197" t="str">
        <f t="shared" si="3"/>
        <v/>
      </c>
      <c r="K197" t="str">
        <f t="shared" si="4"/>
        <v/>
      </c>
      <c r="L197" t="str">
        <f t="shared" si="5"/>
        <v/>
      </c>
      <c r="M197" t="str">
        <f t="shared" si="6"/>
        <v/>
      </c>
      <c r="N197" t="str">
        <f t="shared" si="7"/>
        <v/>
      </c>
      <c r="O197" t="str">
        <f t="shared" si="8"/>
        <v/>
      </c>
      <c r="P197" t="str">
        <f t="shared" si="9"/>
        <v/>
      </c>
      <c r="Q197" t="str">
        <f t="shared" si="10"/>
        <v/>
      </c>
      <c r="R197" t="str">
        <f t="shared" si="11"/>
        <v/>
      </c>
      <c r="S197" t="str">
        <f t="shared" si="12"/>
        <v/>
      </c>
      <c r="T197" t="str">
        <f t="shared" si="13"/>
        <v/>
      </c>
      <c r="U197" t="str">
        <f t="shared" si="14"/>
        <v/>
      </c>
      <c r="V197" t="str">
        <f t="shared" si="15"/>
        <v/>
      </c>
      <c r="W197" t="str">
        <f t="shared" si="16"/>
        <v/>
      </c>
      <c r="X197" t="str">
        <f t="shared" si="17"/>
        <v/>
      </c>
      <c r="Y197" t="str">
        <f t="shared" si="18"/>
        <v/>
      </c>
      <c r="Z197" t="str">
        <f t="shared" si="19"/>
        <v/>
      </c>
      <c r="AA197" t="str">
        <f t="shared" si="20"/>
        <v/>
      </c>
      <c r="AB197" t="str">
        <f t="shared" si="21"/>
        <v/>
      </c>
      <c r="AC197" t="str">
        <f t="shared" si="22"/>
        <v/>
      </c>
      <c r="AD197" t="str">
        <f t="shared" si="23"/>
        <v/>
      </c>
      <c r="AE197" t="str">
        <f t="shared" si="24"/>
        <v/>
      </c>
      <c r="AF197" t="str">
        <f t="shared" si="25"/>
        <v/>
      </c>
      <c r="AG197" t="str">
        <f t="shared" si="26"/>
        <v/>
      </c>
      <c r="AH197" s="65" t="str">
        <f t="array" ref="AH197">if(sum(H197:AG197)=0,,sum(sort(TRANSPOSE(H197:AG197),1,false)))</f>
        <v/>
      </c>
    </row>
    <row r="198" hidden="1">
      <c r="F198" s="4">
        <v>66.0</v>
      </c>
      <c r="H198" t="str">
        <f t="shared" si="1"/>
        <v/>
      </c>
      <c r="I198" t="str">
        <f t="shared" si="2"/>
        <v/>
      </c>
      <c r="J198" t="str">
        <f t="shared" si="3"/>
        <v/>
      </c>
      <c r="K198" t="str">
        <f t="shared" si="4"/>
        <v/>
      </c>
      <c r="L198" t="str">
        <f t="shared" si="5"/>
        <v/>
      </c>
      <c r="M198" t="str">
        <f t="shared" si="6"/>
        <v/>
      </c>
      <c r="N198" t="str">
        <f t="shared" si="7"/>
        <v/>
      </c>
      <c r="O198" t="str">
        <f t="shared" si="8"/>
        <v/>
      </c>
      <c r="P198" t="str">
        <f t="shared" si="9"/>
        <v/>
      </c>
      <c r="Q198" t="str">
        <f t="shared" si="10"/>
        <v/>
      </c>
      <c r="R198" t="str">
        <f t="shared" si="11"/>
        <v/>
      </c>
      <c r="S198" t="str">
        <f t="shared" si="12"/>
        <v/>
      </c>
      <c r="T198" t="str">
        <f t="shared" si="13"/>
        <v/>
      </c>
      <c r="U198" t="str">
        <f t="shared" si="14"/>
        <v/>
      </c>
      <c r="V198" t="str">
        <f t="shared" si="15"/>
        <v/>
      </c>
      <c r="W198" t="str">
        <f t="shared" si="16"/>
        <v/>
      </c>
      <c r="X198" t="str">
        <f t="shared" si="17"/>
        <v/>
      </c>
      <c r="Y198" t="str">
        <f t="shared" si="18"/>
        <v/>
      </c>
      <c r="Z198" t="str">
        <f t="shared" si="19"/>
        <v/>
      </c>
      <c r="AA198" t="str">
        <f t="shared" si="20"/>
        <v/>
      </c>
      <c r="AB198" t="str">
        <f t="shared" si="21"/>
        <v/>
      </c>
      <c r="AC198" t="str">
        <f t="shared" si="22"/>
        <v/>
      </c>
      <c r="AD198" t="str">
        <f t="shared" si="23"/>
        <v/>
      </c>
      <c r="AE198" t="str">
        <f t="shared" si="24"/>
        <v/>
      </c>
      <c r="AF198" t="str">
        <f t="shared" si="25"/>
        <v/>
      </c>
      <c r="AG198" t="str">
        <f t="shared" si="26"/>
        <v/>
      </c>
      <c r="AH198" s="65" t="str">
        <f t="array" ref="AH198">if(sum(H198:AG198)=0,,sum(sort(TRANSPOSE(H198:AG198),1,false)))</f>
        <v/>
      </c>
    </row>
    <row r="199" hidden="1">
      <c r="F199" s="4">
        <v>67.0</v>
      </c>
      <c r="H199" t="str">
        <f t="shared" si="1"/>
        <v/>
      </c>
      <c r="I199" t="str">
        <f t="shared" si="2"/>
        <v/>
      </c>
      <c r="J199" t="str">
        <f t="shared" si="3"/>
        <v/>
      </c>
      <c r="K199" t="str">
        <f t="shared" si="4"/>
        <v/>
      </c>
      <c r="L199" t="str">
        <f t="shared" si="5"/>
        <v/>
      </c>
      <c r="M199" t="str">
        <f t="shared" si="6"/>
        <v/>
      </c>
      <c r="N199" t="str">
        <f t="shared" si="7"/>
        <v/>
      </c>
      <c r="O199" t="str">
        <f t="shared" si="8"/>
        <v/>
      </c>
      <c r="P199" t="str">
        <f t="shared" si="9"/>
        <v/>
      </c>
      <c r="Q199" t="str">
        <f t="shared" si="10"/>
        <v/>
      </c>
      <c r="R199" t="str">
        <f t="shared" si="11"/>
        <v/>
      </c>
      <c r="S199" t="str">
        <f t="shared" si="12"/>
        <v/>
      </c>
      <c r="T199" t="str">
        <f t="shared" si="13"/>
        <v/>
      </c>
      <c r="U199" t="str">
        <f t="shared" si="14"/>
        <v/>
      </c>
      <c r="V199" t="str">
        <f t="shared" si="15"/>
        <v/>
      </c>
      <c r="W199" t="str">
        <f t="shared" si="16"/>
        <v/>
      </c>
      <c r="X199" t="str">
        <f t="shared" si="17"/>
        <v/>
      </c>
      <c r="Y199" t="str">
        <f t="shared" si="18"/>
        <v/>
      </c>
      <c r="Z199" t="str">
        <f t="shared" si="19"/>
        <v/>
      </c>
      <c r="AA199" t="str">
        <f t="shared" si="20"/>
        <v/>
      </c>
      <c r="AB199" t="str">
        <f t="shared" si="21"/>
        <v/>
      </c>
      <c r="AC199" t="str">
        <f t="shared" si="22"/>
        <v/>
      </c>
      <c r="AD199" t="str">
        <f t="shared" si="23"/>
        <v/>
      </c>
      <c r="AE199" t="str">
        <f t="shared" si="24"/>
        <v/>
      </c>
      <c r="AF199" t="str">
        <f t="shared" si="25"/>
        <v/>
      </c>
      <c r="AG199" t="str">
        <f t="shared" si="26"/>
        <v/>
      </c>
      <c r="AH199" s="65" t="str">
        <f t="array" ref="AH199">if(sum(H199:AG199)=0,,sum(sort(TRANSPOSE(H199:AG199),1,false)))</f>
        <v/>
      </c>
    </row>
    <row r="200" hidden="1">
      <c r="F200" s="4">
        <v>68.0</v>
      </c>
      <c r="H200" t="str">
        <f t="shared" si="1"/>
        <v/>
      </c>
      <c r="I200" t="str">
        <f t="shared" si="2"/>
        <v/>
      </c>
      <c r="J200" t="str">
        <f t="shared" si="3"/>
        <v/>
      </c>
      <c r="K200" t="str">
        <f t="shared" si="4"/>
        <v/>
      </c>
      <c r="L200" t="str">
        <f t="shared" si="5"/>
        <v/>
      </c>
      <c r="M200" t="str">
        <f t="shared" si="6"/>
        <v/>
      </c>
      <c r="N200" t="str">
        <f t="shared" si="7"/>
        <v/>
      </c>
      <c r="O200" t="str">
        <f t="shared" si="8"/>
        <v/>
      </c>
      <c r="P200" t="str">
        <f t="shared" si="9"/>
        <v/>
      </c>
      <c r="Q200" t="str">
        <f t="shared" si="10"/>
        <v/>
      </c>
      <c r="R200" t="str">
        <f t="shared" si="11"/>
        <v/>
      </c>
      <c r="S200" t="str">
        <f t="shared" si="12"/>
        <v/>
      </c>
      <c r="T200" t="str">
        <f t="shared" si="13"/>
        <v/>
      </c>
      <c r="U200" t="str">
        <f t="shared" si="14"/>
        <v/>
      </c>
      <c r="V200" t="str">
        <f t="shared" si="15"/>
        <v/>
      </c>
      <c r="W200" t="str">
        <f t="shared" si="16"/>
        <v/>
      </c>
      <c r="X200" t="str">
        <f t="shared" si="17"/>
        <v/>
      </c>
      <c r="Y200" t="str">
        <f t="shared" si="18"/>
        <v/>
      </c>
      <c r="Z200" t="str">
        <f t="shared" si="19"/>
        <v/>
      </c>
      <c r="AA200" t="str">
        <f t="shared" si="20"/>
        <v/>
      </c>
      <c r="AB200" t="str">
        <f t="shared" si="21"/>
        <v/>
      </c>
      <c r="AC200" t="str">
        <f t="shared" si="22"/>
        <v/>
      </c>
      <c r="AD200" t="str">
        <f t="shared" si="23"/>
        <v/>
      </c>
      <c r="AE200" t="str">
        <f t="shared" si="24"/>
        <v/>
      </c>
      <c r="AF200" t="str">
        <f t="shared" si="25"/>
        <v/>
      </c>
      <c r="AG200" t="str">
        <f t="shared" si="26"/>
        <v/>
      </c>
      <c r="AH200" s="65" t="str">
        <f t="array" ref="AH200">if(sum(H200:AG200)=0,,sum(sort(TRANSPOSE(H200:AG200),1,false)))</f>
        <v/>
      </c>
    </row>
    <row r="201" hidden="1">
      <c r="F201" s="4">
        <v>69.0</v>
      </c>
      <c r="H201" t="str">
        <f t="shared" si="1"/>
        <v/>
      </c>
      <c r="I201" t="str">
        <f t="shared" si="2"/>
        <v/>
      </c>
      <c r="J201" t="str">
        <f t="shared" si="3"/>
        <v/>
      </c>
      <c r="K201" t="str">
        <f t="shared" si="4"/>
        <v/>
      </c>
      <c r="L201" t="str">
        <f t="shared" si="5"/>
        <v/>
      </c>
      <c r="M201" t="str">
        <f t="shared" si="6"/>
        <v/>
      </c>
      <c r="N201" t="str">
        <f t="shared" si="7"/>
        <v/>
      </c>
      <c r="O201" t="str">
        <f t="shared" si="8"/>
        <v/>
      </c>
      <c r="P201" t="str">
        <f t="shared" si="9"/>
        <v/>
      </c>
      <c r="Q201" t="str">
        <f t="shared" si="10"/>
        <v/>
      </c>
      <c r="R201" t="str">
        <f t="shared" si="11"/>
        <v/>
      </c>
      <c r="S201" t="str">
        <f t="shared" si="12"/>
        <v/>
      </c>
      <c r="T201" t="str">
        <f t="shared" si="13"/>
        <v/>
      </c>
      <c r="U201" t="str">
        <f t="shared" si="14"/>
        <v/>
      </c>
      <c r="V201" t="str">
        <f t="shared" si="15"/>
        <v/>
      </c>
      <c r="W201" t="str">
        <f t="shared" si="16"/>
        <v/>
      </c>
      <c r="X201" t="str">
        <f t="shared" si="17"/>
        <v/>
      </c>
      <c r="Y201" t="str">
        <f t="shared" si="18"/>
        <v/>
      </c>
      <c r="Z201" t="str">
        <f t="shared" si="19"/>
        <v/>
      </c>
      <c r="AA201" t="str">
        <f t="shared" si="20"/>
        <v/>
      </c>
      <c r="AB201" t="str">
        <f t="shared" si="21"/>
        <v/>
      </c>
      <c r="AC201" t="str">
        <f t="shared" si="22"/>
        <v/>
      </c>
      <c r="AD201" t="str">
        <f t="shared" si="23"/>
        <v/>
      </c>
      <c r="AE201" t="str">
        <f t="shared" si="24"/>
        <v/>
      </c>
      <c r="AF201" t="str">
        <f t="shared" si="25"/>
        <v/>
      </c>
      <c r="AG201" t="str">
        <f t="shared" si="26"/>
        <v/>
      </c>
      <c r="AH201" s="65" t="str">
        <f t="array" ref="AH201">if(sum(H201:AG201)=0,,sum(sort(TRANSPOSE(H201:AG201),1,false)))</f>
        <v/>
      </c>
    </row>
    <row r="202" hidden="1">
      <c r="F202" s="4">
        <v>70.0</v>
      </c>
      <c r="H202" t="str">
        <f t="shared" si="1"/>
        <v/>
      </c>
      <c r="I202" t="str">
        <f t="shared" si="2"/>
        <v/>
      </c>
      <c r="J202" t="str">
        <f t="shared" si="3"/>
        <v/>
      </c>
      <c r="K202" t="str">
        <f t="shared" si="4"/>
        <v/>
      </c>
      <c r="L202" t="str">
        <f t="shared" si="5"/>
        <v/>
      </c>
      <c r="M202" t="str">
        <f t="shared" si="6"/>
        <v/>
      </c>
      <c r="N202" t="str">
        <f t="shared" si="7"/>
        <v/>
      </c>
      <c r="O202" t="str">
        <f t="shared" si="8"/>
        <v/>
      </c>
      <c r="P202" t="str">
        <f t="shared" si="9"/>
        <v/>
      </c>
      <c r="Q202" t="str">
        <f t="shared" si="10"/>
        <v/>
      </c>
      <c r="R202" t="str">
        <f t="shared" si="11"/>
        <v/>
      </c>
      <c r="S202" t="str">
        <f t="shared" si="12"/>
        <v/>
      </c>
      <c r="T202" t="str">
        <f t="shared" si="13"/>
        <v/>
      </c>
      <c r="U202" t="str">
        <f t="shared" si="14"/>
        <v/>
      </c>
      <c r="V202" t="str">
        <f t="shared" si="15"/>
        <v/>
      </c>
      <c r="W202" t="str">
        <f t="shared" si="16"/>
        <v/>
      </c>
      <c r="X202" t="str">
        <f t="shared" si="17"/>
        <v/>
      </c>
      <c r="Y202" t="str">
        <f t="shared" si="18"/>
        <v/>
      </c>
      <c r="Z202" t="str">
        <f t="shared" si="19"/>
        <v/>
      </c>
      <c r="AA202" t="str">
        <f t="shared" si="20"/>
        <v/>
      </c>
      <c r="AB202" t="str">
        <f t="shared" si="21"/>
        <v/>
      </c>
      <c r="AC202" t="str">
        <f t="shared" si="22"/>
        <v/>
      </c>
      <c r="AD202" t="str">
        <f t="shared" si="23"/>
        <v/>
      </c>
      <c r="AE202" t="str">
        <f t="shared" si="24"/>
        <v/>
      </c>
      <c r="AF202" t="str">
        <f t="shared" si="25"/>
        <v/>
      </c>
      <c r="AG202" t="str">
        <f t="shared" si="26"/>
        <v/>
      </c>
      <c r="AH202" s="65" t="str">
        <f t="array" ref="AH202">if(sum(H202:AG202)=0,,sum(sort(TRANSPOSE(H202:AG202),1,false)))</f>
        <v/>
      </c>
    </row>
    <row r="203" hidden="1">
      <c r="F203" s="4">
        <v>71.0</v>
      </c>
      <c r="H203" t="str">
        <f t="shared" si="1"/>
        <v/>
      </c>
      <c r="I203" t="str">
        <f t="shared" si="2"/>
        <v/>
      </c>
      <c r="J203" t="str">
        <f t="shared" si="3"/>
        <v/>
      </c>
      <c r="K203" t="str">
        <f t="shared" si="4"/>
        <v/>
      </c>
      <c r="L203" t="str">
        <f t="shared" si="5"/>
        <v/>
      </c>
      <c r="M203" t="str">
        <f t="shared" si="6"/>
        <v/>
      </c>
      <c r="N203" t="str">
        <f t="shared" si="7"/>
        <v/>
      </c>
      <c r="O203" t="str">
        <f t="shared" si="8"/>
        <v/>
      </c>
      <c r="P203" t="str">
        <f t="shared" si="9"/>
        <v/>
      </c>
      <c r="Q203" t="str">
        <f t="shared" si="10"/>
        <v/>
      </c>
      <c r="R203" t="str">
        <f t="shared" si="11"/>
        <v/>
      </c>
      <c r="S203" t="str">
        <f t="shared" si="12"/>
        <v/>
      </c>
      <c r="T203" t="str">
        <f t="shared" si="13"/>
        <v/>
      </c>
      <c r="U203" t="str">
        <f t="shared" si="14"/>
        <v/>
      </c>
      <c r="V203" t="str">
        <f t="shared" si="15"/>
        <v/>
      </c>
      <c r="W203" t="str">
        <f t="shared" si="16"/>
        <v/>
      </c>
      <c r="X203" t="str">
        <f t="shared" si="17"/>
        <v/>
      </c>
      <c r="Y203" t="str">
        <f t="shared" si="18"/>
        <v/>
      </c>
      <c r="Z203" t="str">
        <f t="shared" si="19"/>
        <v/>
      </c>
      <c r="AA203" t="str">
        <f t="shared" si="20"/>
        <v/>
      </c>
      <c r="AB203" t="str">
        <f t="shared" si="21"/>
        <v/>
      </c>
      <c r="AC203" t="str">
        <f t="shared" si="22"/>
        <v/>
      </c>
      <c r="AD203" t="str">
        <f t="shared" si="23"/>
        <v/>
      </c>
      <c r="AE203" t="str">
        <f t="shared" si="24"/>
        <v/>
      </c>
      <c r="AF203" t="str">
        <f t="shared" si="25"/>
        <v/>
      </c>
      <c r="AG203" t="str">
        <f t="shared" si="26"/>
        <v/>
      </c>
      <c r="AH203" s="65" t="str">
        <f t="array" ref="AH203">if(sum(H203:AG203)=0,,sum(sort(TRANSPOSE(H203:AG203),1,false)))</f>
        <v/>
      </c>
    </row>
    <row r="204" hidden="1">
      <c r="F204" s="4">
        <v>72.0</v>
      </c>
      <c r="H204" t="str">
        <f t="shared" si="1"/>
        <v/>
      </c>
      <c r="I204" t="str">
        <f t="shared" si="2"/>
        <v/>
      </c>
      <c r="J204" t="str">
        <f t="shared" si="3"/>
        <v/>
      </c>
      <c r="K204" t="str">
        <f t="shared" si="4"/>
        <v/>
      </c>
      <c r="L204" t="str">
        <f t="shared" si="5"/>
        <v/>
      </c>
      <c r="M204" t="str">
        <f t="shared" si="6"/>
        <v/>
      </c>
      <c r="N204" t="str">
        <f t="shared" si="7"/>
        <v/>
      </c>
      <c r="O204" t="str">
        <f t="shared" si="8"/>
        <v/>
      </c>
      <c r="P204" t="str">
        <f t="shared" si="9"/>
        <v/>
      </c>
      <c r="Q204" t="str">
        <f t="shared" si="10"/>
        <v/>
      </c>
      <c r="R204" t="str">
        <f t="shared" si="11"/>
        <v/>
      </c>
      <c r="S204" t="str">
        <f t="shared" si="12"/>
        <v/>
      </c>
      <c r="T204" t="str">
        <f t="shared" si="13"/>
        <v/>
      </c>
      <c r="U204" t="str">
        <f t="shared" si="14"/>
        <v/>
      </c>
      <c r="V204" t="str">
        <f t="shared" si="15"/>
        <v/>
      </c>
      <c r="W204" t="str">
        <f t="shared" si="16"/>
        <v/>
      </c>
      <c r="X204" t="str">
        <f t="shared" si="17"/>
        <v/>
      </c>
      <c r="Y204" t="str">
        <f t="shared" si="18"/>
        <v/>
      </c>
      <c r="Z204" t="str">
        <f t="shared" si="19"/>
        <v/>
      </c>
      <c r="AA204" t="str">
        <f t="shared" si="20"/>
        <v/>
      </c>
      <c r="AB204" t="str">
        <f t="shared" si="21"/>
        <v/>
      </c>
      <c r="AC204" t="str">
        <f t="shared" si="22"/>
        <v/>
      </c>
      <c r="AD204" t="str">
        <f t="shared" si="23"/>
        <v/>
      </c>
      <c r="AE204" t="str">
        <f t="shared" si="24"/>
        <v/>
      </c>
      <c r="AF204" t="str">
        <f t="shared" si="25"/>
        <v/>
      </c>
      <c r="AG204" t="str">
        <f t="shared" si="26"/>
        <v/>
      </c>
      <c r="AH204" s="65" t="str">
        <f t="array" ref="AH204">if(sum(H204:AG204)=0,,sum(sort(TRANSPOSE(H204:AG204),1,false)))</f>
        <v/>
      </c>
    </row>
    <row r="205" hidden="1">
      <c r="F205" s="4">
        <v>73.0</v>
      </c>
      <c r="H205" t="str">
        <f t="shared" si="1"/>
        <v/>
      </c>
      <c r="I205" t="str">
        <f t="shared" si="2"/>
        <v/>
      </c>
      <c r="J205" t="str">
        <f t="shared" si="3"/>
        <v/>
      </c>
      <c r="K205" t="str">
        <f t="shared" si="4"/>
        <v/>
      </c>
      <c r="L205" t="str">
        <f t="shared" si="5"/>
        <v/>
      </c>
      <c r="M205" t="str">
        <f t="shared" si="6"/>
        <v/>
      </c>
      <c r="N205" t="str">
        <f t="shared" si="7"/>
        <v/>
      </c>
      <c r="O205" t="str">
        <f t="shared" si="8"/>
        <v/>
      </c>
      <c r="P205" t="str">
        <f t="shared" si="9"/>
        <v/>
      </c>
      <c r="Q205" t="str">
        <f t="shared" si="10"/>
        <v/>
      </c>
      <c r="R205" t="str">
        <f t="shared" si="11"/>
        <v/>
      </c>
      <c r="S205" t="str">
        <f t="shared" si="12"/>
        <v/>
      </c>
      <c r="T205" t="str">
        <f t="shared" si="13"/>
        <v/>
      </c>
      <c r="U205" t="str">
        <f t="shared" si="14"/>
        <v/>
      </c>
      <c r="V205" t="str">
        <f t="shared" si="15"/>
        <v/>
      </c>
      <c r="W205" t="str">
        <f t="shared" si="16"/>
        <v/>
      </c>
      <c r="X205" t="str">
        <f t="shared" si="17"/>
        <v/>
      </c>
      <c r="Y205" t="str">
        <f t="shared" si="18"/>
        <v/>
      </c>
      <c r="Z205" t="str">
        <f t="shared" si="19"/>
        <v/>
      </c>
      <c r="AA205" t="str">
        <f t="shared" si="20"/>
        <v/>
      </c>
      <c r="AB205" t="str">
        <f t="shared" si="21"/>
        <v/>
      </c>
      <c r="AC205" t="str">
        <f t="shared" si="22"/>
        <v/>
      </c>
      <c r="AD205" t="str">
        <f t="shared" si="23"/>
        <v/>
      </c>
      <c r="AE205" t="str">
        <f t="shared" si="24"/>
        <v/>
      </c>
      <c r="AF205" t="str">
        <f t="shared" si="25"/>
        <v/>
      </c>
      <c r="AG205" t="str">
        <f t="shared" si="26"/>
        <v/>
      </c>
      <c r="AH205" s="65" t="str">
        <f t="array" ref="AH205">if(sum(H205:AG205)=0,,sum(sort(TRANSPOSE(H205:AG205),1,false)))</f>
        <v/>
      </c>
    </row>
    <row r="206" hidden="1">
      <c r="F206" s="4">
        <v>74.0</v>
      </c>
      <c r="H206" t="str">
        <f t="shared" si="1"/>
        <v/>
      </c>
      <c r="I206" t="str">
        <f t="shared" si="2"/>
        <v/>
      </c>
      <c r="J206" t="str">
        <f t="shared" si="3"/>
        <v/>
      </c>
      <c r="K206" t="str">
        <f t="shared" si="4"/>
        <v/>
      </c>
      <c r="L206" t="str">
        <f t="shared" si="5"/>
        <v/>
      </c>
      <c r="M206" t="str">
        <f t="shared" si="6"/>
        <v/>
      </c>
      <c r="N206" t="str">
        <f t="shared" si="7"/>
        <v/>
      </c>
      <c r="O206" t="str">
        <f t="shared" si="8"/>
        <v/>
      </c>
      <c r="P206" t="str">
        <f t="shared" si="9"/>
        <v/>
      </c>
      <c r="Q206" t="str">
        <f t="shared" si="10"/>
        <v/>
      </c>
      <c r="R206" t="str">
        <f t="shared" si="11"/>
        <v/>
      </c>
      <c r="S206" t="str">
        <f t="shared" si="12"/>
        <v/>
      </c>
      <c r="T206" t="str">
        <f t="shared" si="13"/>
        <v/>
      </c>
      <c r="U206" t="str">
        <f t="shared" si="14"/>
        <v/>
      </c>
      <c r="V206" t="str">
        <f t="shared" si="15"/>
        <v/>
      </c>
      <c r="W206" t="str">
        <f t="shared" si="16"/>
        <v/>
      </c>
      <c r="X206" t="str">
        <f t="shared" si="17"/>
        <v/>
      </c>
      <c r="Y206" t="str">
        <f t="shared" si="18"/>
        <v/>
      </c>
      <c r="Z206" t="str">
        <f t="shared" si="19"/>
        <v/>
      </c>
      <c r="AA206" t="str">
        <f t="shared" si="20"/>
        <v/>
      </c>
      <c r="AB206" t="str">
        <f t="shared" si="21"/>
        <v/>
      </c>
      <c r="AC206" t="str">
        <f t="shared" si="22"/>
        <v/>
      </c>
      <c r="AD206" t="str">
        <f t="shared" si="23"/>
        <v/>
      </c>
      <c r="AE206" t="str">
        <f t="shared" si="24"/>
        <v/>
      </c>
      <c r="AF206" t="str">
        <f t="shared" si="25"/>
        <v/>
      </c>
      <c r="AG206" t="str">
        <f t="shared" si="26"/>
        <v/>
      </c>
      <c r="AH206" s="65" t="str">
        <f t="array" ref="AH206">if(sum(H206:AG206)=0,,sum(sort(TRANSPOSE(H206:AG206),1,false)))</f>
        <v/>
      </c>
    </row>
    <row r="207" hidden="1">
      <c r="F207" s="4">
        <v>75.0</v>
      </c>
      <c r="H207" t="str">
        <f t="shared" si="1"/>
        <v/>
      </c>
      <c r="I207" t="str">
        <f t="shared" si="2"/>
        <v/>
      </c>
      <c r="J207" t="str">
        <f t="shared" si="3"/>
        <v/>
      </c>
      <c r="K207" t="str">
        <f t="shared" si="4"/>
        <v/>
      </c>
      <c r="L207" t="str">
        <f t="shared" si="5"/>
        <v/>
      </c>
      <c r="M207" t="str">
        <f t="shared" si="6"/>
        <v/>
      </c>
      <c r="N207" t="str">
        <f t="shared" si="7"/>
        <v/>
      </c>
      <c r="O207" t="str">
        <f t="shared" si="8"/>
        <v/>
      </c>
      <c r="P207" t="str">
        <f t="shared" si="9"/>
        <v/>
      </c>
      <c r="Q207" t="str">
        <f t="shared" si="10"/>
        <v/>
      </c>
      <c r="R207" t="str">
        <f t="shared" si="11"/>
        <v/>
      </c>
      <c r="S207" t="str">
        <f t="shared" si="12"/>
        <v/>
      </c>
      <c r="T207" t="str">
        <f t="shared" si="13"/>
        <v/>
      </c>
      <c r="U207" t="str">
        <f t="shared" si="14"/>
        <v/>
      </c>
      <c r="V207" t="str">
        <f t="shared" si="15"/>
        <v/>
      </c>
      <c r="W207" t="str">
        <f t="shared" si="16"/>
        <v/>
      </c>
      <c r="X207" t="str">
        <f t="shared" si="17"/>
        <v/>
      </c>
      <c r="Y207" t="str">
        <f t="shared" si="18"/>
        <v/>
      </c>
      <c r="Z207" t="str">
        <f t="shared" si="19"/>
        <v/>
      </c>
      <c r="AA207" t="str">
        <f t="shared" si="20"/>
        <v/>
      </c>
      <c r="AB207" t="str">
        <f t="shared" si="21"/>
        <v/>
      </c>
      <c r="AC207" t="str">
        <f t="shared" si="22"/>
        <v/>
      </c>
      <c r="AD207" t="str">
        <f t="shared" si="23"/>
        <v/>
      </c>
      <c r="AE207" t="str">
        <f t="shared" si="24"/>
        <v/>
      </c>
      <c r="AF207" t="str">
        <f t="shared" si="25"/>
        <v/>
      </c>
      <c r="AG207" t="str">
        <f t="shared" si="26"/>
        <v/>
      </c>
      <c r="AH207" s="65" t="str">
        <f t="array" ref="AH207">if(sum(H207:AG207)=0,,sum(sort(TRANSPOSE(H207:AG207),1,false)))</f>
        <v/>
      </c>
    </row>
    <row r="208" hidden="1">
      <c r="F208" s="4">
        <v>76.0</v>
      </c>
      <c r="H208" t="str">
        <f t="shared" si="1"/>
        <v/>
      </c>
      <c r="I208" t="str">
        <f t="shared" si="2"/>
        <v/>
      </c>
      <c r="J208" t="str">
        <f t="shared" si="3"/>
        <v/>
      </c>
      <c r="K208" t="str">
        <f t="shared" si="4"/>
        <v/>
      </c>
      <c r="L208" t="str">
        <f t="shared" si="5"/>
        <v/>
      </c>
      <c r="M208" t="str">
        <f t="shared" si="6"/>
        <v/>
      </c>
      <c r="N208" t="str">
        <f t="shared" si="7"/>
        <v/>
      </c>
      <c r="O208" t="str">
        <f t="shared" si="8"/>
        <v/>
      </c>
      <c r="P208" t="str">
        <f t="shared" si="9"/>
        <v/>
      </c>
      <c r="Q208" t="str">
        <f t="shared" si="10"/>
        <v/>
      </c>
      <c r="R208" t="str">
        <f t="shared" si="11"/>
        <v/>
      </c>
      <c r="S208" t="str">
        <f t="shared" si="12"/>
        <v/>
      </c>
      <c r="T208" t="str">
        <f t="shared" si="13"/>
        <v/>
      </c>
      <c r="U208" t="str">
        <f t="shared" si="14"/>
        <v/>
      </c>
      <c r="V208" t="str">
        <f t="shared" si="15"/>
        <v/>
      </c>
      <c r="W208" t="str">
        <f t="shared" si="16"/>
        <v/>
      </c>
      <c r="X208" t="str">
        <f t="shared" si="17"/>
        <v/>
      </c>
      <c r="Y208" t="str">
        <f t="shared" si="18"/>
        <v/>
      </c>
      <c r="Z208" t="str">
        <f t="shared" si="19"/>
        <v/>
      </c>
      <c r="AA208" t="str">
        <f t="shared" si="20"/>
        <v/>
      </c>
      <c r="AB208" t="str">
        <f t="shared" si="21"/>
        <v/>
      </c>
      <c r="AC208" t="str">
        <f t="shared" si="22"/>
        <v/>
      </c>
      <c r="AD208" t="str">
        <f t="shared" si="23"/>
        <v/>
      </c>
      <c r="AE208" t="str">
        <f t="shared" si="24"/>
        <v/>
      </c>
      <c r="AF208" t="str">
        <f t="shared" si="25"/>
        <v/>
      </c>
      <c r="AG208" t="str">
        <f t="shared" si="26"/>
        <v/>
      </c>
      <c r="AH208" s="65" t="str">
        <f t="array" ref="AH208">if(sum(H208:AG208)=0,,sum(sort(TRANSPOSE(H208:AG208),1,false)))</f>
        <v/>
      </c>
    </row>
    <row r="209" hidden="1">
      <c r="F209" s="4">
        <v>77.0</v>
      </c>
      <c r="H209" t="str">
        <f t="shared" si="1"/>
        <v/>
      </c>
      <c r="I209" t="str">
        <f t="shared" si="2"/>
        <v/>
      </c>
      <c r="J209" t="str">
        <f t="shared" si="3"/>
        <v/>
      </c>
      <c r="K209" t="str">
        <f t="shared" si="4"/>
        <v/>
      </c>
      <c r="L209" t="str">
        <f t="shared" si="5"/>
        <v/>
      </c>
      <c r="M209" t="str">
        <f t="shared" si="6"/>
        <v/>
      </c>
      <c r="N209" t="str">
        <f t="shared" si="7"/>
        <v/>
      </c>
      <c r="O209" t="str">
        <f t="shared" si="8"/>
        <v/>
      </c>
      <c r="P209" t="str">
        <f t="shared" si="9"/>
        <v/>
      </c>
      <c r="Q209" t="str">
        <f t="shared" si="10"/>
        <v/>
      </c>
      <c r="R209" t="str">
        <f t="shared" si="11"/>
        <v/>
      </c>
      <c r="S209" t="str">
        <f t="shared" si="12"/>
        <v/>
      </c>
      <c r="T209" t="str">
        <f t="shared" si="13"/>
        <v/>
      </c>
      <c r="U209" t="str">
        <f t="shared" si="14"/>
        <v/>
      </c>
      <c r="V209" t="str">
        <f t="shared" si="15"/>
        <v/>
      </c>
      <c r="W209" t="str">
        <f t="shared" si="16"/>
        <v/>
      </c>
      <c r="X209" t="str">
        <f t="shared" si="17"/>
        <v/>
      </c>
      <c r="Y209" t="str">
        <f t="shared" si="18"/>
        <v/>
      </c>
      <c r="Z209" t="str">
        <f t="shared" si="19"/>
        <v/>
      </c>
      <c r="AA209" t="str">
        <f t="shared" si="20"/>
        <v/>
      </c>
      <c r="AB209" t="str">
        <f t="shared" si="21"/>
        <v/>
      </c>
      <c r="AC209" t="str">
        <f t="shared" si="22"/>
        <v/>
      </c>
      <c r="AD209" t="str">
        <f t="shared" si="23"/>
        <v/>
      </c>
      <c r="AE209" t="str">
        <f t="shared" si="24"/>
        <v/>
      </c>
      <c r="AF209" t="str">
        <f t="shared" si="25"/>
        <v/>
      </c>
      <c r="AG209" t="str">
        <f t="shared" si="26"/>
        <v/>
      </c>
      <c r="AH209" s="65" t="str">
        <f t="array" ref="AH209">if(sum(H209:AG209)=0,,sum(sort(TRANSPOSE(H209:AG209),1,false)))</f>
        <v/>
      </c>
    </row>
    <row r="210" hidden="1">
      <c r="F210" s="4">
        <v>78.0</v>
      </c>
      <c r="H210" t="str">
        <f t="shared" si="1"/>
        <v/>
      </c>
      <c r="I210" t="str">
        <f t="shared" si="2"/>
        <v/>
      </c>
      <c r="J210" t="str">
        <f t="shared" si="3"/>
        <v/>
      </c>
      <c r="K210" t="str">
        <f t="shared" si="4"/>
        <v/>
      </c>
      <c r="L210" t="str">
        <f t="shared" si="5"/>
        <v/>
      </c>
      <c r="M210" t="str">
        <f t="shared" si="6"/>
        <v/>
      </c>
      <c r="N210" t="str">
        <f t="shared" si="7"/>
        <v/>
      </c>
      <c r="O210" t="str">
        <f t="shared" si="8"/>
        <v/>
      </c>
      <c r="P210" t="str">
        <f t="shared" si="9"/>
        <v/>
      </c>
      <c r="Q210" t="str">
        <f t="shared" si="10"/>
        <v/>
      </c>
      <c r="R210" t="str">
        <f t="shared" si="11"/>
        <v/>
      </c>
      <c r="S210" t="str">
        <f t="shared" si="12"/>
        <v/>
      </c>
      <c r="T210" t="str">
        <f t="shared" si="13"/>
        <v/>
      </c>
      <c r="U210" t="str">
        <f t="shared" si="14"/>
        <v/>
      </c>
      <c r="V210" t="str">
        <f t="shared" si="15"/>
        <v/>
      </c>
      <c r="W210" t="str">
        <f t="shared" si="16"/>
        <v/>
      </c>
      <c r="X210" t="str">
        <f t="shared" si="17"/>
        <v/>
      </c>
      <c r="Y210" t="str">
        <f t="shared" si="18"/>
        <v/>
      </c>
      <c r="Z210" t="str">
        <f t="shared" si="19"/>
        <v/>
      </c>
      <c r="AA210" t="str">
        <f t="shared" si="20"/>
        <v/>
      </c>
      <c r="AB210" t="str">
        <f t="shared" si="21"/>
        <v/>
      </c>
      <c r="AC210" t="str">
        <f t="shared" si="22"/>
        <v/>
      </c>
      <c r="AD210" t="str">
        <f t="shared" si="23"/>
        <v/>
      </c>
      <c r="AE210" t="str">
        <f t="shared" si="24"/>
        <v/>
      </c>
      <c r="AF210" t="str">
        <f t="shared" si="25"/>
        <v/>
      </c>
      <c r="AG210" t="str">
        <f t="shared" si="26"/>
        <v/>
      </c>
      <c r="AH210" s="65" t="str">
        <f t="array" ref="AH210">if(sum(H210:AG210)=0,,sum(sort(TRANSPOSE(H210:AG210),1,false)))</f>
        <v/>
      </c>
    </row>
    <row r="211" hidden="1">
      <c r="F211" s="4">
        <v>79.0</v>
      </c>
      <c r="H211" t="str">
        <f t="shared" si="1"/>
        <v/>
      </c>
      <c r="I211" t="str">
        <f t="shared" si="2"/>
        <v/>
      </c>
      <c r="J211" t="str">
        <f t="shared" si="3"/>
        <v/>
      </c>
      <c r="K211" t="str">
        <f t="shared" si="4"/>
        <v/>
      </c>
      <c r="L211" t="str">
        <f t="shared" si="5"/>
        <v/>
      </c>
      <c r="M211" t="str">
        <f t="shared" si="6"/>
        <v/>
      </c>
      <c r="N211" t="str">
        <f t="shared" si="7"/>
        <v/>
      </c>
      <c r="O211" t="str">
        <f t="shared" si="8"/>
        <v/>
      </c>
      <c r="P211" t="str">
        <f t="shared" si="9"/>
        <v/>
      </c>
      <c r="Q211" t="str">
        <f t="shared" si="10"/>
        <v/>
      </c>
      <c r="R211" t="str">
        <f t="shared" si="11"/>
        <v/>
      </c>
      <c r="S211" t="str">
        <f t="shared" si="12"/>
        <v/>
      </c>
      <c r="T211" t="str">
        <f t="shared" si="13"/>
        <v/>
      </c>
      <c r="U211" t="str">
        <f t="shared" si="14"/>
        <v/>
      </c>
      <c r="V211" t="str">
        <f t="shared" si="15"/>
        <v/>
      </c>
      <c r="W211" t="str">
        <f t="shared" si="16"/>
        <v/>
      </c>
      <c r="X211" t="str">
        <f t="shared" si="17"/>
        <v/>
      </c>
      <c r="Y211" t="str">
        <f t="shared" si="18"/>
        <v/>
      </c>
      <c r="Z211" t="str">
        <f t="shared" si="19"/>
        <v/>
      </c>
      <c r="AA211" t="str">
        <f t="shared" si="20"/>
        <v/>
      </c>
      <c r="AB211" t="str">
        <f t="shared" si="21"/>
        <v/>
      </c>
      <c r="AC211" t="str">
        <f t="shared" si="22"/>
        <v/>
      </c>
      <c r="AD211" t="str">
        <f t="shared" si="23"/>
        <v/>
      </c>
      <c r="AE211" t="str">
        <f t="shared" si="24"/>
        <v/>
      </c>
      <c r="AF211" t="str">
        <f t="shared" si="25"/>
        <v/>
      </c>
      <c r="AG211" t="str">
        <f t="shared" si="26"/>
        <v/>
      </c>
      <c r="AH211" s="65" t="str">
        <f t="array" ref="AH211">if(sum(H211:AG211)=0,,sum(sort(TRANSPOSE(H211:AG211),1,false)))</f>
        <v/>
      </c>
    </row>
    <row r="212" hidden="1">
      <c r="F212" s="4">
        <v>80.0</v>
      </c>
      <c r="H212" t="str">
        <f t="shared" si="1"/>
        <v/>
      </c>
      <c r="I212" t="str">
        <f t="shared" si="2"/>
        <v/>
      </c>
      <c r="J212" t="str">
        <f t="shared" si="3"/>
        <v/>
      </c>
      <c r="K212" t="str">
        <f t="shared" si="4"/>
        <v/>
      </c>
      <c r="L212" t="str">
        <f t="shared" si="5"/>
        <v/>
      </c>
      <c r="M212" t="str">
        <f t="shared" si="6"/>
        <v/>
      </c>
      <c r="N212" t="str">
        <f t="shared" si="7"/>
        <v/>
      </c>
      <c r="O212" t="str">
        <f t="shared" si="8"/>
        <v/>
      </c>
      <c r="P212" t="str">
        <f t="shared" si="9"/>
        <v/>
      </c>
      <c r="Q212" t="str">
        <f t="shared" si="10"/>
        <v/>
      </c>
      <c r="R212" t="str">
        <f t="shared" si="11"/>
        <v/>
      </c>
      <c r="S212" t="str">
        <f t="shared" si="12"/>
        <v/>
      </c>
      <c r="T212" t="str">
        <f t="shared" si="13"/>
        <v/>
      </c>
      <c r="U212" t="str">
        <f t="shared" si="14"/>
        <v/>
      </c>
      <c r="V212" t="str">
        <f t="shared" si="15"/>
        <v/>
      </c>
      <c r="W212" t="str">
        <f t="shared" si="16"/>
        <v/>
      </c>
      <c r="X212" t="str">
        <f t="shared" si="17"/>
        <v/>
      </c>
      <c r="Y212" t="str">
        <f t="shared" si="18"/>
        <v/>
      </c>
      <c r="Z212" t="str">
        <f t="shared" si="19"/>
        <v/>
      </c>
      <c r="AA212" t="str">
        <f t="shared" si="20"/>
        <v/>
      </c>
      <c r="AB212" t="str">
        <f t="shared" si="21"/>
        <v/>
      </c>
      <c r="AC212" t="str">
        <f t="shared" si="22"/>
        <v/>
      </c>
      <c r="AD212" t="str">
        <f t="shared" si="23"/>
        <v/>
      </c>
      <c r="AE212" t="str">
        <f t="shared" si="24"/>
        <v/>
      </c>
      <c r="AF212" t="str">
        <f t="shared" si="25"/>
        <v/>
      </c>
      <c r="AG212" t="str">
        <f t="shared" si="26"/>
        <v/>
      </c>
      <c r="AH212" s="65" t="str">
        <f t="array" ref="AH212">if(sum(H212:AG212)=0,,sum(sort(TRANSPOSE(H212:AG212),1,false)))</f>
        <v/>
      </c>
    </row>
    <row r="213" hidden="1">
      <c r="F213" s="4">
        <v>81.0</v>
      </c>
      <c r="H213" t="str">
        <f t="shared" si="1"/>
        <v/>
      </c>
      <c r="I213" t="str">
        <f t="shared" si="2"/>
        <v/>
      </c>
      <c r="J213" t="str">
        <f t="shared" si="3"/>
        <v/>
      </c>
      <c r="K213" t="str">
        <f t="shared" si="4"/>
        <v/>
      </c>
      <c r="L213" t="str">
        <f t="shared" si="5"/>
        <v/>
      </c>
      <c r="M213" t="str">
        <f t="shared" si="6"/>
        <v/>
      </c>
      <c r="N213" t="str">
        <f t="shared" si="7"/>
        <v/>
      </c>
      <c r="O213" t="str">
        <f t="shared" si="8"/>
        <v/>
      </c>
      <c r="P213" t="str">
        <f t="shared" si="9"/>
        <v/>
      </c>
      <c r="Q213" t="str">
        <f t="shared" si="10"/>
        <v/>
      </c>
      <c r="R213" t="str">
        <f t="shared" si="11"/>
        <v/>
      </c>
      <c r="S213" t="str">
        <f t="shared" si="12"/>
        <v/>
      </c>
      <c r="T213" t="str">
        <f t="shared" si="13"/>
        <v/>
      </c>
      <c r="U213" t="str">
        <f t="shared" si="14"/>
        <v/>
      </c>
      <c r="V213" t="str">
        <f t="shared" si="15"/>
        <v/>
      </c>
      <c r="W213" t="str">
        <f t="shared" si="16"/>
        <v/>
      </c>
      <c r="X213" t="str">
        <f t="shared" si="17"/>
        <v/>
      </c>
      <c r="Y213" t="str">
        <f t="shared" si="18"/>
        <v/>
      </c>
      <c r="Z213" t="str">
        <f t="shared" si="19"/>
        <v/>
      </c>
      <c r="AA213" t="str">
        <f t="shared" si="20"/>
        <v/>
      </c>
      <c r="AB213" t="str">
        <f t="shared" si="21"/>
        <v/>
      </c>
      <c r="AC213" t="str">
        <f t="shared" si="22"/>
        <v/>
      </c>
      <c r="AD213" t="str">
        <f t="shared" si="23"/>
        <v/>
      </c>
      <c r="AE213" t="str">
        <f t="shared" si="24"/>
        <v/>
      </c>
      <c r="AF213" t="str">
        <f t="shared" si="25"/>
        <v/>
      </c>
      <c r="AG213" t="str">
        <f t="shared" si="26"/>
        <v/>
      </c>
      <c r="AH213" s="65" t="str">
        <f t="array" ref="AH213">if(sum(H213:AG213)=0,,sum(sort(TRANSPOSE(H213:AG213),1,false)))</f>
        <v/>
      </c>
    </row>
    <row r="214" hidden="1">
      <c r="F214" s="4">
        <v>82.0</v>
      </c>
      <c r="H214" t="str">
        <f t="shared" si="1"/>
        <v/>
      </c>
      <c r="I214" t="str">
        <f t="shared" si="2"/>
        <v/>
      </c>
      <c r="J214" t="str">
        <f t="shared" si="3"/>
        <v/>
      </c>
      <c r="K214" t="str">
        <f t="shared" si="4"/>
        <v/>
      </c>
      <c r="L214" t="str">
        <f t="shared" si="5"/>
        <v/>
      </c>
      <c r="M214" t="str">
        <f t="shared" si="6"/>
        <v/>
      </c>
      <c r="N214" t="str">
        <f t="shared" si="7"/>
        <v/>
      </c>
      <c r="O214" t="str">
        <f t="shared" si="8"/>
        <v/>
      </c>
      <c r="P214" t="str">
        <f t="shared" si="9"/>
        <v/>
      </c>
      <c r="Q214" t="str">
        <f t="shared" si="10"/>
        <v/>
      </c>
      <c r="R214" t="str">
        <f t="shared" si="11"/>
        <v/>
      </c>
      <c r="S214" t="str">
        <f t="shared" si="12"/>
        <v/>
      </c>
      <c r="T214" t="str">
        <f t="shared" si="13"/>
        <v/>
      </c>
      <c r="U214" t="str">
        <f t="shared" si="14"/>
        <v/>
      </c>
      <c r="V214" t="str">
        <f t="shared" si="15"/>
        <v/>
      </c>
      <c r="W214" t="str">
        <f t="shared" si="16"/>
        <v/>
      </c>
      <c r="X214" t="str">
        <f t="shared" si="17"/>
        <v/>
      </c>
      <c r="Y214" t="str">
        <f t="shared" si="18"/>
        <v/>
      </c>
      <c r="Z214" t="str">
        <f t="shared" si="19"/>
        <v/>
      </c>
      <c r="AA214" t="str">
        <f t="shared" si="20"/>
        <v/>
      </c>
      <c r="AB214" t="str">
        <f t="shared" si="21"/>
        <v/>
      </c>
      <c r="AC214" t="str">
        <f t="shared" si="22"/>
        <v/>
      </c>
      <c r="AD214" t="str">
        <f t="shared" si="23"/>
        <v/>
      </c>
      <c r="AE214" t="str">
        <f t="shared" si="24"/>
        <v/>
      </c>
      <c r="AF214" t="str">
        <f t="shared" si="25"/>
        <v/>
      </c>
      <c r="AG214" t="str">
        <f t="shared" si="26"/>
        <v/>
      </c>
      <c r="AH214" s="65" t="str">
        <f t="array" ref="AH214">if(sum(H214:AG214)=0,,sum(sort(TRANSPOSE(H214:AG214),1,false)))</f>
        <v/>
      </c>
    </row>
    <row r="215" hidden="1">
      <c r="F215" s="4">
        <v>83.0</v>
      </c>
      <c r="H215" t="str">
        <f t="shared" si="1"/>
        <v/>
      </c>
      <c r="I215" t="str">
        <f t="shared" si="2"/>
        <v/>
      </c>
      <c r="J215" t="str">
        <f t="shared" si="3"/>
        <v/>
      </c>
      <c r="K215" t="str">
        <f t="shared" si="4"/>
        <v/>
      </c>
      <c r="L215" t="str">
        <f t="shared" si="5"/>
        <v/>
      </c>
      <c r="M215" t="str">
        <f t="shared" si="6"/>
        <v/>
      </c>
      <c r="N215" t="str">
        <f t="shared" si="7"/>
        <v/>
      </c>
      <c r="O215" t="str">
        <f t="shared" si="8"/>
        <v/>
      </c>
      <c r="P215" t="str">
        <f t="shared" si="9"/>
        <v/>
      </c>
      <c r="Q215" t="str">
        <f t="shared" si="10"/>
        <v/>
      </c>
      <c r="R215" t="str">
        <f t="shared" si="11"/>
        <v/>
      </c>
      <c r="S215" t="str">
        <f t="shared" si="12"/>
        <v/>
      </c>
      <c r="T215" t="str">
        <f t="shared" si="13"/>
        <v/>
      </c>
      <c r="U215" t="str">
        <f t="shared" si="14"/>
        <v/>
      </c>
      <c r="V215" t="str">
        <f t="shared" si="15"/>
        <v/>
      </c>
      <c r="W215" t="str">
        <f t="shared" si="16"/>
        <v/>
      </c>
      <c r="X215" t="str">
        <f t="shared" si="17"/>
        <v/>
      </c>
      <c r="Y215" t="str">
        <f t="shared" si="18"/>
        <v/>
      </c>
      <c r="Z215" t="str">
        <f t="shared" si="19"/>
        <v/>
      </c>
      <c r="AA215" t="str">
        <f t="shared" si="20"/>
        <v/>
      </c>
      <c r="AB215" t="str">
        <f t="shared" si="21"/>
        <v/>
      </c>
      <c r="AC215" t="str">
        <f t="shared" si="22"/>
        <v/>
      </c>
      <c r="AD215" t="str">
        <f t="shared" si="23"/>
        <v/>
      </c>
      <c r="AE215" t="str">
        <f t="shared" si="24"/>
        <v/>
      </c>
      <c r="AF215" t="str">
        <f t="shared" si="25"/>
        <v/>
      </c>
      <c r="AG215" t="str">
        <f t="shared" si="26"/>
        <v/>
      </c>
      <c r="AH215" s="65" t="str">
        <f t="array" ref="AH215">if(sum(H215:AG215)=0,,sum(sort(TRANSPOSE(H215:AG215),1,false)))</f>
        <v/>
      </c>
    </row>
    <row r="216" hidden="1">
      <c r="F216" s="4">
        <v>84.0</v>
      </c>
      <c r="H216" t="str">
        <f t="shared" si="1"/>
        <v/>
      </c>
      <c r="I216" t="str">
        <f t="shared" si="2"/>
        <v/>
      </c>
      <c r="J216" t="str">
        <f t="shared" si="3"/>
        <v/>
      </c>
      <c r="K216" t="str">
        <f t="shared" si="4"/>
        <v/>
      </c>
      <c r="L216" t="str">
        <f t="shared" si="5"/>
        <v/>
      </c>
      <c r="M216" t="str">
        <f t="shared" si="6"/>
        <v/>
      </c>
      <c r="N216" t="str">
        <f t="shared" si="7"/>
        <v/>
      </c>
      <c r="O216" t="str">
        <f t="shared" si="8"/>
        <v/>
      </c>
      <c r="P216" t="str">
        <f t="shared" si="9"/>
        <v/>
      </c>
      <c r="Q216" t="str">
        <f t="shared" si="10"/>
        <v/>
      </c>
      <c r="R216" t="str">
        <f t="shared" si="11"/>
        <v/>
      </c>
      <c r="S216" t="str">
        <f t="shared" si="12"/>
        <v/>
      </c>
      <c r="T216" t="str">
        <f t="shared" si="13"/>
        <v/>
      </c>
      <c r="U216" t="str">
        <f t="shared" si="14"/>
        <v/>
      </c>
      <c r="V216" t="str">
        <f t="shared" si="15"/>
        <v/>
      </c>
      <c r="W216" t="str">
        <f t="shared" si="16"/>
        <v/>
      </c>
      <c r="X216" t="str">
        <f t="shared" si="17"/>
        <v/>
      </c>
      <c r="Y216" t="str">
        <f t="shared" si="18"/>
        <v/>
      </c>
      <c r="Z216" t="str">
        <f t="shared" si="19"/>
        <v/>
      </c>
      <c r="AA216" t="str">
        <f t="shared" si="20"/>
        <v/>
      </c>
      <c r="AB216" t="str">
        <f t="shared" si="21"/>
        <v/>
      </c>
      <c r="AC216" t="str">
        <f t="shared" si="22"/>
        <v/>
      </c>
      <c r="AD216" t="str">
        <f t="shared" si="23"/>
        <v/>
      </c>
      <c r="AE216" t="str">
        <f t="shared" si="24"/>
        <v/>
      </c>
      <c r="AF216" t="str">
        <f t="shared" si="25"/>
        <v/>
      </c>
      <c r="AG216" t="str">
        <f t="shared" si="26"/>
        <v/>
      </c>
      <c r="AH216" s="65" t="str">
        <f t="array" ref="AH216">if(sum(H216:AG216)=0,,sum(sort(TRANSPOSE(H216:AG216),1,false)))</f>
        <v/>
      </c>
    </row>
    <row r="217" hidden="1">
      <c r="F217" s="4">
        <v>85.0</v>
      </c>
      <c r="H217" t="str">
        <f t="shared" si="1"/>
        <v/>
      </c>
      <c r="I217" t="str">
        <f t="shared" si="2"/>
        <v/>
      </c>
      <c r="J217" t="str">
        <f t="shared" si="3"/>
        <v/>
      </c>
      <c r="K217" t="str">
        <f t="shared" si="4"/>
        <v/>
      </c>
      <c r="L217" t="str">
        <f t="shared" si="5"/>
        <v/>
      </c>
      <c r="M217" t="str">
        <f t="shared" si="6"/>
        <v/>
      </c>
      <c r="N217" t="str">
        <f t="shared" si="7"/>
        <v/>
      </c>
      <c r="O217" t="str">
        <f t="shared" si="8"/>
        <v/>
      </c>
      <c r="P217" t="str">
        <f t="shared" si="9"/>
        <v/>
      </c>
      <c r="Q217" t="str">
        <f t="shared" si="10"/>
        <v/>
      </c>
      <c r="R217" t="str">
        <f t="shared" si="11"/>
        <v/>
      </c>
      <c r="S217" t="str">
        <f t="shared" si="12"/>
        <v/>
      </c>
      <c r="T217" t="str">
        <f t="shared" si="13"/>
        <v/>
      </c>
      <c r="U217" t="str">
        <f t="shared" si="14"/>
        <v/>
      </c>
      <c r="V217" t="str">
        <f t="shared" si="15"/>
        <v/>
      </c>
      <c r="W217" t="str">
        <f t="shared" si="16"/>
        <v/>
      </c>
      <c r="X217" t="str">
        <f t="shared" si="17"/>
        <v/>
      </c>
      <c r="Y217" t="str">
        <f t="shared" si="18"/>
        <v/>
      </c>
      <c r="Z217" t="str">
        <f t="shared" si="19"/>
        <v/>
      </c>
      <c r="AA217" t="str">
        <f t="shared" si="20"/>
        <v/>
      </c>
      <c r="AB217" t="str">
        <f t="shared" si="21"/>
        <v/>
      </c>
      <c r="AC217" t="str">
        <f t="shared" si="22"/>
        <v/>
      </c>
      <c r="AD217" t="str">
        <f t="shared" si="23"/>
        <v/>
      </c>
      <c r="AE217" t="str">
        <f t="shared" si="24"/>
        <v/>
      </c>
      <c r="AF217" t="str">
        <f t="shared" si="25"/>
        <v/>
      </c>
      <c r="AG217" t="str">
        <f t="shared" si="26"/>
        <v/>
      </c>
      <c r="AH217" s="65" t="str">
        <f t="array" ref="AH217">if(sum(H217:AG217)=0,,sum(sort(TRANSPOSE(H217:AG217),1,false)))</f>
        <v/>
      </c>
    </row>
    <row r="218" hidden="1">
      <c r="F218" s="4">
        <v>86.0</v>
      </c>
      <c r="H218" t="str">
        <f t="shared" si="1"/>
        <v/>
      </c>
      <c r="I218" t="str">
        <f t="shared" si="2"/>
        <v/>
      </c>
      <c r="J218" t="str">
        <f t="shared" si="3"/>
        <v/>
      </c>
      <c r="K218" t="str">
        <f t="shared" si="4"/>
        <v/>
      </c>
      <c r="L218" t="str">
        <f t="shared" si="5"/>
        <v/>
      </c>
      <c r="M218" t="str">
        <f t="shared" si="6"/>
        <v/>
      </c>
      <c r="N218" t="str">
        <f t="shared" si="7"/>
        <v/>
      </c>
      <c r="O218" t="str">
        <f t="shared" si="8"/>
        <v/>
      </c>
      <c r="P218" t="str">
        <f t="shared" si="9"/>
        <v/>
      </c>
      <c r="Q218" t="str">
        <f t="shared" si="10"/>
        <v/>
      </c>
      <c r="R218" t="str">
        <f t="shared" si="11"/>
        <v/>
      </c>
      <c r="S218" t="str">
        <f t="shared" si="12"/>
        <v/>
      </c>
      <c r="T218" t="str">
        <f t="shared" si="13"/>
        <v/>
      </c>
      <c r="U218" t="str">
        <f t="shared" si="14"/>
        <v/>
      </c>
      <c r="V218" t="str">
        <f t="shared" si="15"/>
        <v/>
      </c>
      <c r="W218" t="str">
        <f t="shared" si="16"/>
        <v/>
      </c>
      <c r="X218" t="str">
        <f t="shared" si="17"/>
        <v/>
      </c>
      <c r="Y218" t="str">
        <f t="shared" si="18"/>
        <v/>
      </c>
      <c r="Z218" t="str">
        <f t="shared" si="19"/>
        <v/>
      </c>
      <c r="AA218" t="str">
        <f t="shared" si="20"/>
        <v/>
      </c>
      <c r="AB218" t="str">
        <f t="shared" si="21"/>
        <v/>
      </c>
      <c r="AC218" t="str">
        <f t="shared" si="22"/>
        <v/>
      </c>
      <c r="AD218" t="str">
        <f t="shared" si="23"/>
        <v/>
      </c>
      <c r="AE218" t="str">
        <f t="shared" si="24"/>
        <v/>
      </c>
      <c r="AF218" t="str">
        <f t="shared" si="25"/>
        <v/>
      </c>
      <c r="AG218" t="str">
        <f t="shared" si="26"/>
        <v/>
      </c>
      <c r="AH218" s="65" t="str">
        <f t="array" ref="AH218">if(sum(H218:AG218)=0,,sum(sort(TRANSPOSE(H218:AG218),1,false)))</f>
        <v/>
      </c>
    </row>
    <row r="219" hidden="1">
      <c r="F219" s="4">
        <v>87.0</v>
      </c>
      <c r="H219" t="str">
        <f t="shared" si="1"/>
        <v/>
      </c>
      <c r="I219" t="str">
        <f t="shared" si="2"/>
        <v/>
      </c>
      <c r="J219" t="str">
        <f t="shared" si="3"/>
        <v/>
      </c>
      <c r="K219" t="str">
        <f t="shared" si="4"/>
        <v/>
      </c>
      <c r="L219" t="str">
        <f t="shared" si="5"/>
        <v/>
      </c>
      <c r="M219" t="str">
        <f t="shared" si="6"/>
        <v/>
      </c>
      <c r="N219" t="str">
        <f t="shared" si="7"/>
        <v/>
      </c>
      <c r="O219" t="str">
        <f t="shared" si="8"/>
        <v/>
      </c>
      <c r="P219" t="str">
        <f t="shared" si="9"/>
        <v/>
      </c>
      <c r="Q219" t="str">
        <f t="shared" si="10"/>
        <v/>
      </c>
      <c r="R219" t="str">
        <f t="shared" si="11"/>
        <v/>
      </c>
      <c r="S219" t="str">
        <f t="shared" si="12"/>
        <v/>
      </c>
      <c r="T219" t="str">
        <f t="shared" si="13"/>
        <v/>
      </c>
      <c r="U219" t="str">
        <f t="shared" si="14"/>
        <v/>
      </c>
      <c r="V219" t="str">
        <f t="shared" si="15"/>
        <v/>
      </c>
      <c r="W219" t="str">
        <f t="shared" si="16"/>
        <v/>
      </c>
      <c r="X219" t="str">
        <f t="shared" si="17"/>
        <v/>
      </c>
      <c r="Y219" t="str">
        <f t="shared" si="18"/>
        <v/>
      </c>
      <c r="Z219" t="str">
        <f t="shared" si="19"/>
        <v/>
      </c>
      <c r="AA219" t="str">
        <f t="shared" si="20"/>
        <v/>
      </c>
      <c r="AB219" t="str">
        <f t="shared" si="21"/>
        <v/>
      </c>
      <c r="AC219" t="str">
        <f t="shared" si="22"/>
        <v/>
      </c>
      <c r="AD219" t="str">
        <f t="shared" si="23"/>
        <v/>
      </c>
      <c r="AE219" t="str">
        <f t="shared" si="24"/>
        <v/>
      </c>
      <c r="AF219" t="str">
        <f t="shared" si="25"/>
        <v/>
      </c>
      <c r="AG219" t="str">
        <f t="shared" si="26"/>
        <v/>
      </c>
      <c r="AH219" s="65" t="str">
        <f t="array" ref="AH219">if(sum(H219:AG219)=0,,sum(sort(TRANSPOSE(H219:AG219),1,false)))</f>
        <v/>
      </c>
    </row>
    <row r="220" hidden="1">
      <c r="F220" s="4">
        <v>88.0</v>
      </c>
      <c r="H220" t="str">
        <f t="shared" si="1"/>
        <v/>
      </c>
      <c r="I220" t="str">
        <f t="shared" si="2"/>
        <v/>
      </c>
      <c r="J220" t="str">
        <f t="shared" si="3"/>
        <v/>
      </c>
      <c r="K220" t="str">
        <f t="shared" si="4"/>
        <v/>
      </c>
      <c r="L220" t="str">
        <f t="shared" si="5"/>
        <v/>
      </c>
      <c r="M220" t="str">
        <f t="shared" si="6"/>
        <v/>
      </c>
      <c r="N220" t="str">
        <f t="shared" si="7"/>
        <v/>
      </c>
      <c r="O220" t="str">
        <f t="shared" si="8"/>
        <v/>
      </c>
      <c r="P220" t="str">
        <f t="shared" si="9"/>
        <v/>
      </c>
      <c r="Q220" t="str">
        <f t="shared" si="10"/>
        <v/>
      </c>
      <c r="R220" t="str">
        <f t="shared" si="11"/>
        <v/>
      </c>
      <c r="S220" t="str">
        <f t="shared" si="12"/>
        <v/>
      </c>
      <c r="T220" t="str">
        <f t="shared" si="13"/>
        <v/>
      </c>
      <c r="U220" t="str">
        <f t="shared" si="14"/>
        <v/>
      </c>
      <c r="V220" t="str">
        <f t="shared" si="15"/>
        <v/>
      </c>
      <c r="W220" t="str">
        <f t="shared" si="16"/>
        <v/>
      </c>
      <c r="X220" t="str">
        <f t="shared" si="17"/>
        <v/>
      </c>
      <c r="Y220" t="str">
        <f t="shared" si="18"/>
        <v/>
      </c>
      <c r="Z220" t="str">
        <f t="shared" si="19"/>
        <v/>
      </c>
      <c r="AA220" t="str">
        <f t="shared" si="20"/>
        <v/>
      </c>
      <c r="AB220" t="str">
        <f t="shared" si="21"/>
        <v/>
      </c>
      <c r="AC220" t="str">
        <f t="shared" si="22"/>
        <v/>
      </c>
      <c r="AD220" t="str">
        <f t="shared" si="23"/>
        <v/>
      </c>
      <c r="AE220" t="str">
        <f t="shared" si="24"/>
        <v/>
      </c>
      <c r="AF220" t="str">
        <f t="shared" si="25"/>
        <v/>
      </c>
      <c r="AG220" t="str">
        <f t="shared" si="26"/>
        <v/>
      </c>
      <c r="AH220" s="65" t="str">
        <f t="array" ref="AH220">if(sum(H220:AG220)=0,,sum(sort(TRANSPOSE(H220:AG220),1,false)))</f>
        <v/>
      </c>
    </row>
    <row r="221" hidden="1">
      <c r="F221" s="4">
        <v>89.0</v>
      </c>
      <c r="H221" t="str">
        <f t="shared" si="1"/>
        <v/>
      </c>
      <c r="I221" t="str">
        <f t="shared" si="2"/>
        <v/>
      </c>
      <c r="J221" t="str">
        <f t="shared" si="3"/>
        <v/>
      </c>
      <c r="K221" t="str">
        <f t="shared" si="4"/>
        <v/>
      </c>
      <c r="L221" t="str">
        <f t="shared" si="5"/>
        <v/>
      </c>
      <c r="M221" t="str">
        <f t="shared" si="6"/>
        <v/>
      </c>
      <c r="N221" t="str">
        <f t="shared" si="7"/>
        <v/>
      </c>
      <c r="O221" t="str">
        <f t="shared" si="8"/>
        <v/>
      </c>
      <c r="P221" t="str">
        <f t="shared" si="9"/>
        <v/>
      </c>
      <c r="Q221" t="str">
        <f t="shared" si="10"/>
        <v/>
      </c>
      <c r="R221" t="str">
        <f t="shared" si="11"/>
        <v/>
      </c>
      <c r="S221" t="str">
        <f t="shared" si="12"/>
        <v/>
      </c>
      <c r="T221" t="str">
        <f t="shared" si="13"/>
        <v/>
      </c>
      <c r="U221" t="str">
        <f t="shared" si="14"/>
        <v/>
      </c>
      <c r="V221" t="str">
        <f t="shared" si="15"/>
        <v/>
      </c>
      <c r="W221" t="str">
        <f t="shared" si="16"/>
        <v/>
      </c>
      <c r="X221" t="str">
        <f t="shared" si="17"/>
        <v/>
      </c>
      <c r="Y221" t="str">
        <f t="shared" si="18"/>
        <v/>
      </c>
      <c r="Z221" t="str">
        <f t="shared" si="19"/>
        <v/>
      </c>
      <c r="AA221" t="str">
        <f t="shared" si="20"/>
        <v/>
      </c>
      <c r="AB221" t="str">
        <f t="shared" si="21"/>
        <v/>
      </c>
      <c r="AC221" t="str">
        <f t="shared" si="22"/>
        <v/>
      </c>
      <c r="AD221" t="str">
        <f t="shared" si="23"/>
        <v/>
      </c>
      <c r="AE221" t="str">
        <f t="shared" si="24"/>
        <v/>
      </c>
      <c r="AF221" t="str">
        <f t="shared" si="25"/>
        <v/>
      </c>
      <c r="AG221" t="str">
        <f t="shared" si="26"/>
        <v/>
      </c>
      <c r="AH221" s="65" t="str">
        <f t="array" ref="AH221">if(sum(H221:AG221)=0,,sum(sort(TRANSPOSE(H221:AG221),1,false)))</f>
        <v/>
      </c>
    </row>
    <row r="222" hidden="1">
      <c r="F222" s="4">
        <v>90.0</v>
      </c>
      <c r="H222" t="str">
        <f t="shared" si="1"/>
        <v/>
      </c>
      <c r="I222" t="str">
        <f t="shared" si="2"/>
        <v/>
      </c>
      <c r="J222" t="str">
        <f t="shared" si="3"/>
        <v/>
      </c>
      <c r="K222" t="str">
        <f t="shared" si="4"/>
        <v/>
      </c>
      <c r="L222" t="str">
        <f t="shared" si="5"/>
        <v/>
      </c>
      <c r="M222" t="str">
        <f t="shared" si="6"/>
        <v/>
      </c>
      <c r="N222" t="str">
        <f t="shared" si="7"/>
        <v/>
      </c>
      <c r="O222" t="str">
        <f t="shared" si="8"/>
        <v/>
      </c>
      <c r="P222" t="str">
        <f t="shared" si="9"/>
        <v/>
      </c>
      <c r="Q222" t="str">
        <f t="shared" si="10"/>
        <v/>
      </c>
      <c r="R222" t="str">
        <f t="shared" si="11"/>
        <v/>
      </c>
      <c r="S222" t="str">
        <f t="shared" si="12"/>
        <v/>
      </c>
      <c r="T222" t="str">
        <f t="shared" si="13"/>
        <v/>
      </c>
      <c r="U222" t="str">
        <f t="shared" si="14"/>
        <v/>
      </c>
      <c r="V222" t="str">
        <f t="shared" si="15"/>
        <v/>
      </c>
      <c r="W222" t="str">
        <f t="shared" si="16"/>
        <v/>
      </c>
      <c r="X222" t="str">
        <f t="shared" si="17"/>
        <v/>
      </c>
      <c r="Y222" t="str">
        <f t="shared" si="18"/>
        <v/>
      </c>
      <c r="Z222" t="str">
        <f t="shared" si="19"/>
        <v/>
      </c>
      <c r="AA222" t="str">
        <f t="shared" si="20"/>
        <v/>
      </c>
      <c r="AB222" t="str">
        <f t="shared" si="21"/>
        <v/>
      </c>
      <c r="AC222" t="str">
        <f t="shared" si="22"/>
        <v/>
      </c>
      <c r="AD222" t="str">
        <f t="shared" si="23"/>
        <v/>
      </c>
      <c r="AE222" t="str">
        <f t="shared" si="24"/>
        <v/>
      </c>
      <c r="AF222" t="str">
        <f t="shared" si="25"/>
        <v/>
      </c>
      <c r="AG222" t="str">
        <f t="shared" si="26"/>
        <v/>
      </c>
      <c r="AH222" s="65" t="str">
        <f t="array" ref="AH222">if(sum(H222:AG222)=0,,sum(sort(TRANSPOSE(H222:AG222),1,false)))</f>
        <v/>
      </c>
    </row>
    <row r="223" hidden="1">
      <c r="F223" s="4">
        <v>91.0</v>
      </c>
      <c r="H223" t="str">
        <f t="shared" si="1"/>
        <v/>
      </c>
      <c r="I223" t="str">
        <f t="shared" si="2"/>
        <v/>
      </c>
      <c r="J223" t="str">
        <f t="shared" si="3"/>
        <v/>
      </c>
      <c r="K223" t="str">
        <f t="shared" si="4"/>
        <v/>
      </c>
      <c r="L223" t="str">
        <f t="shared" si="5"/>
        <v/>
      </c>
      <c r="M223" t="str">
        <f t="shared" si="6"/>
        <v/>
      </c>
      <c r="N223" t="str">
        <f t="shared" si="7"/>
        <v/>
      </c>
      <c r="O223" t="str">
        <f t="shared" si="8"/>
        <v/>
      </c>
      <c r="P223" t="str">
        <f t="shared" si="9"/>
        <v/>
      </c>
      <c r="Q223" t="str">
        <f t="shared" si="10"/>
        <v/>
      </c>
      <c r="R223" t="str">
        <f t="shared" si="11"/>
        <v/>
      </c>
      <c r="S223" t="str">
        <f t="shared" si="12"/>
        <v/>
      </c>
      <c r="T223" t="str">
        <f t="shared" si="13"/>
        <v/>
      </c>
      <c r="U223" t="str">
        <f t="shared" si="14"/>
        <v/>
      </c>
      <c r="V223" t="str">
        <f t="shared" si="15"/>
        <v/>
      </c>
      <c r="W223" t="str">
        <f t="shared" si="16"/>
        <v/>
      </c>
      <c r="X223" t="str">
        <f t="shared" si="17"/>
        <v/>
      </c>
      <c r="Y223" t="str">
        <f t="shared" si="18"/>
        <v/>
      </c>
      <c r="Z223" t="str">
        <f t="shared" si="19"/>
        <v/>
      </c>
      <c r="AA223" t="str">
        <f t="shared" si="20"/>
        <v/>
      </c>
      <c r="AB223" t="str">
        <f t="shared" si="21"/>
        <v/>
      </c>
      <c r="AC223" t="str">
        <f t="shared" si="22"/>
        <v/>
      </c>
      <c r="AD223" t="str">
        <f t="shared" si="23"/>
        <v/>
      </c>
      <c r="AE223" t="str">
        <f t="shared" si="24"/>
        <v/>
      </c>
      <c r="AF223" t="str">
        <f t="shared" si="25"/>
        <v/>
      </c>
      <c r="AG223" t="str">
        <f t="shared" si="26"/>
        <v/>
      </c>
      <c r="AH223" s="65" t="str">
        <f t="array" ref="AH223">if(sum(H223:AG223)=0,,sum(sort(TRANSPOSE(H223:AG223),1,false)))</f>
        <v/>
      </c>
    </row>
    <row r="224" hidden="1">
      <c r="F224" s="4">
        <v>92.0</v>
      </c>
      <c r="H224" t="str">
        <f t="shared" si="1"/>
        <v/>
      </c>
      <c r="I224" t="str">
        <f t="shared" si="2"/>
        <v/>
      </c>
      <c r="J224" t="str">
        <f t="shared" si="3"/>
        <v/>
      </c>
      <c r="K224" t="str">
        <f t="shared" si="4"/>
        <v/>
      </c>
      <c r="L224" t="str">
        <f t="shared" si="5"/>
        <v/>
      </c>
      <c r="M224" t="str">
        <f t="shared" si="6"/>
        <v/>
      </c>
      <c r="N224" t="str">
        <f t="shared" si="7"/>
        <v/>
      </c>
      <c r="O224" t="str">
        <f t="shared" si="8"/>
        <v/>
      </c>
      <c r="P224" t="str">
        <f t="shared" si="9"/>
        <v/>
      </c>
      <c r="Q224" t="str">
        <f t="shared" si="10"/>
        <v/>
      </c>
      <c r="R224" t="str">
        <f t="shared" si="11"/>
        <v/>
      </c>
      <c r="S224" t="str">
        <f t="shared" si="12"/>
        <v/>
      </c>
      <c r="T224" t="str">
        <f t="shared" si="13"/>
        <v/>
      </c>
      <c r="U224" t="str">
        <f t="shared" si="14"/>
        <v/>
      </c>
      <c r="V224" t="str">
        <f t="shared" si="15"/>
        <v/>
      </c>
      <c r="W224" t="str">
        <f t="shared" si="16"/>
        <v/>
      </c>
      <c r="X224" t="str">
        <f t="shared" si="17"/>
        <v/>
      </c>
      <c r="Y224" t="str">
        <f t="shared" si="18"/>
        <v/>
      </c>
      <c r="Z224" t="str">
        <f t="shared" si="19"/>
        <v/>
      </c>
      <c r="AA224" t="str">
        <f t="shared" si="20"/>
        <v/>
      </c>
      <c r="AB224" t="str">
        <f t="shared" si="21"/>
        <v/>
      </c>
      <c r="AC224" t="str">
        <f t="shared" si="22"/>
        <v/>
      </c>
      <c r="AD224" t="str">
        <f t="shared" si="23"/>
        <v/>
      </c>
      <c r="AE224" t="str">
        <f t="shared" si="24"/>
        <v/>
      </c>
      <c r="AF224" t="str">
        <f t="shared" si="25"/>
        <v/>
      </c>
      <c r="AG224" t="str">
        <f t="shared" si="26"/>
        <v/>
      </c>
      <c r="AH224" s="65" t="str">
        <f t="array" ref="AH224">if(sum(H224:AG224)=0,,sum(sort(TRANSPOSE(H224:AG224),1,false)))</f>
        <v/>
      </c>
    </row>
    <row r="225" hidden="1">
      <c r="F225" s="4">
        <v>93.0</v>
      </c>
      <c r="H225" t="str">
        <f t="shared" si="1"/>
        <v/>
      </c>
      <c r="I225" t="str">
        <f t="shared" si="2"/>
        <v/>
      </c>
      <c r="J225" t="str">
        <f t="shared" si="3"/>
        <v/>
      </c>
      <c r="K225" t="str">
        <f t="shared" si="4"/>
        <v/>
      </c>
      <c r="L225" t="str">
        <f t="shared" si="5"/>
        <v/>
      </c>
      <c r="M225" t="str">
        <f t="shared" si="6"/>
        <v/>
      </c>
      <c r="N225" t="str">
        <f t="shared" si="7"/>
        <v/>
      </c>
      <c r="O225" t="str">
        <f t="shared" si="8"/>
        <v/>
      </c>
      <c r="P225" t="str">
        <f t="shared" si="9"/>
        <v/>
      </c>
      <c r="Q225" t="str">
        <f t="shared" si="10"/>
        <v/>
      </c>
      <c r="R225" t="str">
        <f t="shared" si="11"/>
        <v/>
      </c>
      <c r="S225" t="str">
        <f t="shared" si="12"/>
        <v/>
      </c>
      <c r="T225" t="str">
        <f t="shared" si="13"/>
        <v/>
      </c>
      <c r="U225" t="str">
        <f t="shared" si="14"/>
        <v/>
      </c>
      <c r="V225" t="str">
        <f t="shared" si="15"/>
        <v/>
      </c>
      <c r="W225" t="str">
        <f t="shared" si="16"/>
        <v/>
      </c>
      <c r="X225" t="str">
        <f t="shared" si="17"/>
        <v/>
      </c>
      <c r="Y225" t="str">
        <f t="shared" si="18"/>
        <v/>
      </c>
      <c r="Z225" t="str">
        <f t="shared" si="19"/>
        <v/>
      </c>
      <c r="AA225" t="str">
        <f t="shared" si="20"/>
        <v/>
      </c>
      <c r="AB225" t="str">
        <f t="shared" si="21"/>
        <v/>
      </c>
      <c r="AC225" t="str">
        <f t="shared" si="22"/>
        <v/>
      </c>
      <c r="AD225" t="str">
        <f t="shared" si="23"/>
        <v/>
      </c>
      <c r="AE225" t="str">
        <f t="shared" si="24"/>
        <v/>
      </c>
      <c r="AF225" t="str">
        <f t="shared" si="25"/>
        <v/>
      </c>
      <c r="AG225" t="str">
        <f t="shared" si="26"/>
        <v/>
      </c>
      <c r="AH225" s="65" t="str">
        <f t="array" ref="AH225">if(sum(H225:AG225)=0,,sum(sort(TRANSPOSE(H225:AG225),1,false)))</f>
        <v/>
      </c>
    </row>
    <row r="226" hidden="1">
      <c r="F226" s="4">
        <v>94.0</v>
      </c>
      <c r="H226" t="str">
        <f t="shared" si="1"/>
        <v/>
      </c>
      <c r="I226" t="str">
        <f t="shared" si="2"/>
        <v/>
      </c>
      <c r="J226" t="str">
        <f t="shared" si="3"/>
        <v/>
      </c>
      <c r="K226" t="str">
        <f t="shared" si="4"/>
        <v/>
      </c>
      <c r="L226" t="str">
        <f t="shared" si="5"/>
        <v/>
      </c>
      <c r="M226" t="str">
        <f t="shared" si="6"/>
        <v/>
      </c>
      <c r="N226" t="str">
        <f t="shared" si="7"/>
        <v/>
      </c>
      <c r="O226" t="str">
        <f t="shared" si="8"/>
        <v/>
      </c>
      <c r="P226" t="str">
        <f t="shared" si="9"/>
        <v/>
      </c>
      <c r="Q226" t="str">
        <f t="shared" si="10"/>
        <v/>
      </c>
      <c r="R226" t="str">
        <f t="shared" si="11"/>
        <v/>
      </c>
      <c r="S226" t="str">
        <f t="shared" si="12"/>
        <v/>
      </c>
      <c r="T226" t="str">
        <f t="shared" si="13"/>
        <v/>
      </c>
      <c r="U226" t="str">
        <f t="shared" si="14"/>
        <v/>
      </c>
      <c r="V226" t="str">
        <f t="shared" si="15"/>
        <v/>
      </c>
      <c r="W226" t="str">
        <f t="shared" si="16"/>
        <v/>
      </c>
      <c r="X226" t="str">
        <f t="shared" si="17"/>
        <v/>
      </c>
      <c r="Y226" t="str">
        <f t="shared" si="18"/>
        <v/>
      </c>
      <c r="Z226" t="str">
        <f t="shared" si="19"/>
        <v/>
      </c>
      <c r="AA226" t="str">
        <f t="shared" si="20"/>
        <v/>
      </c>
      <c r="AB226" t="str">
        <f t="shared" si="21"/>
        <v/>
      </c>
      <c r="AC226" t="str">
        <f t="shared" si="22"/>
        <v/>
      </c>
      <c r="AD226" t="str">
        <f t="shared" si="23"/>
        <v/>
      </c>
      <c r="AE226" t="str">
        <f t="shared" si="24"/>
        <v/>
      </c>
      <c r="AF226" t="str">
        <f t="shared" si="25"/>
        <v/>
      </c>
      <c r="AG226" t="str">
        <f t="shared" si="26"/>
        <v/>
      </c>
      <c r="AH226" s="65" t="str">
        <f t="array" ref="AH226">if(sum(H226:AG226)=0,,sum(sort(TRANSPOSE(H226:AG226),1,false)))</f>
        <v/>
      </c>
    </row>
    <row r="227" hidden="1">
      <c r="F227" s="4">
        <v>95.0</v>
      </c>
      <c r="H227" t="str">
        <f t="shared" si="1"/>
        <v/>
      </c>
      <c r="I227" t="str">
        <f t="shared" si="2"/>
        <v/>
      </c>
      <c r="J227" t="str">
        <f t="shared" si="3"/>
        <v/>
      </c>
      <c r="K227" t="str">
        <f t="shared" si="4"/>
        <v/>
      </c>
      <c r="L227" t="str">
        <f t="shared" si="5"/>
        <v/>
      </c>
      <c r="M227" t="str">
        <f t="shared" si="6"/>
        <v/>
      </c>
      <c r="N227" t="str">
        <f t="shared" si="7"/>
        <v/>
      </c>
      <c r="O227" t="str">
        <f t="shared" si="8"/>
        <v/>
      </c>
      <c r="P227" t="str">
        <f t="shared" si="9"/>
        <v/>
      </c>
      <c r="Q227" t="str">
        <f t="shared" si="10"/>
        <v/>
      </c>
      <c r="R227" t="str">
        <f t="shared" si="11"/>
        <v/>
      </c>
      <c r="S227" t="str">
        <f t="shared" si="12"/>
        <v/>
      </c>
      <c r="T227" t="str">
        <f t="shared" si="13"/>
        <v/>
      </c>
      <c r="U227" t="str">
        <f t="shared" si="14"/>
        <v/>
      </c>
      <c r="V227" t="str">
        <f t="shared" si="15"/>
        <v/>
      </c>
      <c r="W227" t="str">
        <f t="shared" si="16"/>
        <v/>
      </c>
      <c r="X227" t="str">
        <f t="shared" si="17"/>
        <v/>
      </c>
      <c r="Y227" t="str">
        <f t="shared" si="18"/>
        <v/>
      </c>
      <c r="Z227" t="str">
        <f t="shared" si="19"/>
        <v/>
      </c>
      <c r="AA227" t="str">
        <f t="shared" si="20"/>
        <v/>
      </c>
      <c r="AB227" t="str">
        <f t="shared" si="21"/>
        <v/>
      </c>
      <c r="AC227" t="str">
        <f t="shared" si="22"/>
        <v/>
      </c>
      <c r="AD227" t="str">
        <f t="shared" si="23"/>
        <v/>
      </c>
      <c r="AE227" t="str">
        <f t="shared" si="24"/>
        <v/>
      </c>
      <c r="AF227" t="str">
        <f t="shared" si="25"/>
        <v/>
      </c>
      <c r="AG227" t="str">
        <f t="shared" si="26"/>
        <v/>
      </c>
      <c r="AH227" s="65" t="str">
        <f t="array" ref="AH227">if(sum(H227:AG227)=0,,sum(sort(TRANSPOSE(H227:AG227),1,false)))</f>
        <v/>
      </c>
    </row>
    <row r="228" hidden="1">
      <c r="F228" s="4">
        <v>96.0</v>
      </c>
      <c r="H228" t="str">
        <f t="shared" si="1"/>
        <v/>
      </c>
      <c r="I228" t="str">
        <f t="shared" si="2"/>
        <v/>
      </c>
      <c r="J228" t="str">
        <f t="shared" si="3"/>
        <v/>
      </c>
      <c r="K228" t="str">
        <f t="shared" si="4"/>
        <v/>
      </c>
      <c r="L228" t="str">
        <f t="shared" si="5"/>
        <v/>
      </c>
      <c r="M228" t="str">
        <f t="shared" si="6"/>
        <v/>
      </c>
      <c r="N228" t="str">
        <f t="shared" si="7"/>
        <v/>
      </c>
      <c r="O228" t="str">
        <f t="shared" si="8"/>
        <v/>
      </c>
      <c r="P228" t="str">
        <f t="shared" si="9"/>
        <v/>
      </c>
      <c r="Q228" t="str">
        <f t="shared" si="10"/>
        <v/>
      </c>
      <c r="R228" t="str">
        <f t="shared" si="11"/>
        <v/>
      </c>
      <c r="S228" t="str">
        <f t="shared" si="12"/>
        <v/>
      </c>
      <c r="T228" t="str">
        <f t="shared" si="13"/>
        <v/>
      </c>
      <c r="U228" t="str">
        <f t="shared" si="14"/>
        <v/>
      </c>
      <c r="V228" t="str">
        <f t="shared" si="15"/>
        <v/>
      </c>
      <c r="W228" t="str">
        <f t="shared" si="16"/>
        <v/>
      </c>
      <c r="X228" t="str">
        <f t="shared" si="17"/>
        <v/>
      </c>
      <c r="Y228" t="str">
        <f t="shared" si="18"/>
        <v/>
      </c>
      <c r="Z228" t="str">
        <f t="shared" si="19"/>
        <v/>
      </c>
      <c r="AA228" t="str">
        <f t="shared" si="20"/>
        <v/>
      </c>
      <c r="AB228" t="str">
        <f t="shared" si="21"/>
        <v/>
      </c>
      <c r="AC228" t="str">
        <f t="shared" si="22"/>
        <v/>
      </c>
      <c r="AD228" t="str">
        <f t="shared" si="23"/>
        <v/>
      </c>
      <c r="AE228" t="str">
        <f t="shared" si="24"/>
        <v/>
      </c>
      <c r="AF228" t="str">
        <f t="shared" si="25"/>
        <v/>
      </c>
      <c r="AG228" t="str">
        <f t="shared" si="26"/>
        <v/>
      </c>
      <c r="AH228" s="65" t="str">
        <f t="array" ref="AH228">if(sum(H228:AG228)=0,,sum(sort(TRANSPOSE(H228:AG228),1,false)))</f>
        <v/>
      </c>
    </row>
    <row r="229" hidden="1">
      <c r="F229" s="4">
        <v>97.0</v>
      </c>
      <c r="H229" t="str">
        <f t="shared" si="1"/>
        <v/>
      </c>
      <c r="I229" t="str">
        <f t="shared" si="2"/>
        <v/>
      </c>
      <c r="J229" t="str">
        <f t="shared" si="3"/>
        <v/>
      </c>
      <c r="K229" t="str">
        <f t="shared" si="4"/>
        <v/>
      </c>
      <c r="L229" t="str">
        <f t="shared" si="5"/>
        <v/>
      </c>
      <c r="M229" t="str">
        <f t="shared" si="6"/>
        <v/>
      </c>
      <c r="N229" t="str">
        <f t="shared" si="7"/>
        <v/>
      </c>
      <c r="O229" t="str">
        <f t="shared" si="8"/>
        <v/>
      </c>
      <c r="P229" t="str">
        <f t="shared" si="9"/>
        <v/>
      </c>
      <c r="Q229" t="str">
        <f t="shared" si="10"/>
        <v/>
      </c>
      <c r="R229" t="str">
        <f t="shared" si="11"/>
        <v/>
      </c>
      <c r="S229" t="str">
        <f t="shared" si="12"/>
        <v/>
      </c>
      <c r="T229" t="str">
        <f t="shared" si="13"/>
        <v/>
      </c>
      <c r="U229" t="str">
        <f t="shared" si="14"/>
        <v/>
      </c>
      <c r="V229" t="str">
        <f t="shared" si="15"/>
        <v/>
      </c>
      <c r="W229" t="str">
        <f t="shared" si="16"/>
        <v/>
      </c>
      <c r="X229" t="str">
        <f t="shared" si="17"/>
        <v/>
      </c>
      <c r="Y229" t="str">
        <f t="shared" si="18"/>
        <v/>
      </c>
      <c r="Z229" t="str">
        <f t="shared" si="19"/>
        <v/>
      </c>
      <c r="AA229" t="str">
        <f t="shared" si="20"/>
        <v/>
      </c>
      <c r="AB229" t="str">
        <f t="shared" si="21"/>
        <v/>
      </c>
      <c r="AC229" t="str">
        <f t="shared" si="22"/>
        <v/>
      </c>
      <c r="AD229" t="str">
        <f t="shared" si="23"/>
        <v/>
      </c>
      <c r="AE229" t="str">
        <f t="shared" si="24"/>
        <v/>
      </c>
      <c r="AF229" t="str">
        <f t="shared" si="25"/>
        <v/>
      </c>
      <c r="AG229" t="str">
        <f t="shared" si="26"/>
        <v/>
      </c>
      <c r="AH229" s="65" t="str">
        <f t="array" ref="AH229">if(sum(H229:AG229)=0,,sum(sort(TRANSPOSE(H229:AG229),1,false)))</f>
        <v/>
      </c>
    </row>
    <row r="230" hidden="1">
      <c r="F230" s="4">
        <v>98.0</v>
      </c>
      <c r="H230" t="str">
        <f t="shared" si="1"/>
        <v/>
      </c>
      <c r="I230" t="str">
        <f t="shared" si="2"/>
        <v/>
      </c>
      <c r="J230" t="str">
        <f t="shared" si="3"/>
        <v/>
      </c>
      <c r="K230" t="str">
        <f t="shared" si="4"/>
        <v/>
      </c>
      <c r="L230" t="str">
        <f t="shared" si="5"/>
        <v/>
      </c>
      <c r="M230" t="str">
        <f t="shared" si="6"/>
        <v/>
      </c>
      <c r="N230" t="str">
        <f t="shared" si="7"/>
        <v/>
      </c>
      <c r="O230" t="str">
        <f t="shared" si="8"/>
        <v/>
      </c>
      <c r="P230" t="str">
        <f t="shared" si="9"/>
        <v/>
      </c>
      <c r="Q230" t="str">
        <f t="shared" si="10"/>
        <v/>
      </c>
      <c r="R230" t="str">
        <f t="shared" si="11"/>
        <v/>
      </c>
      <c r="S230" t="str">
        <f t="shared" si="12"/>
        <v/>
      </c>
      <c r="T230" t="str">
        <f t="shared" si="13"/>
        <v/>
      </c>
      <c r="U230" t="str">
        <f t="shared" si="14"/>
        <v/>
      </c>
      <c r="V230" t="str">
        <f t="shared" si="15"/>
        <v/>
      </c>
      <c r="W230" t="str">
        <f t="shared" si="16"/>
        <v/>
      </c>
      <c r="X230" t="str">
        <f t="shared" si="17"/>
        <v/>
      </c>
      <c r="Y230" t="str">
        <f t="shared" si="18"/>
        <v/>
      </c>
      <c r="Z230" t="str">
        <f t="shared" si="19"/>
        <v/>
      </c>
      <c r="AA230" t="str">
        <f t="shared" si="20"/>
        <v/>
      </c>
      <c r="AB230" t="str">
        <f t="shared" si="21"/>
        <v/>
      </c>
      <c r="AC230" t="str">
        <f t="shared" si="22"/>
        <v/>
      </c>
      <c r="AD230" t="str">
        <f t="shared" si="23"/>
        <v/>
      </c>
      <c r="AE230" t="str">
        <f t="shared" si="24"/>
        <v/>
      </c>
      <c r="AF230" t="str">
        <f t="shared" si="25"/>
        <v/>
      </c>
      <c r="AG230" t="str">
        <f t="shared" si="26"/>
        <v/>
      </c>
      <c r="AH230" s="65" t="str">
        <f t="array" ref="AH230">if(sum(H230:AG230)=0,,sum(sort(TRANSPOSE(H230:AG230),1,false)))</f>
        <v/>
      </c>
    </row>
    <row r="231" hidden="1">
      <c r="F231" s="4">
        <v>99.0</v>
      </c>
      <c r="H231" t="str">
        <f t="shared" si="1"/>
        <v/>
      </c>
      <c r="I231" t="str">
        <f t="shared" si="2"/>
        <v/>
      </c>
      <c r="J231" t="str">
        <f t="shared" si="3"/>
        <v/>
      </c>
      <c r="K231" t="str">
        <f t="shared" si="4"/>
        <v/>
      </c>
      <c r="L231" t="str">
        <f t="shared" si="5"/>
        <v/>
      </c>
      <c r="M231" t="str">
        <f t="shared" si="6"/>
        <v/>
      </c>
      <c r="N231" t="str">
        <f t="shared" si="7"/>
        <v/>
      </c>
      <c r="O231" t="str">
        <f t="shared" si="8"/>
        <v/>
      </c>
      <c r="P231" t="str">
        <f t="shared" si="9"/>
        <v/>
      </c>
      <c r="Q231" t="str">
        <f t="shared" si="10"/>
        <v/>
      </c>
      <c r="R231" t="str">
        <f t="shared" si="11"/>
        <v/>
      </c>
      <c r="S231" t="str">
        <f t="shared" si="12"/>
        <v/>
      </c>
      <c r="T231" t="str">
        <f t="shared" si="13"/>
        <v/>
      </c>
      <c r="U231" t="str">
        <f t="shared" si="14"/>
        <v/>
      </c>
      <c r="V231" t="str">
        <f t="shared" si="15"/>
        <v/>
      </c>
      <c r="W231" t="str">
        <f t="shared" si="16"/>
        <v/>
      </c>
      <c r="X231" t="str">
        <f t="shared" si="17"/>
        <v/>
      </c>
      <c r="Y231" t="str">
        <f t="shared" si="18"/>
        <v/>
      </c>
      <c r="Z231" t="str">
        <f t="shared" si="19"/>
        <v/>
      </c>
      <c r="AA231" t="str">
        <f t="shared" si="20"/>
        <v/>
      </c>
      <c r="AB231" t="str">
        <f t="shared" si="21"/>
        <v/>
      </c>
      <c r="AC231" t="str">
        <f t="shared" si="22"/>
        <v/>
      </c>
      <c r="AD231" t="str">
        <f t="shared" si="23"/>
        <v/>
      </c>
      <c r="AE231" t="str">
        <f t="shared" si="24"/>
        <v/>
      </c>
      <c r="AF231" t="str">
        <f t="shared" si="25"/>
        <v/>
      </c>
      <c r="AG231" t="str">
        <f t="shared" si="26"/>
        <v/>
      </c>
      <c r="AH231" s="65" t="str">
        <f t="array" ref="AH231">if(sum(H231:AG231)=0,,sum(sort(TRANSPOSE(H231:AG231),1,false)))</f>
        <v/>
      </c>
    </row>
    <row r="232" hidden="1">
      <c r="F232" s="4">
        <v>100.0</v>
      </c>
      <c r="H232" t="str">
        <f t="shared" si="1"/>
        <v/>
      </c>
      <c r="I232" t="str">
        <f t="shared" si="2"/>
        <v/>
      </c>
      <c r="J232" t="str">
        <f t="shared" si="3"/>
        <v/>
      </c>
      <c r="K232" t="str">
        <f t="shared" si="4"/>
        <v/>
      </c>
      <c r="L232" t="str">
        <f t="shared" si="5"/>
        <v/>
      </c>
      <c r="M232" t="str">
        <f t="shared" si="6"/>
        <v/>
      </c>
      <c r="N232" t="str">
        <f t="shared" si="7"/>
        <v/>
      </c>
      <c r="O232" t="str">
        <f t="shared" si="8"/>
        <v/>
      </c>
      <c r="P232" t="str">
        <f t="shared" si="9"/>
        <v/>
      </c>
      <c r="Q232" t="str">
        <f t="shared" si="10"/>
        <v/>
      </c>
      <c r="R232" t="str">
        <f t="shared" si="11"/>
        <v/>
      </c>
      <c r="S232" t="str">
        <f t="shared" si="12"/>
        <v/>
      </c>
      <c r="T232" t="str">
        <f t="shared" si="13"/>
        <v/>
      </c>
      <c r="U232" t="str">
        <f t="shared" si="14"/>
        <v/>
      </c>
      <c r="V232" t="str">
        <f t="shared" si="15"/>
        <v/>
      </c>
      <c r="W232" t="str">
        <f t="shared" si="16"/>
        <v/>
      </c>
      <c r="X232" t="str">
        <f t="shared" si="17"/>
        <v/>
      </c>
      <c r="Y232" t="str">
        <f t="shared" si="18"/>
        <v/>
      </c>
      <c r="Z232" t="str">
        <f t="shared" si="19"/>
        <v/>
      </c>
      <c r="AA232" t="str">
        <f t="shared" si="20"/>
        <v/>
      </c>
      <c r="AB232" t="str">
        <f t="shared" si="21"/>
        <v/>
      </c>
      <c r="AC232" t="str">
        <f t="shared" si="22"/>
        <v/>
      </c>
      <c r="AD232" t="str">
        <f t="shared" si="23"/>
        <v/>
      </c>
      <c r="AE232" t="str">
        <f t="shared" si="24"/>
        <v/>
      </c>
      <c r="AF232" t="str">
        <f t="shared" si="25"/>
        <v/>
      </c>
      <c r="AG232" t="str">
        <f t="shared" si="26"/>
        <v/>
      </c>
      <c r="AH232" s="65" t="str">
        <f t="array" ref="AH232">if(sum(H232:AG232)=0,,sum(sort(TRANSPOSE(H232:AG232),1,false)))</f>
        <v/>
      </c>
    </row>
    <row r="233" hidden="1">
      <c r="F233" s="4">
        <v>101.0</v>
      </c>
      <c r="H233" t="str">
        <f t="shared" si="1"/>
        <v/>
      </c>
      <c r="I233" t="str">
        <f t="shared" si="2"/>
        <v/>
      </c>
      <c r="J233" t="str">
        <f t="shared" si="3"/>
        <v/>
      </c>
      <c r="K233" t="str">
        <f t="shared" si="4"/>
        <v/>
      </c>
      <c r="L233" t="str">
        <f t="shared" si="5"/>
        <v/>
      </c>
      <c r="M233" t="str">
        <f t="shared" si="6"/>
        <v/>
      </c>
      <c r="N233" t="str">
        <f t="shared" si="7"/>
        <v/>
      </c>
      <c r="O233" t="str">
        <f t="shared" si="8"/>
        <v/>
      </c>
      <c r="P233" t="str">
        <f t="shared" si="9"/>
        <v/>
      </c>
      <c r="Q233" t="str">
        <f t="shared" si="10"/>
        <v/>
      </c>
      <c r="R233" t="str">
        <f t="shared" si="11"/>
        <v/>
      </c>
      <c r="S233" t="str">
        <f t="shared" si="12"/>
        <v/>
      </c>
      <c r="T233" t="str">
        <f t="shared" si="13"/>
        <v/>
      </c>
      <c r="U233" t="str">
        <f t="shared" si="14"/>
        <v/>
      </c>
      <c r="V233" t="str">
        <f t="shared" si="15"/>
        <v/>
      </c>
      <c r="W233" t="str">
        <f t="shared" si="16"/>
        <v/>
      </c>
      <c r="X233" t="str">
        <f t="shared" si="17"/>
        <v/>
      </c>
      <c r="Y233" t="str">
        <f t="shared" si="18"/>
        <v/>
      </c>
      <c r="Z233" t="str">
        <f t="shared" si="19"/>
        <v/>
      </c>
      <c r="AA233" t="str">
        <f t="shared" si="20"/>
        <v/>
      </c>
      <c r="AB233" t="str">
        <f t="shared" si="21"/>
        <v/>
      </c>
      <c r="AC233" t="str">
        <f t="shared" si="22"/>
        <v/>
      </c>
      <c r="AD233" t="str">
        <f t="shared" si="23"/>
        <v/>
      </c>
      <c r="AE233" t="str">
        <f t="shared" si="24"/>
        <v/>
      </c>
      <c r="AF233" t="str">
        <f t="shared" si="25"/>
        <v/>
      </c>
      <c r="AG233" t="str">
        <f t="shared" si="26"/>
        <v/>
      </c>
      <c r="AH233" s="65" t="str">
        <f t="array" ref="AH233">if(sum(H233:AG233)=0,,sum(sort(TRANSPOSE(H233:AG233),1,false)))</f>
        <v/>
      </c>
    </row>
    <row r="234" hidden="1">
      <c r="F234" s="4">
        <v>102.0</v>
      </c>
      <c r="H234" t="str">
        <f t="shared" si="1"/>
        <v/>
      </c>
      <c r="I234" t="str">
        <f t="shared" si="2"/>
        <v/>
      </c>
      <c r="J234" t="str">
        <f t="shared" si="3"/>
        <v/>
      </c>
      <c r="K234" t="str">
        <f t="shared" si="4"/>
        <v/>
      </c>
      <c r="L234" t="str">
        <f t="shared" si="5"/>
        <v/>
      </c>
      <c r="M234" t="str">
        <f t="shared" si="6"/>
        <v/>
      </c>
      <c r="N234" t="str">
        <f t="shared" si="7"/>
        <v/>
      </c>
      <c r="O234" t="str">
        <f t="shared" si="8"/>
        <v/>
      </c>
      <c r="P234" t="str">
        <f t="shared" si="9"/>
        <v/>
      </c>
      <c r="Q234" t="str">
        <f t="shared" si="10"/>
        <v/>
      </c>
      <c r="R234" t="str">
        <f t="shared" si="11"/>
        <v/>
      </c>
      <c r="S234" t="str">
        <f t="shared" si="12"/>
        <v/>
      </c>
      <c r="T234" t="str">
        <f t="shared" si="13"/>
        <v/>
      </c>
      <c r="U234" t="str">
        <f t="shared" si="14"/>
        <v/>
      </c>
      <c r="V234" t="str">
        <f t="shared" si="15"/>
        <v/>
      </c>
      <c r="W234" t="str">
        <f t="shared" si="16"/>
        <v/>
      </c>
      <c r="X234" t="str">
        <f t="shared" si="17"/>
        <v/>
      </c>
      <c r="Y234" t="str">
        <f t="shared" si="18"/>
        <v/>
      </c>
      <c r="Z234" t="str">
        <f t="shared" si="19"/>
        <v/>
      </c>
      <c r="AA234" t="str">
        <f t="shared" si="20"/>
        <v/>
      </c>
      <c r="AB234" t="str">
        <f t="shared" si="21"/>
        <v/>
      </c>
      <c r="AC234" t="str">
        <f t="shared" si="22"/>
        <v/>
      </c>
      <c r="AD234" t="str">
        <f t="shared" si="23"/>
        <v/>
      </c>
      <c r="AE234" t="str">
        <f t="shared" si="24"/>
        <v/>
      </c>
      <c r="AF234" t="str">
        <f t="shared" si="25"/>
        <v/>
      </c>
      <c r="AG234" t="str">
        <f t="shared" si="26"/>
        <v/>
      </c>
      <c r="AH234" s="65" t="str">
        <f t="array" ref="AH234">if(sum(H234:AG234)=0,,sum(sort(TRANSPOSE(H234:AG234),1,false)))</f>
        <v/>
      </c>
    </row>
    <row r="235" hidden="1">
      <c r="F235" s="4">
        <v>103.0</v>
      </c>
      <c r="H235" t="str">
        <f t="shared" si="1"/>
        <v/>
      </c>
      <c r="I235" t="str">
        <f t="shared" si="2"/>
        <v/>
      </c>
      <c r="J235" t="str">
        <f t="shared" si="3"/>
        <v/>
      </c>
      <c r="K235" t="str">
        <f t="shared" si="4"/>
        <v/>
      </c>
      <c r="L235" t="str">
        <f t="shared" si="5"/>
        <v/>
      </c>
      <c r="M235" t="str">
        <f t="shared" si="6"/>
        <v/>
      </c>
      <c r="N235" t="str">
        <f t="shared" si="7"/>
        <v/>
      </c>
      <c r="O235" t="str">
        <f t="shared" si="8"/>
        <v/>
      </c>
      <c r="P235" t="str">
        <f t="shared" si="9"/>
        <v/>
      </c>
      <c r="Q235" t="str">
        <f t="shared" si="10"/>
        <v/>
      </c>
      <c r="R235" t="str">
        <f t="shared" si="11"/>
        <v/>
      </c>
      <c r="S235" t="str">
        <f t="shared" si="12"/>
        <v/>
      </c>
      <c r="T235" t="str">
        <f t="shared" si="13"/>
        <v/>
      </c>
      <c r="U235" t="str">
        <f t="shared" si="14"/>
        <v/>
      </c>
      <c r="V235" t="str">
        <f t="shared" si="15"/>
        <v/>
      </c>
      <c r="W235" t="str">
        <f t="shared" si="16"/>
        <v/>
      </c>
      <c r="X235" t="str">
        <f t="shared" si="17"/>
        <v/>
      </c>
      <c r="Y235" t="str">
        <f t="shared" si="18"/>
        <v/>
      </c>
      <c r="Z235" t="str">
        <f t="shared" si="19"/>
        <v/>
      </c>
      <c r="AA235" t="str">
        <f t="shared" si="20"/>
        <v/>
      </c>
      <c r="AB235" t="str">
        <f t="shared" si="21"/>
        <v/>
      </c>
      <c r="AC235" t="str">
        <f t="shared" si="22"/>
        <v/>
      </c>
      <c r="AD235" t="str">
        <f t="shared" si="23"/>
        <v/>
      </c>
      <c r="AE235" t="str">
        <f t="shared" si="24"/>
        <v/>
      </c>
      <c r="AF235" t="str">
        <f t="shared" si="25"/>
        <v/>
      </c>
      <c r="AG235" t="str">
        <f t="shared" si="26"/>
        <v/>
      </c>
      <c r="AH235" s="65" t="str">
        <f t="array" ref="AH235">if(sum(H235:AG235)=0,,sum(sort(TRANSPOSE(H235:AG235),1,false)))</f>
        <v/>
      </c>
    </row>
    <row r="236" hidden="1">
      <c r="F236" s="4">
        <v>104.0</v>
      </c>
      <c r="H236" t="str">
        <f t="shared" si="1"/>
        <v/>
      </c>
      <c r="I236" t="str">
        <f t="shared" si="2"/>
        <v/>
      </c>
      <c r="J236" t="str">
        <f t="shared" si="3"/>
        <v/>
      </c>
      <c r="K236" t="str">
        <f t="shared" si="4"/>
        <v/>
      </c>
      <c r="L236" t="str">
        <f t="shared" si="5"/>
        <v/>
      </c>
      <c r="M236" t="str">
        <f t="shared" si="6"/>
        <v/>
      </c>
      <c r="N236" t="str">
        <f t="shared" si="7"/>
        <v/>
      </c>
      <c r="O236" t="str">
        <f t="shared" si="8"/>
        <v/>
      </c>
      <c r="P236" t="str">
        <f t="shared" si="9"/>
        <v/>
      </c>
      <c r="Q236" t="str">
        <f t="shared" si="10"/>
        <v/>
      </c>
      <c r="R236" t="str">
        <f t="shared" si="11"/>
        <v/>
      </c>
      <c r="S236" t="str">
        <f t="shared" si="12"/>
        <v/>
      </c>
      <c r="T236" t="str">
        <f t="shared" si="13"/>
        <v/>
      </c>
      <c r="U236" t="str">
        <f t="shared" si="14"/>
        <v/>
      </c>
      <c r="V236" t="str">
        <f t="shared" si="15"/>
        <v/>
      </c>
      <c r="W236" t="str">
        <f t="shared" si="16"/>
        <v/>
      </c>
      <c r="X236" t="str">
        <f t="shared" si="17"/>
        <v/>
      </c>
      <c r="Y236" t="str">
        <f t="shared" si="18"/>
        <v/>
      </c>
      <c r="Z236" t="str">
        <f t="shared" si="19"/>
        <v/>
      </c>
      <c r="AA236" t="str">
        <f t="shared" si="20"/>
        <v/>
      </c>
      <c r="AB236" t="str">
        <f t="shared" si="21"/>
        <v/>
      </c>
      <c r="AC236" t="str">
        <f t="shared" si="22"/>
        <v/>
      </c>
      <c r="AD236" t="str">
        <f t="shared" si="23"/>
        <v/>
      </c>
      <c r="AE236" t="str">
        <f t="shared" si="24"/>
        <v/>
      </c>
      <c r="AF236" t="str">
        <f t="shared" si="25"/>
        <v/>
      </c>
      <c r="AG236" t="str">
        <f t="shared" si="26"/>
        <v/>
      </c>
      <c r="AH236" s="65" t="str">
        <f t="array" ref="AH236">if(sum(H236:AG236)=0,,sum(sort(TRANSPOSE(H236:AG236),1,false)))</f>
        <v/>
      </c>
    </row>
    <row r="237" hidden="1">
      <c r="F237" s="4">
        <v>105.0</v>
      </c>
      <c r="H237" t="str">
        <f t="shared" si="1"/>
        <v/>
      </c>
      <c r="I237" t="str">
        <f t="shared" si="2"/>
        <v/>
      </c>
      <c r="J237" t="str">
        <f t="shared" si="3"/>
        <v/>
      </c>
      <c r="K237" t="str">
        <f t="shared" si="4"/>
        <v/>
      </c>
      <c r="L237" t="str">
        <f t="shared" si="5"/>
        <v/>
      </c>
      <c r="M237" t="str">
        <f t="shared" si="6"/>
        <v/>
      </c>
      <c r="N237" t="str">
        <f t="shared" si="7"/>
        <v/>
      </c>
      <c r="O237" t="str">
        <f t="shared" si="8"/>
        <v/>
      </c>
      <c r="P237" t="str">
        <f t="shared" si="9"/>
        <v/>
      </c>
      <c r="Q237" t="str">
        <f t="shared" si="10"/>
        <v/>
      </c>
      <c r="R237" t="str">
        <f t="shared" si="11"/>
        <v/>
      </c>
      <c r="S237" t="str">
        <f t="shared" si="12"/>
        <v/>
      </c>
      <c r="T237" t="str">
        <f t="shared" si="13"/>
        <v/>
      </c>
      <c r="U237" t="str">
        <f t="shared" si="14"/>
        <v/>
      </c>
      <c r="V237" t="str">
        <f t="shared" si="15"/>
        <v/>
      </c>
      <c r="W237" t="str">
        <f t="shared" si="16"/>
        <v/>
      </c>
      <c r="X237" t="str">
        <f t="shared" si="17"/>
        <v/>
      </c>
      <c r="Y237" t="str">
        <f t="shared" si="18"/>
        <v/>
      </c>
      <c r="Z237" t="str">
        <f t="shared" si="19"/>
        <v/>
      </c>
      <c r="AA237" t="str">
        <f t="shared" si="20"/>
        <v/>
      </c>
      <c r="AB237" t="str">
        <f t="shared" si="21"/>
        <v/>
      </c>
      <c r="AC237" t="str">
        <f t="shared" si="22"/>
        <v/>
      </c>
      <c r="AD237" t="str">
        <f t="shared" si="23"/>
        <v/>
      </c>
      <c r="AE237" t="str">
        <f t="shared" si="24"/>
        <v/>
      </c>
      <c r="AF237" t="str">
        <f t="shared" si="25"/>
        <v/>
      </c>
      <c r="AG237" t="str">
        <f t="shared" si="26"/>
        <v/>
      </c>
      <c r="AH237" s="65" t="str">
        <f t="array" ref="AH237">if(sum(H237:AG237)=0,,sum(sort(TRANSPOSE(H237:AG237),1,false)))</f>
        <v/>
      </c>
    </row>
    <row r="238" hidden="1">
      <c r="F238" s="4">
        <v>106.0</v>
      </c>
      <c r="H238" t="str">
        <f t="shared" si="1"/>
        <v/>
      </c>
      <c r="I238" t="str">
        <f t="shared" si="2"/>
        <v/>
      </c>
      <c r="J238" t="str">
        <f t="shared" si="3"/>
        <v/>
      </c>
      <c r="K238" t="str">
        <f t="shared" si="4"/>
        <v/>
      </c>
      <c r="L238" t="str">
        <f t="shared" si="5"/>
        <v/>
      </c>
      <c r="M238" t="str">
        <f t="shared" si="6"/>
        <v/>
      </c>
      <c r="N238" t="str">
        <f t="shared" si="7"/>
        <v/>
      </c>
      <c r="O238" t="str">
        <f t="shared" si="8"/>
        <v/>
      </c>
      <c r="P238" t="str">
        <f t="shared" si="9"/>
        <v/>
      </c>
      <c r="Q238" t="str">
        <f t="shared" si="10"/>
        <v/>
      </c>
      <c r="R238" t="str">
        <f t="shared" si="11"/>
        <v/>
      </c>
      <c r="S238" t="str">
        <f t="shared" si="12"/>
        <v/>
      </c>
      <c r="T238" t="str">
        <f t="shared" si="13"/>
        <v/>
      </c>
      <c r="U238" t="str">
        <f t="shared" si="14"/>
        <v/>
      </c>
      <c r="V238" t="str">
        <f t="shared" si="15"/>
        <v/>
      </c>
      <c r="W238" t="str">
        <f t="shared" si="16"/>
        <v/>
      </c>
      <c r="X238" t="str">
        <f t="shared" si="17"/>
        <v/>
      </c>
      <c r="Y238" t="str">
        <f t="shared" si="18"/>
        <v/>
      </c>
      <c r="Z238" t="str">
        <f t="shared" si="19"/>
        <v/>
      </c>
      <c r="AA238" t="str">
        <f t="shared" si="20"/>
        <v/>
      </c>
      <c r="AB238" t="str">
        <f t="shared" si="21"/>
        <v/>
      </c>
      <c r="AC238" t="str">
        <f t="shared" si="22"/>
        <v/>
      </c>
      <c r="AD238" t="str">
        <f t="shared" si="23"/>
        <v/>
      </c>
      <c r="AE238" t="str">
        <f t="shared" si="24"/>
        <v/>
      </c>
      <c r="AF238" t="str">
        <f t="shared" si="25"/>
        <v/>
      </c>
      <c r="AG238" t="str">
        <f t="shared" si="26"/>
        <v/>
      </c>
      <c r="AH238" s="65" t="str">
        <f t="array" ref="AH238">if(sum(H238:AG238)=0,,sum(sort(TRANSPOSE(H238:AG238),1,false)))</f>
        <v/>
      </c>
    </row>
    <row r="239" hidden="1">
      <c r="F239" s="4">
        <v>107.0</v>
      </c>
      <c r="H239" t="str">
        <f t="shared" si="1"/>
        <v/>
      </c>
      <c r="I239" t="str">
        <f t="shared" si="2"/>
        <v/>
      </c>
      <c r="J239" t="str">
        <f t="shared" si="3"/>
        <v/>
      </c>
      <c r="K239" t="str">
        <f t="shared" si="4"/>
        <v/>
      </c>
      <c r="L239" t="str">
        <f t="shared" si="5"/>
        <v/>
      </c>
      <c r="M239" t="str">
        <f t="shared" si="6"/>
        <v/>
      </c>
      <c r="N239" t="str">
        <f t="shared" si="7"/>
        <v/>
      </c>
      <c r="O239" t="str">
        <f t="shared" si="8"/>
        <v/>
      </c>
      <c r="P239" t="str">
        <f t="shared" si="9"/>
        <v/>
      </c>
      <c r="Q239" t="str">
        <f t="shared" si="10"/>
        <v/>
      </c>
      <c r="R239" t="str">
        <f t="shared" si="11"/>
        <v/>
      </c>
      <c r="S239" t="str">
        <f t="shared" si="12"/>
        <v/>
      </c>
      <c r="T239" t="str">
        <f t="shared" si="13"/>
        <v/>
      </c>
      <c r="U239" t="str">
        <f t="shared" si="14"/>
        <v/>
      </c>
      <c r="V239" t="str">
        <f t="shared" si="15"/>
        <v/>
      </c>
      <c r="W239" t="str">
        <f t="shared" si="16"/>
        <v/>
      </c>
      <c r="X239" t="str">
        <f t="shared" si="17"/>
        <v/>
      </c>
      <c r="Y239" t="str">
        <f t="shared" si="18"/>
        <v/>
      </c>
      <c r="Z239" t="str">
        <f t="shared" si="19"/>
        <v/>
      </c>
      <c r="AA239" t="str">
        <f t="shared" si="20"/>
        <v/>
      </c>
      <c r="AB239" t="str">
        <f t="shared" si="21"/>
        <v/>
      </c>
      <c r="AC239" t="str">
        <f t="shared" si="22"/>
        <v/>
      </c>
      <c r="AD239" t="str">
        <f t="shared" si="23"/>
        <v/>
      </c>
      <c r="AE239" t="str">
        <f t="shared" si="24"/>
        <v/>
      </c>
      <c r="AF239" t="str">
        <f t="shared" si="25"/>
        <v/>
      </c>
      <c r="AG239" t="str">
        <f t="shared" si="26"/>
        <v/>
      </c>
      <c r="AH239" s="65" t="str">
        <f t="array" ref="AH239">if(sum(H239:AG239)=0,,sum(sort(TRANSPOSE(H239:AG239),1,false)))</f>
        <v/>
      </c>
    </row>
    <row r="240" hidden="1">
      <c r="F240" s="4">
        <v>108.0</v>
      </c>
      <c r="H240" t="str">
        <f t="shared" si="1"/>
        <v/>
      </c>
      <c r="I240" t="str">
        <f t="shared" si="2"/>
        <v/>
      </c>
      <c r="J240" t="str">
        <f t="shared" si="3"/>
        <v/>
      </c>
      <c r="K240" t="str">
        <f t="shared" si="4"/>
        <v/>
      </c>
      <c r="L240" t="str">
        <f t="shared" si="5"/>
        <v/>
      </c>
      <c r="M240" t="str">
        <f t="shared" si="6"/>
        <v/>
      </c>
      <c r="N240" t="str">
        <f t="shared" si="7"/>
        <v/>
      </c>
      <c r="O240" t="str">
        <f t="shared" si="8"/>
        <v/>
      </c>
      <c r="P240" t="str">
        <f t="shared" si="9"/>
        <v/>
      </c>
      <c r="Q240" t="str">
        <f t="shared" si="10"/>
        <v/>
      </c>
      <c r="R240" t="str">
        <f t="shared" si="11"/>
        <v/>
      </c>
      <c r="S240" t="str">
        <f t="shared" si="12"/>
        <v/>
      </c>
      <c r="T240" t="str">
        <f t="shared" si="13"/>
        <v/>
      </c>
      <c r="U240" t="str">
        <f t="shared" si="14"/>
        <v/>
      </c>
      <c r="V240" t="str">
        <f t="shared" si="15"/>
        <v/>
      </c>
      <c r="W240" t="str">
        <f t="shared" si="16"/>
        <v/>
      </c>
      <c r="X240" t="str">
        <f t="shared" si="17"/>
        <v/>
      </c>
      <c r="Y240" t="str">
        <f t="shared" si="18"/>
        <v/>
      </c>
      <c r="Z240" t="str">
        <f t="shared" si="19"/>
        <v/>
      </c>
      <c r="AA240" t="str">
        <f t="shared" si="20"/>
        <v/>
      </c>
      <c r="AB240" t="str">
        <f t="shared" si="21"/>
        <v/>
      </c>
      <c r="AC240" t="str">
        <f t="shared" si="22"/>
        <v/>
      </c>
      <c r="AD240" t="str">
        <f t="shared" si="23"/>
        <v/>
      </c>
      <c r="AE240" t="str">
        <f t="shared" si="24"/>
        <v/>
      </c>
      <c r="AF240" t="str">
        <f t="shared" si="25"/>
        <v/>
      </c>
      <c r="AG240" t="str">
        <f t="shared" si="26"/>
        <v/>
      </c>
      <c r="AH240" s="65" t="str">
        <f t="array" ref="AH240">if(sum(H240:AG240)=0,,sum(sort(TRANSPOSE(H240:AG240),1,false)))</f>
        <v/>
      </c>
    </row>
    <row r="241" hidden="1">
      <c r="F241" s="4">
        <v>109.0</v>
      </c>
      <c r="H241" t="str">
        <f t="shared" si="1"/>
        <v/>
      </c>
      <c r="I241" t="str">
        <f t="shared" si="2"/>
        <v/>
      </c>
      <c r="J241" t="str">
        <f t="shared" si="3"/>
        <v/>
      </c>
      <c r="K241" t="str">
        <f t="shared" si="4"/>
        <v/>
      </c>
      <c r="L241" t="str">
        <f t="shared" si="5"/>
        <v/>
      </c>
      <c r="M241" t="str">
        <f t="shared" si="6"/>
        <v/>
      </c>
      <c r="N241" t="str">
        <f t="shared" si="7"/>
        <v/>
      </c>
      <c r="O241" t="str">
        <f t="shared" si="8"/>
        <v/>
      </c>
      <c r="P241" t="str">
        <f t="shared" si="9"/>
        <v/>
      </c>
      <c r="Q241" t="str">
        <f t="shared" si="10"/>
        <v/>
      </c>
      <c r="R241" t="str">
        <f t="shared" si="11"/>
        <v/>
      </c>
      <c r="S241" t="str">
        <f t="shared" si="12"/>
        <v/>
      </c>
      <c r="T241" t="str">
        <f t="shared" si="13"/>
        <v/>
      </c>
      <c r="U241" t="str">
        <f t="shared" si="14"/>
        <v/>
      </c>
      <c r="V241" t="str">
        <f t="shared" si="15"/>
        <v/>
      </c>
      <c r="W241" t="str">
        <f t="shared" si="16"/>
        <v/>
      </c>
      <c r="X241" t="str">
        <f t="shared" si="17"/>
        <v/>
      </c>
      <c r="Y241" t="str">
        <f t="shared" si="18"/>
        <v/>
      </c>
      <c r="Z241" t="str">
        <f t="shared" si="19"/>
        <v/>
      </c>
      <c r="AA241" t="str">
        <f t="shared" si="20"/>
        <v/>
      </c>
      <c r="AB241" t="str">
        <f t="shared" si="21"/>
        <v/>
      </c>
      <c r="AC241" t="str">
        <f t="shared" si="22"/>
        <v/>
      </c>
      <c r="AD241" t="str">
        <f t="shared" si="23"/>
        <v/>
      </c>
      <c r="AE241" t="str">
        <f t="shared" si="24"/>
        <v/>
      </c>
      <c r="AF241" t="str">
        <f t="shared" si="25"/>
        <v/>
      </c>
      <c r="AG241" t="str">
        <f t="shared" si="26"/>
        <v/>
      </c>
      <c r="AH241" s="65" t="str">
        <f t="array" ref="AH241">if(sum(H241:AG241)=0,,sum(sort(TRANSPOSE(H241:AG241),1,false)))</f>
        <v/>
      </c>
    </row>
    <row r="242" hidden="1">
      <c r="F242" s="4">
        <v>110.0</v>
      </c>
      <c r="H242" t="str">
        <f t="shared" si="1"/>
        <v/>
      </c>
      <c r="I242" t="str">
        <f t="shared" si="2"/>
        <v/>
      </c>
      <c r="J242" t="str">
        <f t="shared" si="3"/>
        <v/>
      </c>
      <c r="K242" t="str">
        <f t="shared" si="4"/>
        <v/>
      </c>
      <c r="L242" t="str">
        <f t="shared" si="5"/>
        <v/>
      </c>
      <c r="M242" t="str">
        <f t="shared" si="6"/>
        <v/>
      </c>
      <c r="N242" t="str">
        <f t="shared" si="7"/>
        <v/>
      </c>
      <c r="O242" t="str">
        <f t="shared" si="8"/>
        <v/>
      </c>
      <c r="P242" t="str">
        <f t="shared" si="9"/>
        <v/>
      </c>
      <c r="Q242" t="str">
        <f t="shared" si="10"/>
        <v/>
      </c>
      <c r="R242" t="str">
        <f t="shared" si="11"/>
        <v/>
      </c>
      <c r="S242" t="str">
        <f t="shared" si="12"/>
        <v/>
      </c>
      <c r="T242" t="str">
        <f t="shared" si="13"/>
        <v/>
      </c>
      <c r="U242" t="str">
        <f t="shared" si="14"/>
        <v/>
      </c>
      <c r="V242" t="str">
        <f t="shared" si="15"/>
        <v/>
      </c>
      <c r="W242" t="str">
        <f t="shared" si="16"/>
        <v/>
      </c>
      <c r="X242" t="str">
        <f t="shared" si="17"/>
        <v/>
      </c>
      <c r="Y242" t="str">
        <f t="shared" si="18"/>
        <v/>
      </c>
      <c r="Z242" t="str">
        <f t="shared" si="19"/>
        <v/>
      </c>
      <c r="AA242" t="str">
        <f t="shared" si="20"/>
        <v/>
      </c>
      <c r="AB242" t="str">
        <f t="shared" si="21"/>
        <v/>
      </c>
      <c r="AC242" t="str">
        <f t="shared" si="22"/>
        <v/>
      </c>
      <c r="AD242" t="str">
        <f t="shared" si="23"/>
        <v/>
      </c>
      <c r="AE242" t="str">
        <f t="shared" si="24"/>
        <v/>
      </c>
      <c r="AF242" t="str">
        <f t="shared" si="25"/>
        <v/>
      </c>
      <c r="AG242" t="str">
        <f t="shared" si="26"/>
        <v/>
      </c>
      <c r="AH242" s="65" t="str">
        <f t="array" ref="AH242">if(sum(H242:AG242)=0,,sum(sort(TRANSPOSE(H242:AG242),1,false)))</f>
        <v/>
      </c>
    </row>
    <row r="243" hidden="1">
      <c r="F243" s="4">
        <v>111.0</v>
      </c>
      <c r="H243" t="str">
        <f t="shared" si="1"/>
        <v/>
      </c>
      <c r="I243" t="str">
        <f t="shared" si="2"/>
        <v/>
      </c>
      <c r="J243" t="str">
        <f t="shared" si="3"/>
        <v/>
      </c>
      <c r="K243" t="str">
        <f t="shared" si="4"/>
        <v/>
      </c>
      <c r="L243" t="str">
        <f t="shared" si="5"/>
        <v/>
      </c>
      <c r="M243" t="str">
        <f t="shared" si="6"/>
        <v/>
      </c>
      <c r="N243" t="str">
        <f t="shared" si="7"/>
        <v/>
      </c>
      <c r="O243" t="str">
        <f t="shared" si="8"/>
        <v/>
      </c>
      <c r="P243" t="str">
        <f t="shared" si="9"/>
        <v/>
      </c>
      <c r="Q243" t="str">
        <f t="shared" si="10"/>
        <v/>
      </c>
      <c r="R243" t="str">
        <f t="shared" si="11"/>
        <v/>
      </c>
      <c r="S243" t="str">
        <f t="shared" si="12"/>
        <v/>
      </c>
      <c r="T243" t="str">
        <f t="shared" si="13"/>
        <v/>
      </c>
      <c r="U243" t="str">
        <f t="shared" si="14"/>
        <v/>
      </c>
      <c r="V243" t="str">
        <f t="shared" si="15"/>
        <v/>
      </c>
      <c r="W243" t="str">
        <f t="shared" si="16"/>
        <v/>
      </c>
      <c r="X243" t="str">
        <f t="shared" si="17"/>
        <v/>
      </c>
      <c r="Y243" t="str">
        <f t="shared" si="18"/>
        <v/>
      </c>
      <c r="Z243" t="str">
        <f t="shared" si="19"/>
        <v/>
      </c>
      <c r="AA243" t="str">
        <f t="shared" si="20"/>
        <v/>
      </c>
      <c r="AB243" t="str">
        <f t="shared" si="21"/>
        <v/>
      </c>
      <c r="AC243" t="str">
        <f t="shared" si="22"/>
        <v/>
      </c>
      <c r="AD243" t="str">
        <f t="shared" si="23"/>
        <v/>
      </c>
      <c r="AE243" t="str">
        <f t="shared" si="24"/>
        <v/>
      </c>
      <c r="AF243" t="str">
        <f t="shared" si="25"/>
        <v/>
      </c>
      <c r="AG243" t="str">
        <f t="shared" si="26"/>
        <v/>
      </c>
      <c r="AH243" s="65" t="str">
        <f t="array" ref="AH243">if(sum(H243:AG243)=0,,sum(sort(TRANSPOSE(H243:AG243),1,false)))</f>
        <v/>
      </c>
    </row>
    <row r="244" hidden="1">
      <c r="F244" s="4">
        <v>112.0</v>
      </c>
      <c r="H244" t="str">
        <f t="shared" si="1"/>
        <v/>
      </c>
      <c r="I244" t="str">
        <f t="shared" si="2"/>
        <v/>
      </c>
      <c r="J244" t="str">
        <f t="shared" si="3"/>
        <v/>
      </c>
      <c r="K244" t="str">
        <f t="shared" si="4"/>
        <v/>
      </c>
      <c r="L244" t="str">
        <f t="shared" si="5"/>
        <v/>
      </c>
      <c r="M244" t="str">
        <f t="shared" si="6"/>
        <v/>
      </c>
      <c r="N244" t="str">
        <f t="shared" si="7"/>
        <v/>
      </c>
      <c r="O244" t="str">
        <f t="shared" si="8"/>
        <v/>
      </c>
      <c r="P244" t="str">
        <f t="shared" si="9"/>
        <v/>
      </c>
      <c r="Q244" t="str">
        <f t="shared" si="10"/>
        <v/>
      </c>
      <c r="R244" t="str">
        <f t="shared" si="11"/>
        <v/>
      </c>
      <c r="S244" t="str">
        <f t="shared" si="12"/>
        <v/>
      </c>
      <c r="T244" t="str">
        <f t="shared" si="13"/>
        <v/>
      </c>
      <c r="U244" t="str">
        <f t="shared" si="14"/>
        <v/>
      </c>
      <c r="V244" t="str">
        <f t="shared" si="15"/>
        <v/>
      </c>
      <c r="W244" t="str">
        <f t="shared" si="16"/>
        <v/>
      </c>
      <c r="X244" t="str">
        <f t="shared" si="17"/>
        <v/>
      </c>
      <c r="Y244" t="str">
        <f t="shared" si="18"/>
        <v/>
      </c>
      <c r="Z244" t="str">
        <f t="shared" si="19"/>
        <v/>
      </c>
      <c r="AA244" t="str">
        <f t="shared" si="20"/>
        <v/>
      </c>
      <c r="AB244" t="str">
        <f t="shared" si="21"/>
        <v/>
      </c>
      <c r="AC244" t="str">
        <f t="shared" si="22"/>
        <v/>
      </c>
      <c r="AD244" t="str">
        <f t="shared" si="23"/>
        <v/>
      </c>
      <c r="AE244" t="str">
        <f t="shared" si="24"/>
        <v/>
      </c>
      <c r="AF244" t="str">
        <f t="shared" si="25"/>
        <v/>
      </c>
      <c r="AG244" t="str">
        <f t="shared" si="26"/>
        <v/>
      </c>
      <c r="AH244" s="65" t="str">
        <f t="array" ref="AH244">if(sum(H244:AG244)=0,,sum(sort(TRANSPOSE(H244:AG244),1,false)))</f>
        <v/>
      </c>
    </row>
    <row r="245" hidden="1">
      <c r="F245" s="4">
        <v>113.0</v>
      </c>
      <c r="H245" t="str">
        <f t="shared" si="1"/>
        <v/>
      </c>
      <c r="I245" t="str">
        <f t="shared" si="2"/>
        <v/>
      </c>
      <c r="J245" t="str">
        <f t="shared" si="3"/>
        <v/>
      </c>
      <c r="K245" t="str">
        <f t="shared" si="4"/>
        <v/>
      </c>
      <c r="L245" t="str">
        <f t="shared" si="5"/>
        <v/>
      </c>
      <c r="M245" t="str">
        <f t="shared" si="6"/>
        <v/>
      </c>
      <c r="N245" t="str">
        <f t="shared" si="7"/>
        <v/>
      </c>
      <c r="O245" t="str">
        <f t="shared" si="8"/>
        <v/>
      </c>
      <c r="P245" t="str">
        <f t="shared" si="9"/>
        <v/>
      </c>
      <c r="Q245" t="str">
        <f t="shared" si="10"/>
        <v/>
      </c>
      <c r="R245" t="str">
        <f t="shared" si="11"/>
        <v/>
      </c>
      <c r="S245" t="str">
        <f t="shared" si="12"/>
        <v/>
      </c>
      <c r="T245" t="str">
        <f t="shared" si="13"/>
        <v/>
      </c>
      <c r="U245" t="str">
        <f t="shared" si="14"/>
        <v/>
      </c>
      <c r="V245" t="str">
        <f t="shared" si="15"/>
        <v/>
      </c>
      <c r="W245" t="str">
        <f t="shared" si="16"/>
        <v/>
      </c>
      <c r="X245" t="str">
        <f t="shared" si="17"/>
        <v/>
      </c>
      <c r="Y245" t="str">
        <f t="shared" si="18"/>
        <v/>
      </c>
      <c r="Z245" t="str">
        <f t="shared" si="19"/>
        <v/>
      </c>
      <c r="AA245" t="str">
        <f t="shared" si="20"/>
        <v/>
      </c>
      <c r="AB245" t="str">
        <f t="shared" si="21"/>
        <v/>
      </c>
      <c r="AC245" t="str">
        <f t="shared" si="22"/>
        <v/>
      </c>
      <c r="AD245" t="str">
        <f t="shared" si="23"/>
        <v/>
      </c>
      <c r="AE245" t="str">
        <f t="shared" si="24"/>
        <v/>
      </c>
      <c r="AF245" t="str">
        <f t="shared" si="25"/>
        <v/>
      </c>
      <c r="AG245" t="str">
        <f t="shared" si="26"/>
        <v/>
      </c>
      <c r="AH245" s="65" t="str">
        <f t="array" ref="AH245">if(sum(H245:AG245)=0,,sum(sort(TRANSPOSE(H245:AG245),1,false)))</f>
        <v/>
      </c>
    </row>
    <row r="246" hidden="1">
      <c r="F246" s="4">
        <v>114.0</v>
      </c>
      <c r="H246" t="str">
        <f t="shared" si="1"/>
        <v/>
      </c>
      <c r="I246" t="str">
        <f t="shared" si="2"/>
        <v/>
      </c>
      <c r="J246" t="str">
        <f t="shared" si="3"/>
        <v/>
      </c>
      <c r="K246" t="str">
        <f t="shared" si="4"/>
        <v/>
      </c>
      <c r="L246" t="str">
        <f t="shared" si="5"/>
        <v/>
      </c>
      <c r="M246" t="str">
        <f t="shared" si="6"/>
        <v/>
      </c>
      <c r="N246" t="str">
        <f t="shared" si="7"/>
        <v/>
      </c>
      <c r="O246" t="str">
        <f t="shared" si="8"/>
        <v/>
      </c>
      <c r="P246" t="str">
        <f t="shared" si="9"/>
        <v/>
      </c>
      <c r="Q246" t="str">
        <f t="shared" si="10"/>
        <v/>
      </c>
      <c r="R246" t="str">
        <f t="shared" si="11"/>
        <v/>
      </c>
      <c r="S246" t="str">
        <f t="shared" si="12"/>
        <v/>
      </c>
      <c r="T246" t="str">
        <f t="shared" si="13"/>
        <v/>
      </c>
      <c r="U246" t="str">
        <f t="shared" si="14"/>
        <v/>
      </c>
      <c r="V246" t="str">
        <f t="shared" si="15"/>
        <v/>
      </c>
      <c r="W246" t="str">
        <f t="shared" si="16"/>
        <v/>
      </c>
      <c r="X246" t="str">
        <f t="shared" si="17"/>
        <v/>
      </c>
      <c r="Y246" t="str">
        <f t="shared" si="18"/>
        <v/>
      </c>
      <c r="Z246" t="str">
        <f t="shared" si="19"/>
        <v/>
      </c>
      <c r="AA246" t="str">
        <f t="shared" si="20"/>
        <v/>
      </c>
      <c r="AB246" t="str">
        <f t="shared" si="21"/>
        <v/>
      </c>
      <c r="AC246" t="str">
        <f t="shared" si="22"/>
        <v/>
      </c>
      <c r="AD246" t="str">
        <f t="shared" si="23"/>
        <v/>
      </c>
      <c r="AE246" t="str">
        <f t="shared" si="24"/>
        <v/>
      </c>
      <c r="AF246" t="str">
        <f t="shared" si="25"/>
        <v/>
      </c>
      <c r="AG246" t="str">
        <f t="shared" si="26"/>
        <v/>
      </c>
      <c r="AH246" s="65" t="str">
        <f t="array" ref="AH246">if(sum(H246:AG246)=0,,sum(sort(TRANSPOSE(H246:AG246),1,false)))</f>
        <v/>
      </c>
    </row>
    <row r="247" hidden="1">
      <c r="F247" s="4">
        <v>115.0</v>
      </c>
      <c r="H247" t="str">
        <f t="shared" si="1"/>
        <v/>
      </c>
      <c r="I247" t="str">
        <f t="shared" si="2"/>
        <v/>
      </c>
      <c r="J247" t="str">
        <f t="shared" si="3"/>
        <v/>
      </c>
      <c r="K247" t="str">
        <f t="shared" si="4"/>
        <v/>
      </c>
      <c r="L247" t="str">
        <f t="shared" si="5"/>
        <v/>
      </c>
      <c r="M247" t="str">
        <f t="shared" si="6"/>
        <v/>
      </c>
      <c r="N247" t="str">
        <f t="shared" si="7"/>
        <v/>
      </c>
      <c r="O247" t="str">
        <f t="shared" si="8"/>
        <v/>
      </c>
      <c r="P247" t="str">
        <f t="shared" si="9"/>
        <v/>
      </c>
      <c r="Q247" t="str">
        <f t="shared" si="10"/>
        <v/>
      </c>
      <c r="R247" t="str">
        <f t="shared" si="11"/>
        <v/>
      </c>
      <c r="S247" t="str">
        <f t="shared" si="12"/>
        <v/>
      </c>
      <c r="T247" t="str">
        <f t="shared" si="13"/>
        <v/>
      </c>
      <c r="U247" t="str">
        <f t="shared" si="14"/>
        <v/>
      </c>
      <c r="V247" t="str">
        <f t="shared" si="15"/>
        <v/>
      </c>
      <c r="W247" t="str">
        <f t="shared" si="16"/>
        <v/>
      </c>
      <c r="X247" t="str">
        <f t="shared" si="17"/>
        <v/>
      </c>
      <c r="Y247" t="str">
        <f t="shared" si="18"/>
        <v/>
      </c>
      <c r="Z247" t="str">
        <f t="shared" si="19"/>
        <v/>
      </c>
      <c r="AA247" t="str">
        <f t="shared" si="20"/>
        <v/>
      </c>
      <c r="AB247" t="str">
        <f t="shared" si="21"/>
        <v/>
      </c>
      <c r="AC247" t="str">
        <f t="shared" si="22"/>
        <v/>
      </c>
      <c r="AD247" t="str">
        <f t="shared" si="23"/>
        <v/>
      </c>
      <c r="AE247" t="str">
        <f t="shared" si="24"/>
        <v/>
      </c>
      <c r="AF247" t="str">
        <f t="shared" si="25"/>
        <v/>
      </c>
      <c r="AG247" t="str">
        <f t="shared" si="26"/>
        <v/>
      </c>
      <c r="AH247" s="65" t="str">
        <f t="array" ref="AH247">if(sum(H247:AG247)=0,,sum(sort(TRANSPOSE(H247:AG247),1,false)))</f>
        <v/>
      </c>
    </row>
    <row r="248" hidden="1">
      <c r="F248" s="4">
        <v>116.0</v>
      </c>
      <c r="H248" t="str">
        <f t="shared" si="1"/>
        <v/>
      </c>
      <c r="I248" t="str">
        <f t="shared" si="2"/>
        <v/>
      </c>
      <c r="J248" t="str">
        <f t="shared" si="3"/>
        <v/>
      </c>
      <c r="K248" t="str">
        <f t="shared" si="4"/>
        <v/>
      </c>
      <c r="L248" t="str">
        <f t="shared" si="5"/>
        <v/>
      </c>
      <c r="M248" t="str">
        <f t="shared" si="6"/>
        <v/>
      </c>
      <c r="N248" t="str">
        <f t="shared" si="7"/>
        <v/>
      </c>
      <c r="O248" t="str">
        <f t="shared" si="8"/>
        <v/>
      </c>
      <c r="P248" t="str">
        <f t="shared" si="9"/>
        <v/>
      </c>
      <c r="Q248" t="str">
        <f t="shared" si="10"/>
        <v/>
      </c>
      <c r="R248" t="str">
        <f t="shared" si="11"/>
        <v/>
      </c>
      <c r="S248" t="str">
        <f t="shared" si="12"/>
        <v/>
      </c>
      <c r="T248" t="str">
        <f t="shared" si="13"/>
        <v/>
      </c>
      <c r="U248" t="str">
        <f t="shared" si="14"/>
        <v/>
      </c>
      <c r="V248" t="str">
        <f t="shared" si="15"/>
        <v/>
      </c>
      <c r="W248" t="str">
        <f t="shared" si="16"/>
        <v/>
      </c>
      <c r="X248" t="str">
        <f t="shared" si="17"/>
        <v/>
      </c>
      <c r="Y248" t="str">
        <f t="shared" si="18"/>
        <v/>
      </c>
      <c r="Z248" t="str">
        <f t="shared" si="19"/>
        <v/>
      </c>
      <c r="AA248" t="str">
        <f t="shared" si="20"/>
        <v/>
      </c>
      <c r="AB248" t="str">
        <f t="shared" si="21"/>
        <v/>
      </c>
      <c r="AC248" t="str">
        <f t="shared" si="22"/>
        <v/>
      </c>
      <c r="AD248" t="str">
        <f t="shared" si="23"/>
        <v/>
      </c>
      <c r="AE248" t="str">
        <f t="shared" si="24"/>
        <v/>
      </c>
      <c r="AF248" t="str">
        <f t="shared" si="25"/>
        <v/>
      </c>
      <c r="AG248" t="str">
        <f t="shared" si="26"/>
        <v/>
      </c>
      <c r="AH248" s="65" t="str">
        <f t="array" ref="AH248">if(sum(H248:AG248)=0,,sum(sort(TRANSPOSE(H248:AG248),1,false)))</f>
        <v/>
      </c>
    </row>
    <row r="249" hidden="1">
      <c r="F249" s="4">
        <v>117.0</v>
      </c>
      <c r="H249" t="str">
        <f t="shared" si="1"/>
        <v/>
      </c>
      <c r="I249" t="str">
        <f t="shared" si="2"/>
        <v/>
      </c>
      <c r="J249" t="str">
        <f t="shared" si="3"/>
        <v/>
      </c>
      <c r="K249" t="str">
        <f t="shared" si="4"/>
        <v/>
      </c>
      <c r="L249" t="str">
        <f t="shared" si="5"/>
        <v/>
      </c>
      <c r="M249" t="str">
        <f t="shared" si="6"/>
        <v/>
      </c>
      <c r="N249" t="str">
        <f t="shared" si="7"/>
        <v/>
      </c>
      <c r="O249" t="str">
        <f t="shared" si="8"/>
        <v/>
      </c>
      <c r="P249" t="str">
        <f t="shared" si="9"/>
        <v/>
      </c>
      <c r="Q249" t="str">
        <f t="shared" si="10"/>
        <v/>
      </c>
      <c r="R249" t="str">
        <f t="shared" si="11"/>
        <v/>
      </c>
      <c r="S249" t="str">
        <f t="shared" si="12"/>
        <v/>
      </c>
      <c r="T249" t="str">
        <f t="shared" si="13"/>
        <v/>
      </c>
      <c r="U249" t="str">
        <f t="shared" si="14"/>
        <v/>
      </c>
      <c r="V249" t="str">
        <f t="shared" si="15"/>
        <v/>
      </c>
      <c r="W249" t="str">
        <f t="shared" si="16"/>
        <v/>
      </c>
      <c r="X249" t="str">
        <f t="shared" si="17"/>
        <v/>
      </c>
      <c r="Y249" t="str">
        <f t="shared" si="18"/>
        <v/>
      </c>
      <c r="Z249" t="str">
        <f t="shared" si="19"/>
        <v/>
      </c>
      <c r="AA249" t="str">
        <f t="shared" si="20"/>
        <v/>
      </c>
      <c r="AB249" t="str">
        <f t="shared" si="21"/>
        <v/>
      </c>
      <c r="AC249" t="str">
        <f t="shared" si="22"/>
        <v/>
      </c>
      <c r="AD249" t="str">
        <f t="shared" si="23"/>
        <v/>
      </c>
      <c r="AE249" t="str">
        <f t="shared" si="24"/>
        <v/>
      </c>
      <c r="AF249" t="str">
        <f t="shared" si="25"/>
        <v/>
      </c>
      <c r="AG249" t="str">
        <f t="shared" si="26"/>
        <v/>
      </c>
      <c r="AH249" s="65" t="str">
        <f t="array" ref="AH249">if(sum(H249:AG249)=0,,sum(sort(TRANSPOSE(H249:AG249),1,false)))</f>
        <v/>
      </c>
    </row>
    <row r="250" hidden="1">
      <c r="F250" s="4">
        <v>118.0</v>
      </c>
      <c r="H250" t="str">
        <f t="shared" si="1"/>
        <v/>
      </c>
      <c r="I250" t="str">
        <f t="shared" si="2"/>
        <v/>
      </c>
      <c r="J250" t="str">
        <f t="shared" si="3"/>
        <v/>
      </c>
      <c r="K250" t="str">
        <f t="shared" si="4"/>
        <v/>
      </c>
      <c r="L250" t="str">
        <f t="shared" si="5"/>
        <v/>
      </c>
      <c r="M250" t="str">
        <f t="shared" si="6"/>
        <v/>
      </c>
      <c r="N250" t="str">
        <f t="shared" si="7"/>
        <v/>
      </c>
      <c r="O250" t="str">
        <f t="shared" si="8"/>
        <v/>
      </c>
      <c r="P250" t="str">
        <f t="shared" si="9"/>
        <v/>
      </c>
      <c r="Q250" t="str">
        <f t="shared" si="10"/>
        <v/>
      </c>
      <c r="R250" t="str">
        <f t="shared" si="11"/>
        <v/>
      </c>
      <c r="S250" t="str">
        <f t="shared" si="12"/>
        <v/>
      </c>
      <c r="T250" t="str">
        <f t="shared" si="13"/>
        <v/>
      </c>
      <c r="U250" t="str">
        <f t="shared" si="14"/>
        <v/>
      </c>
      <c r="V250" t="str">
        <f t="shared" si="15"/>
        <v/>
      </c>
      <c r="W250" t="str">
        <f t="shared" si="16"/>
        <v/>
      </c>
      <c r="X250" t="str">
        <f t="shared" si="17"/>
        <v/>
      </c>
      <c r="Y250" t="str">
        <f t="shared" si="18"/>
        <v/>
      </c>
      <c r="Z250" t="str">
        <f t="shared" si="19"/>
        <v/>
      </c>
      <c r="AA250" t="str">
        <f t="shared" si="20"/>
        <v/>
      </c>
      <c r="AB250" t="str">
        <f t="shared" si="21"/>
        <v/>
      </c>
      <c r="AC250" t="str">
        <f t="shared" si="22"/>
        <v/>
      </c>
      <c r="AD250" t="str">
        <f t="shared" si="23"/>
        <v/>
      </c>
      <c r="AE250" t="str">
        <f t="shared" si="24"/>
        <v/>
      </c>
      <c r="AF250" t="str">
        <f t="shared" si="25"/>
        <v/>
      </c>
      <c r="AG250" t="str">
        <f t="shared" si="26"/>
        <v/>
      </c>
      <c r="AH250" s="65" t="str">
        <f t="array" ref="AH250">if(sum(H250:AG250)=0,,sum(sort(TRANSPOSE(H250:AG250),1,false)))</f>
        <v/>
      </c>
    </row>
    <row r="251" hidden="1">
      <c r="F251" s="4">
        <v>119.0</v>
      </c>
      <c r="H251" t="str">
        <f t="shared" si="1"/>
        <v/>
      </c>
      <c r="I251" t="str">
        <f t="shared" si="2"/>
        <v/>
      </c>
      <c r="J251" t="str">
        <f t="shared" si="3"/>
        <v/>
      </c>
      <c r="K251" t="str">
        <f t="shared" si="4"/>
        <v/>
      </c>
      <c r="L251" t="str">
        <f t="shared" si="5"/>
        <v/>
      </c>
      <c r="M251" t="str">
        <f t="shared" si="6"/>
        <v/>
      </c>
      <c r="N251" t="str">
        <f t="shared" si="7"/>
        <v/>
      </c>
      <c r="O251" t="str">
        <f t="shared" si="8"/>
        <v/>
      </c>
      <c r="P251" t="str">
        <f t="shared" si="9"/>
        <v/>
      </c>
      <c r="Q251" t="str">
        <f t="shared" si="10"/>
        <v/>
      </c>
      <c r="R251" t="str">
        <f t="shared" si="11"/>
        <v/>
      </c>
      <c r="S251" t="str">
        <f t="shared" si="12"/>
        <v/>
      </c>
      <c r="T251" t="str">
        <f t="shared" si="13"/>
        <v/>
      </c>
      <c r="U251" t="str">
        <f t="shared" si="14"/>
        <v/>
      </c>
      <c r="V251" t="str">
        <f t="shared" si="15"/>
        <v/>
      </c>
      <c r="W251" t="str">
        <f t="shared" si="16"/>
        <v/>
      </c>
      <c r="X251" t="str">
        <f t="shared" si="17"/>
        <v/>
      </c>
      <c r="Y251" t="str">
        <f t="shared" si="18"/>
        <v/>
      </c>
      <c r="Z251" t="str">
        <f t="shared" si="19"/>
        <v/>
      </c>
      <c r="AA251" t="str">
        <f t="shared" si="20"/>
        <v/>
      </c>
      <c r="AB251" t="str">
        <f t="shared" si="21"/>
        <v/>
      </c>
      <c r="AC251" t="str">
        <f t="shared" si="22"/>
        <v/>
      </c>
      <c r="AD251" t="str">
        <f t="shared" si="23"/>
        <v/>
      </c>
      <c r="AE251" t="str">
        <f t="shared" si="24"/>
        <v/>
      </c>
      <c r="AF251" t="str">
        <f t="shared" si="25"/>
        <v/>
      </c>
      <c r="AG251" t="str">
        <f t="shared" si="26"/>
        <v/>
      </c>
      <c r="AH251" s="65" t="str">
        <f t="array" ref="AH251">if(sum(H251:AG251)=0,,sum(sort(TRANSPOSE(H251:AG251),1,false)))</f>
        <v/>
      </c>
    </row>
    <row r="252" hidden="1">
      <c r="F252" s="4">
        <v>120.0</v>
      </c>
      <c r="H252" t="str">
        <f t="shared" si="1"/>
        <v/>
      </c>
      <c r="I252" t="str">
        <f t="shared" si="2"/>
        <v/>
      </c>
      <c r="J252" t="str">
        <f t="shared" si="3"/>
        <v/>
      </c>
      <c r="K252" t="str">
        <f t="shared" si="4"/>
        <v/>
      </c>
      <c r="L252" t="str">
        <f t="shared" si="5"/>
        <v/>
      </c>
      <c r="M252" t="str">
        <f t="shared" si="6"/>
        <v/>
      </c>
      <c r="N252" t="str">
        <f t="shared" si="7"/>
        <v/>
      </c>
      <c r="O252" t="str">
        <f t="shared" si="8"/>
        <v/>
      </c>
      <c r="P252" t="str">
        <f t="shared" si="9"/>
        <v/>
      </c>
      <c r="Q252" t="str">
        <f t="shared" si="10"/>
        <v/>
      </c>
      <c r="R252" t="str">
        <f t="shared" si="11"/>
        <v/>
      </c>
      <c r="S252" t="str">
        <f t="shared" si="12"/>
        <v/>
      </c>
      <c r="T252" t="str">
        <f t="shared" si="13"/>
        <v/>
      </c>
      <c r="U252" t="str">
        <f t="shared" si="14"/>
        <v/>
      </c>
      <c r="V252" t="str">
        <f t="shared" si="15"/>
        <v/>
      </c>
      <c r="W252" t="str">
        <f t="shared" si="16"/>
        <v/>
      </c>
      <c r="X252" t="str">
        <f t="shared" si="17"/>
        <v/>
      </c>
      <c r="Y252" t="str">
        <f t="shared" si="18"/>
        <v/>
      </c>
      <c r="Z252" t="str">
        <f t="shared" si="19"/>
        <v/>
      </c>
      <c r="AA252" t="str">
        <f t="shared" si="20"/>
        <v/>
      </c>
      <c r="AB252" t="str">
        <f t="shared" si="21"/>
        <v/>
      </c>
      <c r="AC252" t="str">
        <f t="shared" si="22"/>
        <v/>
      </c>
      <c r="AD252" t="str">
        <f t="shared" si="23"/>
        <v/>
      </c>
      <c r="AE252" t="str">
        <f t="shared" si="24"/>
        <v/>
      </c>
      <c r="AF252" t="str">
        <f t="shared" si="25"/>
        <v/>
      </c>
      <c r="AG252" t="str">
        <f t="shared" si="26"/>
        <v/>
      </c>
      <c r="AH252" s="65" t="str">
        <f t="array" ref="AH252">if(sum(H252:AG252)=0,,sum(sort(TRANSPOSE(H252:AG252),1,false)))</f>
        <v/>
      </c>
    </row>
    <row r="253" hidden="1">
      <c r="F253" s="4">
        <v>121.0</v>
      </c>
      <c r="H253" t="str">
        <f t="shared" si="1"/>
        <v/>
      </c>
      <c r="I253" t="str">
        <f t="shared" si="2"/>
        <v/>
      </c>
      <c r="J253" t="str">
        <f t="shared" si="3"/>
        <v/>
      </c>
      <c r="K253" t="str">
        <f t="shared" si="4"/>
        <v/>
      </c>
      <c r="L253" t="str">
        <f t="shared" si="5"/>
        <v/>
      </c>
      <c r="M253" t="str">
        <f t="shared" si="6"/>
        <v/>
      </c>
      <c r="N253" t="str">
        <f t="shared" si="7"/>
        <v/>
      </c>
      <c r="O253" t="str">
        <f t="shared" si="8"/>
        <v/>
      </c>
      <c r="P253" t="str">
        <f t="shared" si="9"/>
        <v/>
      </c>
      <c r="Q253" t="str">
        <f t="shared" si="10"/>
        <v/>
      </c>
      <c r="R253" t="str">
        <f t="shared" si="11"/>
        <v/>
      </c>
      <c r="S253" t="str">
        <f t="shared" si="12"/>
        <v/>
      </c>
      <c r="T253" t="str">
        <f t="shared" si="13"/>
        <v/>
      </c>
      <c r="U253" t="str">
        <f t="shared" si="14"/>
        <v/>
      </c>
      <c r="V253" t="str">
        <f t="shared" si="15"/>
        <v/>
      </c>
      <c r="W253" t="str">
        <f t="shared" si="16"/>
        <v/>
      </c>
      <c r="X253" t="str">
        <f t="shared" si="17"/>
        <v/>
      </c>
      <c r="Y253" t="str">
        <f t="shared" si="18"/>
        <v/>
      </c>
      <c r="Z253" t="str">
        <f t="shared" si="19"/>
        <v/>
      </c>
      <c r="AA253" t="str">
        <f t="shared" si="20"/>
        <v/>
      </c>
      <c r="AB253" t="str">
        <f t="shared" si="21"/>
        <v/>
      </c>
      <c r="AC253" t="str">
        <f t="shared" si="22"/>
        <v/>
      </c>
      <c r="AD253" t="str">
        <f t="shared" si="23"/>
        <v/>
      </c>
      <c r="AE253" t="str">
        <f t="shared" si="24"/>
        <v/>
      </c>
      <c r="AF253" t="str">
        <f t="shared" si="25"/>
        <v/>
      </c>
      <c r="AG253" t="str">
        <f t="shared" si="26"/>
        <v/>
      </c>
      <c r="AH253" s="65" t="str">
        <f t="array" ref="AH253">if(sum(H253:AG253)=0,,sum(sort(TRANSPOSE(H253:AG253),1,false)))</f>
        <v/>
      </c>
    </row>
    <row r="254" hidden="1">
      <c r="F254" s="4">
        <v>122.0</v>
      </c>
      <c r="H254" t="str">
        <f t="shared" si="1"/>
        <v/>
      </c>
      <c r="I254" t="str">
        <f t="shared" si="2"/>
        <v/>
      </c>
      <c r="J254" t="str">
        <f t="shared" si="3"/>
        <v/>
      </c>
      <c r="K254" t="str">
        <f t="shared" si="4"/>
        <v/>
      </c>
      <c r="L254" t="str">
        <f t="shared" si="5"/>
        <v/>
      </c>
      <c r="M254" t="str">
        <f t="shared" si="6"/>
        <v/>
      </c>
      <c r="N254" t="str">
        <f t="shared" si="7"/>
        <v/>
      </c>
      <c r="O254" t="str">
        <f t="shared" si="8"/>
        <v/>
      </c>
      <c r="P254" t="str">
        <f t="shared" si="9"/>
        <v/>
      </c>
      <c r="Q254" t="str">
        <f t="shared" si="10"/>
        <v/>
      </c>
      <c r="R254" t="str">
        <f t="shared" si="11"/>
        <v/>
      </c>
      <c r="S254" t="str">
        <f t="shared" si="12"/>
        <v/>
      </c>
      <c r="T254" t="str">
        <f t="shared" si="13"/>
        <v/>
      </c>
      <c r="U254" t="str">
        <f t="shared" si="14"/>
        <v/>
      </c>
      <c r="V254" t="str">
        <f t="shared" si="15"/>
        <v/>
      </c>
      <c r="W254" t="str">
        <f t="shared" si="16"/>
        <v/>
      </c>
      <c r="X254" t="str">
        <f t="shared" si="17"/>
        <v/>
      </c>
      <c r="Y254" t="str">
        <f t="shared" si="18"/>
        <v/>
      </c>
      <c r="Z254" t="str">
        <f t="shared" si="19"/>
        <v/>
      </c>
      <c r="AA254" t="str">
        <f t="shared" si="20"/>
        <v/>
      </c>
      <c r="AB254" t="str">
        <f t="shared" si="21"/>
        <v/>
      </c>
      <c r="AC254" t="str">
        <f t="shared" si="22"/>
        <v/>
      </c>
      <c r="AD254" t="str">
        <f t="shared" si="23"/>
        <v/>
      </c>
      <c r="AE254" t="str">
        <f t="shared" si="24"/>
        <v/>
      </c>
      <c r="AF254" t="str">
        <f t="shared" si="25"/>
        <v/>
      </c>
      <c r="AG254" t="str">
        <f t="shared" si="26"/>
        <v/>
      </c>
      <c r="AH254" s="65" t="str">
        <f t="array" ref="AH254">if(sum(H254:AG254)=0,,sum(sort(TRANSPOSE(H254:AG254),1,false)))</f>
        <v/>
      </c>
    </row>
    <row r="255" hidden="1">
      <c r="F255" s="4">
        <v>123.0</v>
      </c>
      <c r="H255" t="str">
        <f t="shared" si="1"/>
        <v/>
      </c>
      <c r="I255" t="str">
        <f t="shared" si="2"/>
        <v/>
      </c>
      <c r="J255" t="str">
        <f t="shared" si="3"/>
        <v/>
      </c>
      <c r="K255" t="str">
        <f t="shared" si="4"/>
        <v/>
      </c>
      <c r="L255" t="str">
        <f t="shared" si="5"/>
        <v/>
      </c>
      <c r="M255" t="str">
        <f t="shared" si="6"/>
        <v/>
      </c>
      <c r="N255" t="str">
        <f t="shared" si="7"/>
        <v/>
      </c>
      <c r="O255" t="str">
        <f t="shared" si="8"/>
        <v/>
      </c>
      <c r="P255" t="str">
        <f t="shared" si="9"/>
        <v/>
      </c>
      <c r="Q255" t="str">
        <f t="shared" si="10"/>
        <v/>
      </c>
      <c r="R255" t="str">
        <f t="shared" si="11"/>
        <v/>
      </c>
      <c r="S255" t="str">
        <f t="shared" si="12"/>
        <v/>
      </c>
      <c r="T255" t="str">
        <f t="shared" si="13"/>
        <v/>
      </c>
      <c r="U255" t="str">
        <f t="shared" si="14"/>
        <v/>
      </c>
      <c r="V255" t="str">
        <f t="shared" si="15"/>
        <v/>
      </c>
      <c r="W255" t="str">
        <f t="shared" si="16"/>
        <v/>
      </c>
      <c r="X255" t="str">
        <f t="shared" si="17"/>
        <v/>
      </c>
      <c r="Y255" t="str">
        <f t="shared" si="18"/>
        <v/>
      </c>
      <c r="Z255" t="str">
        <f t="shared" si="19"/>
        <v/>
      </c>
      <c r="AA255" t="str">
        <f t="shared" si="20"/>
        <v/>
      </c>
      <c r="AB255" t="str">
        <f t="shared" si="21"/>
        <v/>
      </c>
      <c r="AC255" t="str">
        <f t="shared" si="22"/>
        <v/>
      </c>
      <c r="AD255" t="str">
        <f t="shared" si="23"/>
        <v/>
      </c>
      <c r="AE255" t="str">
        <f t="shared" si="24"/>
        <v/>
      </c>
      <c r="AF255" t="str">
        <f t="shared" si="25"/>
        <v/>
      </c>
      <c r="AG255" t="str">
        <f t="shared" si="26"/>
        <v/>
      </c>
      <c r="AH255" s="65" t="str">
        <f t="array" ref="AH255">if(sum(H255:AG255)=0,,sum(sort(TRANSPOSE(H255:AG255),1,false)))</f>
        <v/>
      </c>
    </row>
    <row r="256" hidden="1">
      <c r="F256" s="4">
        <v>124.0</v>
      </c>
      <c r="H256" t="str">
        <f t="shared" si="1"/>
        <v/>
      </c>
      <c r="I256" t="str">
        <f t="shared" si="2"/>
        <v/>
      </c>
      <c r="J256" t="str">
        <f t="shared" si="3"/>
        <v/>
      </c>
      <c r="K256" t="str">
        <f t="shared" si="4"/>
        <v/>
      </c>
      <c r="L256" t="str">
        <f t="shared" si="5"/>
        <v/>
      </c>
      <c r="M256" t="str">
        <f t="shared" si="6"/>
        <v/>
      </c>
      <c r="N256" t="str">
        <f t="shared" si="7"/>
        <v/>
      </c>
      <c r="O256" t="str">
        <f t="shared" si="8"/>
        <v/>
      </c>
      <c r="P256" t="str">
        <f t="shared" si="9"/>
        <v/>
      </c>
      <c r="Q256" t="str">
        <f t="shared" si="10"/>
        <v/>
      </c>
      <c r="R256" t="str">
        <f t="shared" si="11"/>
        <v/>
      </c>
      <c r="S256" t="str">
        <f t="shared" si="12"/>
        <v/>
      </c>
      <c r="T256" t="str">
        <f t="shared" si="13"/>
        <v/>
      </c>
      <c r="U256" t="str">
        <f t="shared" si="14"/>
        <v/>
      </c>
      <c r="V256" t="str">
        <f t="shared" si="15"/>
        <v/>
      </c>
      <c r="W256" t="str">
        <f t="shared" si="16"/>
        <v/>
      </c>
      <c r="X256" t="str">
        <f t="shared" si="17"/>
        <v/>
      </c>
      <c r="Y256" t="str">
        <f t="shared" si="18"/>
        <v/>
      </c>
      <c r="Z256" t="str">
        <f t="shared" si="19"/>
        <v/>
      </c>
      <c r="AA256" t="str">
        <f t="shared" si="20"/>
        <v/>
      </c>
      <c r="AB256" t="str">
        <f t="shared" si="21"/>
        <v/>
      </c>
      <c r="AC256" t="str">
        <f t="shared" si="22"/>
        <v/>
      </c>
      <c r="AD256" t="str">
        <f t="shared" si="23"/>
        <v/>
      </c>
      <c r="AE256" t="str">
        <f t="shared" si="24"/>
        <v/>
      </c>
      <c r="AF256" t="str">
        <f t="shared" si="25"/>
        <v/>
      </c>
      <c r="AG256" t="str">
        <f t="shared" si="26"/>
        <v/>
      </c>
      <c r="AH256" s="65" t="str">
        <f t="array" ref="AH256">if(sum(H256:AG256)=0,,sum(sort(TRANSPOSE(H256:AG256),1,false)))</f>
        <v/>
      </c>
    </row>
    <row r="257" hidden="1">
      <c r="F257" s="4">
        <v>125.0</v>
      </c>
      <c r="H257" t="str">
        <f t="shared" si="1"/>
        <v/>
      </c>
      <c r="I257" t="str">
        <f t="shared" si="2"/>
        <v/>
      </c>
      <c r="J257" t="str">
        <f t="shared" si="3"/>
        <v/>
      </c>
      <c r="K257" t="str">
        <f t="shared" si="4"/>
        <v/>
      </c>
      <c r="L257" t="str">
        <f t="shared" si="5"/>
        <v/>
      </c>
      <c r="M257" t="str">
        <f t="shared" si="6"/>
        <v/>
      </c>
      <c r="N257" t="str">
        <f t="shared" si="7"/>
        <v/>
      </c>
      <c r="O257" t="str">
        <f t="shared" si="8"/>
        <v/>
      </c>
      <c r="P257" t="str">
        <f t="shared" si="9"/>
        <v/>
      </c>
      <c r="Q257" t="str">
        <f t="shared" si="10"/>
        <v/>
      </c>
      <c r="R257" t="str">
        <f t="shared" si="11"/>
        <v/>
      </c>
      <c r="S257" t="str">
        <f t="shared" si="12"/>
        <v/>
      </c>
      <c r="T257" t="str">
        <f t="shared" si="13"/>
        <v/>
      </c>
      <c r="U257" t="str">
        <f t="shared" si="14"/>
        <v/>
      </c>
      <c r="V257" t="str">
        <f t="shared" si="15"/>
        <v/>
      </c>
      <c r="W257" t="str">
        <f t="shared" si="16"/>
        <v/>
      </c>
      <c r="X257" t="str">
        <f t="shared" si="17"/>
        <v/>
      </c>
      <c r="Y257" t="str">
        <f t="shared" si="18"/>
        <v/>
      </c>
      <c r="Z257" t="str">
        <f t="shared" si="19"/>
        <v/>
      </c>
      <c r="AA257" t="str">
        <f t="shared" si="20"/>
        <v/>
      </c>
      <c r="AB257" t="str">
        <f t="shared" si="21"/>
        <v/>
      </c>
      <c r="AC257" t="str">
        <f t="shared" si="22"/>
        <v/>
      </c>
      <c r="AD257" t="str">
        <f t="shared" si="23"/>
        <v/>
      </c>
      <c r="AE257" t="str">
        <f t="shared" si="24"/>
        <v/>
      </c>
      <c r="AF257" t="str">
        <f t="shared" si="25"/>
        <v/>
      </c>
      <c r="AG257" t="str">
        <f t="shared" si="26"/>
        <v/>
      </c>
      <c r="AH257" s="65" t="str">
        <f t="array" ref="AH257">if(sum(H257:AG257)=0,,sum(sort(TRANSPOSE(H257:AG257),1,false)))</f>
        <v/>
      </c>
    </row>
    <row r="258" hidden="1">
      <c r="F258" s="4">
        <v>126.0</v>
      </c>
      <c r="H258" t="str">
        <f t="shared" si="1"/>
        <v/>
      </c>
      <c r="I258" t="str">
        <f t="shared" si="2"/>
        <v/>
      </c>
      <c r="J258" t="str">
        <f t="shared" si="3"/>
        <v/>
      </c>
      <c r="K258" t="str">
        <f t="shared" si="4"/>
        <v/>
      </c>
      <c r="L258" t="str">
        <f t="shared" si="5"/>
        <v/>
      </c>
      <c r="M258" t="str">
        <f t="shared" si="6"/>
        <v/>
      </c>
      <c r="N258" t="str">
        <f t="shared" si="7"/>
        <v/>
      </c>
      <c r="O258" t="str">
        <f t="shared" si="8"/>
        <v/>
      </c>
      <c r="P258" t="str">
        <f t="shared" si="9"/>
        <v/>
      </c>
      <c r="Q258" t="str">
        <f t="shared" si="10"/>
        <v/>
      </c>
      <c r="R258" t="str">
        <f t="shared" si="11"/>
        <v/>
      </c>
      <c r="S258" t="str">
        <f t="shared" si="12"/>
        <v/>
      </c>
      <c r="T258" t="str">
        <f t="shared" si="13"/>
        <v/>
      </c>
      <c r="U258" t="str">
        <f t="shared" si="14"/>
        <v/>
      </c>
      <c r="V258" t="str">
        <f t="shared" si="15"/>
        <v/>
      </c>
      <c r="W258" t="str">
        <f t="shared" si="16"/>
        <v/>
      </c>
      <c r="X258" t="str">
        <f t="shared" si="17"/>
        <v/>
      </c>
      <c r="Y258" t="str">
        <f t="shared" si="18"/>
        <v/>
      </c>
      <c r="Z258" t="str">
        <f t="shared" si="19"/>
        <v/>
      </c>
      <c r="AA258" t="str">
        <f t="shared" si="20"/>
        <v/>
      </c>
      <c r="AB258" t="str">
        <f t="shared" si="21"/>
        <v/>
      </c>
      <c r="AC258" t="str">
        <f t="shared" si="22"/>
        <v/>
      </c>
      <c r="AD258" t="str">
        <f t="shared" si="23"/>
        <v/>
      </c>
      <c r="AE258" t="str">
        <f t="shared" si="24"/>
        <v/>
      </c>
      <c r="AF258" t="str">
        <f t="shared" si="25"/>
        <v/>
      </c>
      <c r="AG258" t="str">
        <f t="shared" si="26"/>
        <v/>
      </c>
      <c r="AH258" s="65" t="str">
        <f t="array" ref="AH258">if(sum(H258:AG258)=0,,sum(sort(TRANSPOSE(H258:AG258),1,false)))</f>
        <v/>
      </c>
    </row>
    <row r="259" hidden="1">
      <c r="F259" s="4">
        <v>127.0</v>
      </c>
      <c r="H259" t="str">
        <f t="shared" si="1"/>
        <v/>
      </c>
      <c r="I259" t="str">
        <f t="shared" si="2"/>
        <v/>
      </c>
      <c r="J259" t="str">
        <f t="shared" si="3"/>
        <v/>
      </c>
      <c r="K259" t="str">
        <f t="shared" si="4"/>
        <v/>
      </c>
      <c r="L259" t="str">
        <f t="shared" si="5"/>
        <v/>
      </c>
      <c r="M259" t="str">
        <f t="shared" si="6"/>
        <v/>
      </c>
      <c r="N259" t="str">
        <f t="shared" si="7"/>
        <v/>
      </c>
      <c r="O259" t="str">
        <f t="shared" si="8"/>
        <v/>
      </c>
      <c r="P259" t="str">
        <f t="shared" si="9"/>
        <v/>
      </c>
      <c r="Q259" t="str">
        <f t="shared" si="10"/>
        <v/>
      </c>
      <c r="R259" t="str">
        <f t="shared" si="11"/>
        <v/>
      </c>
      <c r="S259" t="str">
        <f t="shared" si="12"/>
        <v/>
      </c>
      <c r="T259" t="str">
        <f t="shared" si="13"/>
        <v/>
      </c>
      <c r="U259" t="str">
        <f t="shared" si="14"/>
        <v/>
      </c>
      <c r="V259" t="str">
        <f t="shared" si="15"/>
        <v/>
      </c>
      <c r="W259" t="str">
        <f t="shared" si="16"/>
        <v/>
      </c>
      <c r="X259" t="str">
        <f t="shared" si="17"/>
        <v/>
      </c>
      <c r="Y259" t="str">
        <f t="shared" si="18"/>
        <v/>
      </c>
      <c r="Z259" t="str">
        <f t="shared" si="19"/>
        <v/>
      </c>
      <c r="AA259" t="str">
        <f t="shared" si="20"/>
        <v/>
      </c>
      <c r="AB259" t="str">
        <f t="shared" si="21"/>
        <v/>
      </c>
      <c r="AC259" t="str">
        <f t="shared" si="22"/>
        <v/>
      </c>
      <c r="AD259" t="str">
        <f t="shared" si="23"/>
        <v/>
      </c>
      <c r="AE259" t="str">
        <f t="shared" si="24"/>
        <v/>
      </c>
      <c r="AF259" t="str">
        <f t="shared" si="25"/>
        <v/>
      </c>
      <c r="AG259" t="str">
        <f t="shared" si="26"/>
        <v/>
      </c>
      <c r="AH259" s="65" t="str">
        <f t="array" ref="AH259">if(sum(H259:AG259)=0,,sum(sort(TRANSPOSE(H259:AG259),1,false)))</f>
        <v/>
      </c>
    </row>
    <row r="260" hidden="1">
      <c r="F260" s="4">
        <v>128.0</v>
      </c>
      <c r="H260" t="str">
        <f t="shared" si="1"/>
        <v/>
      </c>
      <c r="I260" t="str">
        <f t="shared" si="2"/>
        <v/>
      </c>
      <c r="J260" t="str">
        <f t="shared" si="3"/>
        <v/>
      </c>
      <c r="K260" t="str">
        <f t="shared" si="4"/>
        <v/>
      </c>
      <c r="L260" t="str">
        <f t="shared" si="5"/>
        <v/>
      </c>
      <c r="M260" t="str">
        <f t="shared" si="6"/>
        <v/>
      </c>
      <c r="N260" t="str">
        <f t="shared" si="7"/>
        <v/>
      </c>
      <c r="O260" t="str">
        <f t="shared" si="8"/>
        <v/>
      </c>
      <c r="P260" t="str">
        <f t="shared" si="9"/>
        <v/>
      </c>
      <c r="Q260" t="str">
        <f t="shared" si="10"/>
        <v/>
      </c>
      <c r="R260" t="str">
        <f t="shared" si="11"/>
        <v/>
      </c>
      <c r="S260" t="str">
        <f t="shared" si="12"/>
        <v/>
      </c>
      <c r="T260" t="str">
        <f t="shared" si="13"/>
        <v/>
      </c>
      <c r="U260" t="str">
        <f t="shared" si="14"/>
        <v/>
      </c>
      <c r="V260" t="str">
        <f t="shared" si="15"/>
        <v/>
      </c>
      <c r="W260" t="str">
        <f t="shared" si="16"/>
        <v/>
      </c>
      <c r="X260" t="str">
        <f t="shared" si="17"/>
        <v/>
      </c>
      <c r="Y260" t="str">
        <f t="shared" si="18"/>
        <v/>
      </c>
      <c r="Z260" t="str">
        <f t="shared" si="19"/>
        <v/>
      </c>
      <c r="AA260" t="str">
        <f t="shared" si="20"/>
        <v/>
      </c>
      <c r="AB260" t="str">
        <f t="shared" si="21"/>
        <v/>
      </c>
      <c r="AC260" t="str">
        <f t="shared" si="22"/>
        <v/>
      </c>
      <c r="AD260" t="str">
        <f t="shared" si="23"/>
        <v/>
      </c>
      <c r="AE260" t="str">
        <f t="shared" si="24"/>
        <v/>
      </c>
      <c r="AF260" t="str">
        <f t="shared" si="25"/>
        <v/>
      </c>
      <c r="AG260" t="str">
        <f t="shared" si="26"/>
        <v/>
      </c>
      <c r="AH260" s="65" t="str">
        <f t="array" ref="AH260">if(sum(H260:AG260)=0,,sum(sort(TRANSPOSE(H260:AG260),1,false)))</f>
        <v/>
      </c>
    </row>
    <row r="261" hidden="1">
      <c r="F261" s="4">
        <v>129.0</v>
      </c>
      <c r="H261" t="str">
        <f t="shared" si="1"/>
        <v/>
      </c>
      <c r="I261" t="str">
        <f t="shared" si="2"/>
        <v/>
      </c>
      <c r="J261" t="str">
        <f t="shared" si="3"/>
        <v/>
      </c>
      <c r="K261" t="str">
        <f t="shared" si="4"/>
        <v/>
      </c>
      <c r="L261" t="str">
        <f t="shared" si="5"/>
        <v/>
      </c>
      <c r="M261" t="str">
        <f t="shared" si="6"/>
        <v/>
      </c>
      <c r="N261" t="str">
        <f t="shared" si="7"/>
        <v/>
      </c>
      <c r="O261" t="str">
        <f t="shared" si="8"/>
        <v/>
      </c>
      <c r="P261" t="str">
        <f t="shared" si="9"/>
        <v/>
      </c>
      <c r="Q261" t="str">
        <f t="shared" si="10"/>
        <v/>
      </c>
      <c r="R261" t="str">
        <f t="shared" si="11"/>
        <v/>
      </c>
      <c r="S261" t="str">
        <f t="shared" si="12"/>
        <v/>
      </c>
      <c r="T261" t="str">
        <f t="shared" si="13"/>
        <v/>
      </c>
      <c r="U261" t="str">
        <f t="shared" si="14"/>
        <v/>
      </c>
      <c r="V261" t="str">
        <f t="shared" si="15"/>
        <v/>
      </c>
      <c r="W261" t="str">
        <f t="shared" si="16"/>
        <v/>
      </c>
      <c r="X261" t="str">
        <f t="shared" si="17"/>
        <v/>
      </c>
      <c r="Y261" t="str">
        <f t="shared" si="18"/>
        <v/>
      </c>
      <c r="Z261" t="str">
        <f t="shared" si="19"/>
        <v/>
      </c>
      <c r="AA261" t="str">
        <f t="shared" si="20"/>
        <v/>
      </c>
      <c r="AB261" t="str">
        <f t="shared" si="21"/>
        <v/>
      </c>
      <c r="AC261" t="str">
        <f t="shared" si="22"/>
        <v/>
      </c>
      <c r="AD261" t="str">
        <f t="shared" si="23"/>
        <v/>
      </c>
      <c r="AE261" t="str">
        <f t="shared" si="24"/>
        <v/>
      </c>
      <c r="AF261" t="str">
        <f t="shared" si="25"/>
        <v/>
      </c>
      <c r="AG261" t="str">
        <f t="shared" si="26"/>
        <v/>
      </c>
      <c r="AH261" s="65" t="str">
        <f t="array" ref="AH261">if(sum(H261:AG261)=0,,sum(sort(TRANSPOSE(H261:AG261),1,false)))</f>
        <v/>
      </c>
    </row>
    <row r="262" hidden="1">
      <c r="F262" s="4">
        <v>130.0</v>
      </c>
      <c r="H262" t="str">
        <f t="shared" si="1"/>
        <v/>
      </c>
      <c r="I262" t="str">
        <f t="shared" si="2"/>
        <v/>
      </c>
      <c r="J262" t="str">
        <f t="shared" si="3"/>
        <v/>
      </c>
      <c r="K262" t="str">
        <f t="shared" si="4"/>
        <v/>
      </c>
      <c r="L262" t="str">
        <f t="shared" si="5"/>
        <v/>
      </c>
      <c r="M262" t="str">
        <f t="shared" si="6"/>
        <v/>
      </c>
      <c r="N262" t="str">
        <f t="shared" si="7"/>
        <v/>
      </c>
      <c r="O262" t="str">
        <f t="shared" si="8"/>
        <v/>
      </c>
      <c r="P262" t="str">
        <f t="shared" si="9"/>
        <v/>
      </c>
      <c r="Q262" t="str">
        <f t="shared" si="10"/>
        <v/>
      </c>
      <c r="R262" t="str">
        <f t="shared" si="11"/>
        <v/>
      </c>
      <c r="S262" t="str">
        <f t="shared" si="12"/>
        <v/>
      </c>
      <c r="T262" t="str">
        <f t="shared" si="13"/>
        <v/>
      </c>
      <c r="U262" t="str">
        <f t="shared" si="14"/>
        <v/>
      </c>
      <c r="V262" t="str">
        <f t="shared" si="15"/>
        <v/>
      </c>
      <c r="W262" t="str">
        <f t="shared" si="16"/>
        <v/>
      </c>
      <c r="X262" t="str">
        <f t="shared" si="17"/>
        <v/>
      </c>
      <c r="Y262" t="str">
        <f t="shared" si="18"/>
        <v/>
      </c>
      <c r="Z262" t="str">
        <f t="shared" si="19"/>
        <v/>
      </c>
      <c r="AA262" t="str">
        <f t="shared" si="20"/>
        <v/>
      </c>
      <c r="AB262" t="str">
        <f t="shared" si="21"/>
        <v/>
      </c>
      <c r="AC262" t="str">
        <f t="shared" si="22"/>
        <v/>
      </c>
      <c r="AD262" t="str">
        <f t="shared" si="23"/>
        <v/>
      </c>
      <c r="AE262" t="str">
        <f t="shared" si="24"/>
        <v/>
      </c>
      <c r="AF262" t="str">
        <f t="shared" si="25"/>
        <v/>
      </c>
      <c r="AG262" t="str">
        <f t="shared" si="26"/>
        <v/>
      </c>
      <c r="AH262" s="65" t="str">
        <f t="array" ref="AH262">if(sum(H262:AG262)=0,,sum(sort(TRANSPOSE(H262:AG262),1,false)))</f>
        <v/>
      </c>
    </row>
    <row r="263" hidden="1">
      <c r="F263" s="4">
        <v>131.0</v>
      </c>
      <c r="H263" t="str">
        <f t="shared" si="1"/>
        <v/>
      </c>
      <c r="I263" t="str">
        <f t="shared" si="2"/>
        <v/>
      </c>
      <c r="J263" t="str">
        <f t="shared" si="3"/>
        <v/>
      </c>
      <c r="K263" t="str">
        <f t="shared" si="4"/>
        <v/>
      </c>
      <c r="L263" t="str">
        <f t="shared" si="5"/>
        <v/>
      </c>
      <c r="M263" t="str">
        <f t="shared" si="6"/>
        <v/>
      </c>
      <c r="N263" t="str">
        <f t="shared" si="7"/>
        <v/>
      </c>
      <c r="O263" t="str">
        <f t="shared" si="8"/>
        <v/>
      </c>
      <c r="P263" t="str">
        <f t="shared" si="9"/>
        <v/>
      </c>
      <c r="Q263" t="str">
        <f t="shared" si="10"/>
        <v/>
      </c>
      <c r="R263" t="str">
        <f t="shared" si="11"/>
        <v/>
      </c>
      <c r="S263" t="str">
        <f t="shared" si="12"/>
        <v/>
      </c>
      <c r="T263" t="str">
        <f t="shared" si="13"/>
        <v/>
      </c>
      <c r="U263" t="str">
        <f t="shared" si="14"/>
        <v/>
      </c>
      <c r="V263" t="str">
        <f t="shared" si="15"/>
        <v/>
      </c>
      <c r="W263" t="str">
        <f t="shared" si="16"/>
        <v/>
      </c>
      <c r="X263" t="str">
        <f t="shared" si="17"/>
        <v/>
      </c>
      <c r="Y263" t="str">
        <f t="shared" si="18"/>
        <v/>
      </c>
      <c r="Z263" t="str">
        <f t="shared" si="19"/>
        <v/>
      </c>
      <c r="AA263" t="str">
        <f t="shared" si="20"/>
        <v/>
      </c>
      <c r="AB263" t="str">
        <f t="shared" si="21"/>
        <v/>
      </c>
      <c r="AC263" t="str">
        <f t="shared" si="22"/>
        <v/>
      </c>
      <c r="AD263" t="str">
        <f t="shared" si="23"/>
        <v/>
      </c>
      <c r="AE263" t="str">
        <f t="shared" si="24"/>
        <v/>
      </c>
      <c r="AF263" t="str">
        <f t="shared" si="25"/>
        <v/>
      </c>
      <c r="AG263" t="str">
        <f t="shared" si="26"/>
        <v/>
      </c>
      <c r="AH263" s="65" t="str">
        <f t="array" ref="AH263">if(sum(H263:AG263)=0,,sum(sort(TRANSPOSE(H263:AG263),1,false)))</f>
        <v/>
      </c>
    </row>
    <row r="264" hidden="1">
      <c r="F264" s="4">
        <v>132.0</v>
      </c>
      <c r="H264" t="str">
        <f t="shared" si="1"/>
        <v/>
      </c>
      <c r="I264" t="str">
        <f t="shared" si="2"/>
        <v/>
      </c>
      <c r="J264" t="str">
        <f t="shared" si="3"/>
        <v/>
      </c>
      <c r="K264" t="str">
        <f t="shared" si="4"/>
        <v/>
      </c>
      <c r="L264" t="str">
        <f t="shared" si="5"/>
        <v/>
      </c>
      <c r="M264" t="str">
        <f t="shared" si="6"/>
        <v/>
      </c>
      <c r="N264" t="str">
        <f t="shared" si="7"/>
        <v/>
      </c>
      <c r="O264" t="str">
        <f t="shared" si="8"/>
        <v/>
      </c>
      <c r="P264" t="str">
        <f t="shared" si="9"/>
        <v/>
      </c>
      <c r="Q264" t="str">
        <f t="shared" si="10"/>
        <v/>
      </c>
      <c r="R264" t="str">
        <f t="shared" si="11"/>
        <v/>
      </c>
      <c r="S264" t="str">
        <f t="shared" si="12"/>
        <v/>
      </c>
      <c r="T264" t="str">
        <f t="shared" si="13"/>
        <v/>
      </c>
      <c r="U264" t="str">
        <f t="shared" si="14"/>
        <v/>
      </c>
      <c r="V264" t="str">
        <f t="shared" si="15"/>
        <v/>
      </c>
      <c r="W264" t="str">
        <f t="shared" si="16"/>
        <v/>
      </c>
      <c r="X264" t="str">
        <f t="shared" si="17"/>
        <v/>
      </c>
      <c r="Y264" t="str">
        <f t="shared" si="18"/>
        <v/>
      </c>
      <c r="Z264" t="str">
        <f t="shared" si="19"/>
        <v/>
      </c>
      <c r="AA264" t="str">
        <f t="shared" si="20"/>
        <v/>
      </c>
      <c r="AB264" t="str">
        <f t="shared" si="21"/>
        <v/>
      </c>
      <c r="AC264" t="str">
        <f t="shared" si="22"/>
        <v/>
      </c>
      <c r="AD264" t="str">
        <f t="shared" si="23"/>
        <v/>
      </c>
      <c r="AE264" t="str">
        <f t="shared" si="24"/>
        <v/>
      </c>
      <c r="AF264" t="str">
        <f t="shared" si="25"/>
        <v/>
      </c>
      <c r="AG264" t="str">
        <f t="shared" si="26"/>
        <v/>
      </c>
      <c r="AH264" s="65" t="str">
        <f t="array" ref="AH264">if(sum(H264:AG264)=0,,sum(sort(TRANSPOSE(H264:AG264),1,false)))</f>
        <v/>
      </c>
    </row>
    <row r="265" hidden="1">
      <c r="F265" s="4">
        <v>133.0</v>
      </c>
      <c r="H265" t="str">
        <f t="shared" si="1"/>
        <v/>
      </c>
      <c r="I265" t="str">
        <f t="shared" si="2"/>
        <v/>
      </c>
      <c r="J265" t="str">
        <f t="shared" si="3"/>
        <v/>
      </c>
      <c r="K265" t="str">
        <f t="shared" si="4"/>
        <v/>
      </c>
      <c r="L265" t="str">
        <f t="shared" si="5"/>
        <v/>
      </c>
      <c r="M265" t="str">
        <f t="shared" si="6"/>
        <v/>
      </c>
      <c r="N265" t="str">
        <f t="shared" si="7"/>
        <v/>
      </c>
      <c r="O265" t="str">
        <f t="shared" si="8"/>
        <v/>
      </c>
      <c r="P265" t="str">
        <f t="shared" si="9"/>
        <v/>
      </c>
      <c r="Q265" t="str">
        <f t="shared" si="10"/>
        <v/>
      </c>
      <c r="R265" t="str">
        <f t="shared" si="11"/>
        <v/>
      </c>
      <c r="S265" t="str">
        <f t="shared" si="12"/>
        <v/>
      </c>
      <c r="T265" t="str">
        <f t="shared" si="13"/>
        <v/>
      </c>
      <c r="U265" t="str">
        <f t="shared" si="14"/>
        <v/>
      </c>
      <c r="V265" t="str">
        <f t="shared" si="15"/>
        <v/>
      </c>
      <c r="W265" t="str">
        <f t="shared" si="16"/>
        <v/>
      </c>
      <c r="X265" t="str">
        <f t="shared" si="17"/>
        <v/>
      </c>
      <c r="Y265" t="str">
        <f t="shared" si="18"/>
        <v/>
      </c>
      <c r="Z265" t="str">
        <f t="shared" si="19"/>
        <v/>
      </c>
      <c r="AA265" t="str">
        <f t="shared" si="20"/>
        <v/>
      </c>
      <c r="AB265" t="str">
        <f t="shared" si="21"/>
        <v/>
      </c>
      <c r="AC265" t="str">
        <f t="shared" si="22"/>
        <v/>
      </c>
      <c r="AD265" t="str">
        <f t="shared" si="23"/>
        <v/>
      </c>
      <c r="AE265" t="str">
        <f t="shared" si="24"/>
        <v/>
      </c>
      <c r="AF265" t="str">
        <f t="shared" si="25"/>
        <v/>
      </c>
      <c r="AG265" t="str">
        <f t="shared" si="26"/>
        <v/>
      </c>
      <c r="AH265" s="65" t="str">
        <f t="array" ref="AH265">if(sum(H265:AG265)=0,,sum(sort(TRANSPOSE(H265:AG265),1,false)))</f>
        <v/>
      </c>
    </row>
    <row r="266" hidden="1">
      <c r="F266" s="4">
        <v>134.0</v>
      </c>
      <c r="H266" t="str">
        <f t="shared" si="1"/>
        <v/>
      </c>
      <c r="I266" t="str">
        <f t="shared" si="2"/>
        <v/>
      </c>
      <c r="J266" t="str">
        <f t="shared" si="3"/>
        <v/>
      </c>
      <c r="K266" t="str">
        <f t="shared" si="4"/>
        <v/>
      </c>
      <c r="L266" t="str">
        <f t="shared" si="5"/>
        <v/>
      </c>
      <c r="M266" t="str">
        <f t="shared" si="6"/>
        <v/>
      </c>
      <c r="N266" t="str">
        <f t="shared" si="7"/>
        <v/>
      </c>
      <c r="O266" t="str">
        <f t="shared" si="8"/>
        <v/>
      </c>
      <c r="P266" t="str">
        <f t="shared" si="9"/>
        <v/>
      </c>
      <c r="Q266" t="str">
        <f t="shared" si="10"/>
        <v/>
      </c>
      <c r="R266" t="str">
        <f t="shared" si="11"/>
        <v/>
      </c>
      <c r="S266" t="str">
        <f t="shared" si="12"/>
        <v/>
      </c>
      <c r="T266" t="str">
        <f t="shared" si="13"/>
        <v/>
      </c>
      <c r="U266" t="str">
        <f t="shared" si="14"/>
        <v/>
      </c>
      <c r="V266" t="str">
        <f t="shared" si="15"/>
        <v/>
      </c>
      <c r="W266" t="str">
        <f t="shared" si="16"/>
        <v/>
      </c>
      <c r="X266" t="str">
        <f t="shared" si="17"/>
        <v/>
      </c>
      <c r="Y266" t="str">
        <f t="shared" si="18"/>
        <v/>
      </c>
      <c r="Z266" t="str">
        <f t="shared" si="19"/>
        <v/>
      </c>
      <c r="AA266" t="str">
        <f t="shared" si="20"/>
        <v/>
      </c>
      <c r="AB266" t="str">
        <f t="shared" si="21"/>
        <v/>
      </c>
      <c r="AC266" t="str">
        <f t="shared" si="22"/>
        <v/>
      </c>
      <c r="AD266" t="str">
        <f t="shared" si="23"/>
        <v/>
      </c>
      <c r="AE266" t="str">
        <f t="shared" si="24"/>
        <v/>
      </c>
      <c r="AF266" t="str">
        <f t="shared" si="25"/>
        <v/>
      </c>
      <c r="AG266" t="str">
        <f t="shared" si="26"/>
        <v/>
      </c>
      <c r="AH266" s="65" t="str">
        <f t="array" ref="AH266">if(sum(H266:AG266)=0,,sum(sort(TRANSPOSE(H266:AG266),1,false)))</f>
        <v/>
      </c>
    </row>
    <row r="267" hidden="1">
      <c r="F267" s="4">
        <v>135.0</v>
      </c>
      <c r="H267" t="str">
        <f t="shared" si="1"/>
        <v/>
      </c>
      <c r="I267" t="str">
        <f t="shared" si="2"/>
        <v/>
      </c>
      <c r="J267" t="str">
        <f t="shared" si="3"/>
        <v/>
      </c>
      <c r="K267" t="str">
        <f t="shared" si="4"/>
        <v/>
      </c>
      <c r="L267" t="str">
        <f t="shared" si="5"/>
        <v/>
      </c>
      <c r="M267" t="str">
        <f t="shared" si="6"/>
        <v/>
      </c>
      <c r="N267" t="str">
        <f t="shared" si="7"/>
        <v/>
      </c>
      <c r="O267" t="str">
        <f t="shared" si="8"/>
        <v/>
      </c>
      <c r="P267" t="str">
        <f t="shared" si="9"/>
        <v/>
      </c>
      <c r="Q267" t="str">
        <f t="shared" si="10"/>
        <v/>
      </c>
      <c r="R267" t="str">
        <f t="shared" si="11"/>
        <v/>
      </c>
      <c r="S267" t="str">
        <f t="shared" si="12"/>
        <v/>
      </c>
      <c r="T267" t="str">
        <f t="shared" si="13"/>
        <v/>
      </c>
      <c r="U267" t="str">
        <f t="shared" si="14"/>
        <v/>
      </c>
      <c r="V267" t="str">
        <f t="shared" si="15"/>
        <v/>
      </c>
      <c r="W267" t="str">
        <f t="shared" si="16"/>
        <v/>
      </c>
      <c r="X267" t="str">
        <f t="shared" si="17"/>
        <v/>
      </c>
      <c r="Y267" t="str">
        <f t="shared" si="18"/>
        <v/>
      </c>
      <c r="Z267" t="str">
        <f t="shared" si="19"/>
        <v/>
      </c>
      <c r="AA267" t="str">
        <f t="shared" si="20"/>
        <v/>
      </c>
      <c r="AB267" t="str">
        <f t="shared" si="21"/>
        <v/>
      </c>
      <c r="AC267" t="str">
        <f t="shared" si="22"/>
        <v/>
      </c>
      <c r="AD267" t="str">
        <f t="shared" si="23"/>
        <v/>
      </c>
      <c r="AE267" t="str">
        <f t="shared" si="24"/>
        <v/>
      </c>
      <c r="AF267" t="str">
        <f t="shared" si="25"/>
        <v/>
      </c>
      <c r="AG267" t="str">
        <f t="shared" si="26"/>
        <v/>
      </c>
      <c r="AH267" s="65" t="str">
        <f t="array" ref="AH267">if(sum(H267:AG267)=0,,sum(sort(TRANSPOSE(H267:AG267),1,false)))</f>
        <v/>
      </c>
    </row>
    <row r="268" hidden="1">
      <c r="F268" s="4">
        <v>136.0</v>
      </c>
      <c r="H268" t="str">
        <f t="shared" si="1"/>
        <v/>
      </c>
      <c r="I268" t="str">
        <f t="shared" si="2"/>
        <v/>
      </c>
      <c r="J268" t="str">
        <f t="shared" si="3"/>
        <v/>
      </c>
      <c r="K268" t="str">
        <f t="shared" si="4"/>
        <v/>
      </c>
      <c r="L268" t="str">
        <f t="shared" si="5"/>
        <v/>
      </c>
      <c r="M268" t="str">
        <f t="shared" si="6"/>
        <v/>
      </c>
      <c r="N268" t="str">
        <f t="shared" si="7"/>
        <v/>
      </c>
      <c r="O268" t="str">
        <f t="shared" si="8"/>
        <v/>
      </c>
      <c r="P268" t="str">
        <f t="shared" si="9"/>
        <v/>
      </c>
      <c r="Q268" t="str">
        <f t="shared" si="10"/>
        <v/>
      </c>
      <c r="R268" t="str">
        <f t="shared" si="11"/>
        <v/>
      </c>
      <c r="S268" t="str">
        <f t="shared" si="12"/>
        <v/>
      </c>
      <c r="T268" t="str">
        <f t="shared" si="13"/>
        <v/>
      </c>
      <c r="U268" t="str">
        <f t="shared" si="14"/>
        <v/>
      </c>
      <c r="V268" t="str">
        <f t="shared" si="15"/>
        <v/>
      </c>
      <c r="W268" t="str">
        <f t="shared" si="16"/>
        <v/>
      </c>
      <c r="X268" t="str">
        <f t="shared" si="17"/>
        <v/>
      </c>
      <c r="Y268" t="str">
        <f t="shared" si="18"/>
        <v/>
      </c>
      <c r="Z268" t="str">
        <f t="shared" si="19"/>
        <v/>
      </c>
      <c r="AA268" t="str">
        <f t="shared" si="20"/>
        <v/>
      </c>
      <c r="AB268" t="str">
        <f t="shared" si="21"/>
        <v/>
      </c>
      <c r="AC268" t="str">
        <f t="shared" si="22"/>
        <v/>
      </c>
      <c r="AD268" t="str">
        <f t="shared" si="23"/>
        <v/>
      </c>
      <c r="AE268" t="str">
        <f t="shared" si="24"/>
        <v/>
      </c>
      <c r="AF268" t="str">
        <f t="shared" si="25"/>
        <v/>
      </c>
      <c r="AG268" t="str">
        <f t="shared" si="26"/>
        <v/>
      </c>
      <c r="AH268" s="65" t="str">
        <f t="array" ref="AH268">if(sum(H268:AG268)=0,,sum(sort(TRANSPOSE(H268:AG268),1,false)))</f>
        <v/>
      </c>
    </row>
    <row r="269" hidden="1">
      <c r="F269" s="4">
        <v>137.0</v>
      </c>
      <c r="H269" t="str">
        <f t="shared" si="1"/>
        <v/>
      </c>
      <c r="I269" t="str">
        <f t="shared" si="2"/>
        <v/>
      </c>
      <c r="J269" t="str">
        <f t="shared" si="3"/>
        <v/>
      </c>
      <c r="K269" t="str">
        <f t="shared" si="4"/>
        <v/>
      </c>
      <c r="L269" t="str">
        <f t="shared" si="5"/>
        <v/>
      </c>
      <c r="M269" t="str">
        <f t="shared" si="6"/>
        <v/>
      </c>
      <c r="N269" t="str">
        <f t="shared" si="7"/>
        <v/>
      </c>
      <c r="O269" t="str">
        <f t="shared" si="8"/>
        <v/>
      </c>
      <c r="P269" t="str">
        <f t="shared" si="9"/>
        <v/>
      </c>
      <c r="Q269" t="str">
        <f t="shared" si="10"/>
        <v/>
      </c>
      <c r="R269" t="str">
        <f t="shared" si="11"/>
        <v/>
      </c>
      <c r="S269" t="str">
        <f t="shared" si="12"/>
        <v/>
      </c>
      <c r="T269" t="str">
        <f t="shared" si="13"/>
        <v/>
      </c>
      <c r="U269" t="str">
        <f t="shared" si="14"/>
        <v/>
      </c>
      <c r="V269" t="str">
        <f t="shared" si="15"/>
        <v/>
      </c>
      <c r="W269" t="str">
        <f t="shared" si="16"/>
        <v/>
      </c>
      <c r="X269" t="str">
        <f t="shared" si="17"/>
        <v/>
      </c>
      <c r="Y269" t="str">
        <f t="shared" si="18"/>
        <v/>
      </c>
      <c r="Z269" t="str">
        <f t="shared" si="19"/>
        <v/>
      </c>
      <c r="AA269" t="str">
        <f t="shared" si="20"/>
        <v/>
      </c>
      <c r="AB269" t="str">
        <f t="shared" si="21"/>
        <v/>
      </c>
      <c r="AC269" t="str">
        <f t="shared" si="22"/>
        <v/>
      </c>
      <c r="AD269" t="str">
        <f t="shared" si="23"/>
        <v/>
      </c>
      <c r="AE269" t="str">
        <f t="shared" si="24"/>
        <v/>
      </c>
      <c r="AF269" t="str">
        <f t="shared" si="25"/>
        <v/>
      </c>
      <c r="AG269" t="str">
        <f t="shared" si="26"/>
        <v/>
      </c>
      <c r="AH269" s="65" t="str">
        <f t="array" ref="AH269">if(sum(H269:AG269)=0,,sum(sort(TRANSPOSE(H269:AG269),1,false)))</f>
        <v/>
      </c>
    </row>
    <row r="270" hidden="1">
      <c r="F270" s="4">
        <v>138.0</v>
      </c>
      <c r="H270" t="str">
        <f t="shared" si="1"/>
        <v/>
      </c>
      <c r="I270" t="str">
        <f t="shared" si="2"/>
        <v/>
      </c>
      <c r="J270" t="str">
        <f t="shared" si="3"/>
        <v/>
      </c>
      <c r="K270" t="str">
        <f t="shared" si="4"/>
        <v/>
      </c>
      <c r="L270" t="str">
        <f t="shared" si="5"/>
        <v/>
      </c>
      <c r="M270" t="str">
        <f t="shared" si="6"/>
        <v/>
      </c>
      <c r="N270" t="str">
        <f t="shared" si="7"/>
        <v/>
      </c>
      <c r="O270" t="str">
        <f t="shared" si="8"/>
        <v/>
      </c>
      <c r="P270" t="str">
        <f t="shared" si="9"/>
        <v/>
      </c>
      <c r="Q270" t="str">
        <f t="shared" si="10"/>
        <v/>
      </c>
      <c r="R270" t="str">
        <f t="shared" si="11"/>
        <v/>
      </c>
      <c r="S270" t="str">
        <f t="shared" si="12"/>
        <v/>
      </c>
      <c r="T270" t="str">
        <f t="shared" si="13"/>
        <v/>
      </c>
      <c r="U270" t="str">
        <f t="shared" si="14"/>
        <v/>
      </c>
      <c r="V270" t="str">
        <f t="shared" si="15"/>
        <v/>
      </c>
      <c r="W270" t="str">
        <f t="shared" si="16"/>
        <v/>
      </c>
      <c r="X270" t="str">
        <f t="shared" si="17"/>
        <v/>
      </c>
      <c r="Y270" t="str">
        <f t="shared" si="18"/>
        <v/>
      </c>
      <c r="Z270" t="str">
        <f t="shared" si="19"/>
        <v/>
      </c>
      <c r="AA270" t="str">
        <f t="shared" si="20"/>
        <v/>
      </c>
      <c r="AB270" t="str">
        <f t="shared" si="21"/>
        <v/>
      </c>
      <c r="AC270" t="str">
        <f t="shared" si="22"/>
        <v/>
      </c>
      <c r="AD270" t="str">
        <f t="shared" si="23"/>
        <v/>
      </c>
      <c r="AE270" t="str">
        <f t="shared" si="24"/>
        <v/>
      </c>
      <c r="AF270" t="str">
        <f t="shared" si="25"/>
        <v/>
      </c>
      <c r="AG270" t="str">
        <f t="shared" si="26"/>
        <v/>
      </c>
      <c r="AH270" s="65" t="str">
        <f t="array" ref="AH270">if(sum(H270:AG270)=0,,sum(sort(TRANSPOSE(H270:AG270),1,false)))</f>
        <v/>
      </c>
    </row>
  </sheetData>
  <mergeCells count="27">
    <mergeCell ref="V132:W132"/>
    <mergeCell ref="AB132:AC132"/>
    <mergeCell ref="AF132:AG132"/>
    <mergeCell ref="AD132:AE132"/>
    <mergeCell ref="X132:Y132"/>
    <mergeCell ref="Z132:AA132"/>
    <mergeCell ref="R132:S132"/>
    <mergeCell ref="H132:I132"/>
    <mergeCell ref="J132:K132"/>
    <mergeCell ref="L132:M132"/>
    <mergeCell ref="N132:O132"/>
    <mergeCell ref="P132:Q132"/>
    <mergeCell ref="T132:U132"/>
    <mergeCell ref="P2:Q2"/>
    <mergeCell ref="N2:O2"/>
    <mergeCell ref="Z2:AA2"/>
    <mergeCell ref="V2:W2"/>
    <mergeCell ref="X2:Y2"/>
    <mergeCell ref="R2:S2"/>
    <mergeCell ref="T2:U2"/>
    <mergeCell ref="J2:K2"/>
    <mergeCell ref="L2:M2"/>
    <mergeCell ref="AD2:AE2"/>
    <mergeCell ref="AF2:AG2"/>
    <mergeCell ref="AB2:AC2"/>
    <mergeCell ref="H2:I2"/>
    <mergeCell ref="G1:AH1"/>
  </mergeCells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5.0" topLeftCell="A6" activePane="bottomLeft" state="frozen"/>
      <selection activeCell="B7" sqref="B7" pane="bottomLeft"/>
    </sheetView>
  </sheetViews>
  <sheetFormatPr customHeight="1" defaultColWidth="14.43" defaultRowHeight="15.75"/>
  <cols>
    <col customWidth="1" min="1" max="1" width="5.43"/>
    <col customWidth="1" min="2" max="2" width="4.71"/>
    <col customWidth="1" min="3" max="3" width="5.71"/>
    <col customWidth="1" min="4" max="4" width="7.29"/>
    <col customWidth="1" min="5" max="5" width="7.86"/>
    <col customWidth="1" min="6" max="6" width="12.57"/>
    <col customWidth="1" min="7" max="7" width="8.0"/>
    <col customWidth="1" min="8" max="8" width="16.43"/>
    <col customWidth="1" min="9" max="20" width="6.0"/>
    <col customWidth="1" min="21" max="21" width="6.14"/>
    <col customWidth="1" min="22" max="22" width="9.29"/>
    <col customWidth="1" min="23" max="24" width="6.71"/>
    <col customWidth="1" hidden="1" min="25" max="25" width="4.14"/>
  </cols>
  <sheetData>
    <row r="1">
      <c r="A1" s="56" t="s">
        <v>539</v>
      </c>
      <c r="X1" s="56"/>
      <c r="Y1" s="56"/>
    </row>
    <row r="2">
      <c r="X2" s="56"/>
      <c r="Y2" s="56"/>
    </row>
    <row r="3">
      <c r="X3" s="56"/>
      <c r="Y3" s="56"/>
    </row>
    <row r="4" ht="3.0" customHeight="1">
      <c r="A4" s="4"/>
      <c r="X4" s="4"/>
      <c r="Y4" s="4"/>
    </row>
    <row r="5" ht="18.75" customHeight="1">
      <c r="A5" s="142"/>
      <c r="B5" s="142"/>
      <c r="C5" s="142"/>
      <c r="D5" s="142"/>
      <c r="E5" s="143"/>
      <c r="F5" s="144" t="s">
        <v>22</v>
      </c>
      <c r="G5" s="145" t="s">
        <v>23</v>
      </c>
      <c r="H5" s="144" t="s">
        <v>25</v>
      </c>
      <c r="I5" s="146" t="s">
        <v>115</v>
      </c>
      <c r="J5" s="147"/>
      <c r="K5" s="148"/>
      <c r="L5" s="145"/>
      <c r="M5" s="146" t="s">
        <v>116</v>
      </c>
      <c r="N5" s="147"/>
      <c r="O5" s="148"/>
      <c r="P5" s="145"/>
      <c r="Q5" s="146" t="s">
        <v>117</v>
      </c>
      <c r="R5" s="147"/>
      <c r="S5" s="148"/>
      <c r="T5" s="145"/>
      <c r="U5" s="145" t="s">
        <v>118</v>
      </c>
      <c r="V5" s="145" t="s">
        <v>119</v>
      </c>
      <c r="W5" s="149" t="s">
        <v>540</v>
      </c>
      <c r="X5" s="149" t="s">
        <v>541</v>
      </c>
      <c r="Y5" s="57"/>
    </row>
    <row r="6">
      <c r="A6" s="150">
        <v>114.0</v>
      </c>
      <c r="B6" s="151" t="s">
        <v>120</v>
      </c>
      <c r="C6" s="151">
        <v>12.0</v>
      </c>
      <c r="D6" s="145" t="str">
        <f>IFERROR(__xludf.DUMMYFUNCTION("ARRAY_CONSTRAIN(filter('All Platforms'!A3:T1802,'All Platforms'!A3:A1802=""114 V""),20,20)"),"#N/A")</f>
        <v>#N/A</v>
      </c>
      <c r="E6" s="152"/>
      <c r="F6" s="153"/>
      <c r="G6" s="152"/>
      <c r="H6" s="153"/>
      <c r="I6" s="152"/>
      <c r="J6" s="152"/>
      <c r="K6" s="152"/>
      <c r="L6" s="152"/>
      <c r="M6" s="152"/>
      <c r="N6" s="152"/>
      <c r="O6" s="152"/>
      <c r="P6" s="152"/>
      <c r="Q6" s="152"/>
      <c r="R6" s="152"/>
      <c r="S6" s="152"/>
      <c r="T6" s="152"/>
      <c r="U6" s="152"/>
      <c r="V6" s="152"/>
      <c r="W6" s="145"/>
      <c r="X6" s="145"/>
      <c r="Y6" s="57"/>
    </row>
    <row r="7">
      <c r="A7" s="154"/>
      <c r="B7" s="151" t="s">
        <v>121</v>
      </c>
      <c r="C7" s="151">
        <v>9.0</v>
      </c>
      <c r="D7" s="151"/>
      <c r="E7" s="152"/>
      <c r="F7" s="153"/>
      <c r="G7" s="152"/>
      <c r="H7" s="153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45"/>
      <c r="X7" s="145"/>
      <c r="Y7" s="57"/>
    </row>
    <row r="8">
      <c r="A8" s="154"/>
      <c r="B8" s="151" t="s">
        <v>122</v>
      </c>
      <c r="C8" s="151">
        <f>if(countif(F6:F7,F8)&gt;1,0,8)</f>
        <v>8</v>
      </c>
      <c r="D8" s="151"/>
      <c r="E8" s="152"/>
      <c r="F8" s="153"/>
      <c r="G8" s="152"/>
      <c r="H8" s="153"/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152"/>
      <c r="T8" s="152"/>
      <c r="U8" s="152"/>
      <c r="V8" s="152"/>
      <c r="W8" s="145"/>
      <c r="X8" s="145"/>
      <c r="Y8" s="57"/>
    </row>
    <row r="9">
      <c r="A9" s="154"/>
      <c r="B9" s="151" t="s">
        <v>123</v>
      </c>
      <c r="C9" s="151">
        <f>if(countif(F6:F8,F9)&gt;1,0,7)</f>
        <v>7</v>
      </c>
      <c r="D9" s="151"/>
      <c r="E9" s="152"/>
      <c r="F9" s="153"/>
      <c r="G9" s="152"/>
      <c r="H9" s="153"/>
      <c r="I9" s="152"/>
      <c r="J9" s="152"/>
      <c r="K9" s="152"/>
      <c r="L9" s="152"/>
      <c r="M9" s="152"/>
      <c r="N9" s="152"/>
      <c r="O9" s="152"/>
      <c r="P9" s="152"/>
      <c r="Q9" s="152"/>
      <c r="R9" s="152"/>
      <c r="S9" s="152"/>
      <c r="T9" s="152"/>
      <c r="U9" s="152"/>
      <c r="V9" s="152"/>
      <c r="W9" s="145"/>
      <c r="X9" s="145"/>
      <c r="Y9" s="57"/>
    </row>
    <row r="10">
      <c r="A10" s="154"/>
      <c r="B10" s="151" t="s">
        <v>124</v>
      </c>
      <c r="C10" s="151">
        <f>if(countif(F6:F9,F10)&gt;1,0,6)</f>
        <v>6</v>
      </c>
      <c r="D10" s="151"/>
      <c r="E10" s="152"/>
      <c r="F10" s="153"/>
      <c r="G10" s="152"/>
      <c r="H10" s="153"/>
      <c r="I10" s="152"/>
      <c r="J10" s="152"/>
      <c r="K10" s="152"/>
      <c r="L10" s="152"/>
      <c r="M10" s="152"/>
      <c r="N10" s="152"/>
      <c r="O10" s="152"/>
      <c r="P10" s="152"/>
      <c r="Q10" s="152"/>
      <c r="R10" s="152"/>
      <c r="S10" s="152"/>
      <c r="T10" s="152"/>
      <c r="U10" s="152"/>
      <c r="V10" s="152"/>
      <c r="W10" s="145"/>
      <c r="X10" s="145"/>
      <c r="Y10" s="57"/>
    </row>
    <row r="11">
      <c r="A11" s="154"/>
      <c r="B11" s="151" t="s">
        <v>125</v>
      </c>
      <c r="C11" s="151">
        <f>if(countif(F6:F10,F11)&gt;1,0,5)</f>
        <v>5</v>
      </c>
      <c r="D11" s="151"/>
      <c r="E11" s="152"/>
      <c r="F11" s="153"/>
      <c r="G11" s="152"/>
      <c r="H11" s="153"/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152"/>
      <c r="U11" s="152"/>
      <c r="V11" s="152"/>
      <c r="W11" s="145"/>
      <c r="X11" s="145"/>
      <c r="Y11" s="57"/>
    </row>
    <row r="12">
      <c r="A12" s="154"/>
      <c r="B12" s="151" t="s">
        <v>126</v>
      </c>
      <c r="C12" s="151">
        <f>if(countif(F6:F11,F12)&gt;1,0,4)</f>
        <v>4</v>
      </c>
      <c r="D12" s="151"/>
      <c r="E12" s="152"/>
      <c r="F12" s="153"/>
      <c r="G12" s="152"/>
      <c r="H12" s="153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2"/>
      <c r="U12" s="152"/>
      <c r="V12" s="152"/>
      <c r="W12" s="145"/>
      <c r="X12" s="145"/>
      <c r="Y12" s="57"/>
    </row>
    <row r="13">
      <c r="A13" s="154"/>
      <c r="B13" s="151" t="s">
        <v>127</v>
      </c>
      <c r="C13" s="151">
        <f>if(countif(F6:F12,F13)&gt;1,0,3)</f>
        <v>3</v>
      </c>
      <c r="D13" s="151"/>
      <c r="E13" s="152"/>
      <c r="F13" s="153"/>
      <c r="G13" s="152"/>
      <c r="H13" s="153"/>
      <c r="I13" s="152"/>
      <c r="J13" s="152"/>
      <c r="K13" s="152"/>
      <c r="L13" s="152"/>
      <c r="M13" s="152"/>
      <c r="N13" s="152"/>
      <c r="O13" s="152"/>
      <c r="P13" s="152"/>
      <c r="Q13" s="152"/>
      <c r="R13" s="152"/>
      <c r="S13" s="152"/>
      <c r="T13" s="152"/>
      <c r="U13" s="152"/>
      <c r="V13" s="152"/>
      <c r="W13" s="145"/>
      <c r="X13" s="145"/>
      <c r="Y13" s="57"/>
    </row>
    <row r="14">
      <c r="A14" s="154"/>
      <c r="B14" s="151" t="s">
        <v>128</v>
      </c>
      <c r="C14" s="151">
        <f>if(countif(F6:F13,F14)&gt;1,0,2)</f>
        <v>2</v>
      </c>
      <c r="D14" s="151"/>
      <c r="E14" s="152"/>
      <c r="F14" s="153"/>
      <c r="G14" s="152"/>
      <c r="H14" s="153"/>
      <c r="I14" s="152"/>
      <c r="J14" s="152"/>
      <c r="K14" s="152"/>
      <c r="L14" s="152"/>
      <c r="M14" s="152"/>
      <c r="N14" s="152"/>
      <c r="O14" s="152"/>
      <c r="P14" s="152"/>
      <c r="Q14" s="152"/>
      <c r="R14" s="152"/>
      <c r="S14" s="152"/>
      <c r="T14" s="152"/>
      <c r="U14" s="152"/>
      <c r="V14" s="152"/>
      <c r="W14" s="145"/>
      <c r="X14" s="145"/>
      <c r="Y14" s="57"/>
    </row>
    <row r="15">
      <c r="A15" s="155"/>
      <c r="B15" s="151" t="s">
        <v>129</v>
      </c>
      <c r="C15" s="151">
        <f>if(countif(F6:F14,F15)&gt;1,0,1)</f>
        <v>1</v>
      </c>
      <c r="D15" s="151"/>
      <c r="E15" s="152"/>
      <c r="F15" s="153"/>
      <c r="G15" s="152"/>
      <c r="H15" s="153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  <c r="W15" s="145"/>
      <c r="X15" s="145"/>
      <c r="Y15" s="57"/>
    </row>
    <row r="16">
      <c r="A16" s="67">
        <v>114.0</v>
      </c>
      <c r="B16" s="68" t="s">
        <v>542</v>
      </c>
      <c r="C16" s="68">
        <v>0.0</v>
      </c>
      <c r="D16" s="68"/>
      <c r="E16" s="69"/>
      <c r="F16" s="70"/>
      <c r="G16" s="69"/>
      <c r="H16" s="70"/>
      <c r="I16" s="71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156"/>
      <c r="X16" s="156"/>
      <c r="Y16" s="156"/>
    </row>
    <row r="17">
      <c r="B17" s="68" t="s">
        <v>543</v>
      </c>
      <c r="C17" s="68">
        <v>0.0</v>
      </c>
      <c r="D17" s="68"/>
      <c r="E17" s="69"/>
      <c r="F17" s="70"/>
      <c r="G17" s="69"/>
      <c r="H17" s="70"/>
      <c r="I17" s="71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156"/>
      <c r="X17" s="156"/>
      <c r="Y17" s="156"/>
    </row>
    <row r="18">
      <c r="B18" s="68" t="s">
        <v>544</v>
      </c>
      <c r="C18" s="68">
        <v>0.0</v>
      </c>
      <c r="D18" s="68"/>
      <c r="E18" s="69"/>
      <c r="F18" s="70"/>
      <c r="G18" s="69"/>
      <c r="H18" s="70"/>
      <c r="I18" s="71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156"/>
      <c r="X18" s="156"/>
      <c r="Y18" s="156"/>
    </row>
    <row r="19">
      <c r="B19" s="68" t="s">
        <v>545</v>
      </c>
      <c r="C19" s="68">
        <v>0.0</v>
      </c>
      <c r="D19" s="68"/>
      <c r="E19" s="69"/>
      <c r="F19" s="70"/>
      <c r="G19" s="69"/>
      <c r="H19" s="70"/>
      <c r="I19" s="71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156"/>
      <c r="X19" s="156"/>
      <c r="Y19" s="156"/>
    </row>
    <row r="20">
      <c r="B20" s="68" t="s">
        <v>546</v>
      </c>
      <c r="C20" s="68">
        <v>0.0</v>
      </c>
      <c r="D20" s="68"/>
      <c r="E20" s="69"/>
      <c r="F20" s="70"/>
      <c r="G20" s="69"/>
      <c r="H20" s="70"/>
      <c r="I20" s="71"/>
      <c r="J20" s="69"/>
      <c r="K20" s="69"/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156"/>
      <c r="X20" s="156"/>
      <c r="Y20" s="156"/>
    </row>
    <row r="21">
      <c r="B21" s="68" t="s">
        <v>547</v>
      </c>
      <c r="C21" s="68">
        <v>0.0</v>
      </c>
      <c r="D21" s="68"/>
      <c r="E21" s="69"/>
      <c r="F21" s="70"/>
      <c r="G21" s="69"/>
      <c r="H21" s="70"/>
      <c r="I21" s="71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156"/>
      <c r="X21" s="156"/>
      <c r="Y21" s="156"/>
    </row>
    <row r="22">
      <c r="B22" s="68" t="s">
        <v>548</v>
      </c>
      <c r="C22" s="68">
        <v>0.0</v>
      </c>
      <c r="D22" s="68"/>
      <c r="E22" s="69"/>
      <c r="F22" s="70"/>
      <c r="G22" s="69"/>
      <c r="H22" s="70"/>
      <c r="I22" s="71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156"/>
      <c r="X22" s="156"/>
      <c r="Y22" s="156"/>
    </row>
    <row r="23">
      <c r="B23" s="68" t="s">
        <v>549</v>
      </c>
      <c r="C23" s="68">
        <v>0.0</v>
      </c>
      <c r="D23" s="68"/>
      <c r="E23" s="69"/>
      <c r="F23" s="70"/>
      <c r="G23" s="69"/>
      <c r="H23" s="70"/>
      <c r="I23" s="71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156"/>
      <c r="X23" s="156"/>
      <c r="Y23" s="156"/>
    </row>
    <row r="24">
      <c r="B24" s="68" t="s">
        <v>550</v>
      </c>
      <c r="C24" s="68">
        <v>0.0</v>
      </c>
      <c r="D24" s="68"/>
      <c r="E24" s="69"/>
      <c r="F24" s="70"/>
      <c r="G24" s="69"/>
      <c r="H24" s="70"/>
      <c r="I24" s="71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156"/>
      <c r="X24" s="156"/>
      <c r="Y24" s="156"/>
    </row>
    <row r="25">
      <c r="B25" s="68" t="s">
        <v>551</v>
      </c>
      <c r="C25" s="68">
        <v>0.0</v>
      </c>
      <c r="D25" s="68"/>
      <c r="E25" s="69"/>
      <c r="F25" s="70"/>
      <c r="G25" s="69"/>
      <c r="H25" s="70"/>
      <c r="I25" s="71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156"/>
      <c r="X25" s="156"/>
      <c r="Y25" s="156"/>
    </row>
    <row r="26">
      <c r="A26" s="58">
        <v>123.0</v>
      </c>
      <c r="B26" s="157" t="s">
        <v>120</v>
      </c>
      <c r="C26" s="157">
        <v>12.0</v>
      </c>
      <c r="D26" s="157" t="str">
        <f>IFERROR(__xludf.DUMMYFUNCTION("ARRAY_CONSTRAIN(filter('All Platforms'!A3:T1802,'All Platforms'!A3:A1802=""123 V""),20,20)"),"#N/A")</f>
        <v>#N/A</v>
      </c>
      <c r="E26" s="64"/>
      <c r="F26" s="158"/>
      <c r="G26" s="64"/>
      <c r="H26" s="158"/>
      <c r="I26" s="159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57"/>
      <c r="X26" s="57"/>
      <c r="Y26" s="57"/>
    </row>
    <row r="27">
      <c r="B27" s="157" t="s">
        <v>121</v>
      </c>
      <c r="C27" s="157">
        <v>9.0</v>
      </c>
      <c r="D27" s="157"/>
      <c r="E27" s="64"/>
      <c r="F27" s="158"/>
      <c r="G27" s="64"/>
      <c r="H27" s="158"/>
      <c r="I27" s="159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57"/>
      <c r="X27" s="57"/>
      <c r="Y27" s="57"/>
    </row>
    <row r="28">
      <c r="B28" s="157" t="s">
        <v>122</v>
      </c>
      <c r="C28" s="157">
        <f>if(countif(F26:F27,F28)&gt;1,0,8)</f>
        <v>8</v>
      </c>
      <c r="D28" s="157"/>
      <c r="E28" s="64"/>
      <c r="F28" s="158"/>
      <c r="G28" s="64"/>
      <c r="H28" s="158"/>
      <c r="I28" s="159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57"/>
      <c r="X28" s="57"/>
      <c r="Y28" s="57"/>
    </row>
    <row r="29">
      <c r="B29" s="157" t="s">
        <v>123</v>
      </c>
      <c r="C29" s="157">
        <f>if(countif(F26:F28,F29)&gt;1,0,7)</f>
        <v>7</v>
      </c>
      <c r="D29" s="157"/>
      <c r="E29" s="64"/>
      <c r="F29" s="158"/>
      <c r="G29" s="64"/>
      <c r="H29" s="158"/>
      <c r="I29" s="159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57"/>
      <c r="X29" s="57"/>
      <c r="Y29" s="57"/>
    </row>
    <row r="30">
      <c r="B30" s="157" t="s">
        <v>124</v>
      </c>
      <c r="C30" s="157">
        <f>if(countif(F26:F29,F30)&gt;1,0,6)</f>
        <v>6</v>
      </c>
      <c r="D30" s="157"/>
      <c r="E30" s="64"/>
      <c r="F30" s="158"/>
      <c r="G30" s="64"/>
      <c r="H30" s="158"/>
      <c r="I30" s="159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57"/>
      <c r="X30" s="57"/>
      <c r="Y30" s="57"/>
    </row>
    <row r="31">
      <c r="B31" s="157" t="s">
        <v>125</v>
      </c>
      <c r="C31" s="157">
        <f>if(countif(F26:F30,F31)&gt;1,0,5)</f>
        <v>5</v>
      </c>
      <c r="D31" s="157"/>
      <c r="E31" s="64"/>
      <c r="F31" s="158"/>
      <c r="G31" s="64"/>
      <c r="H31" s="158"/>
      <c r="I31" s="159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57"/>
      <c r="X31" s="57"/>
      <c r="Y31" s="57"/>
    </row>
    <row r="32">
      <c r="B32" s="157" t="s">
        <v>126</v>
      </c>
      <c r="C32" s="157">
        <f>if(countif(F26:F31,F32)&gt;1,0,4)</f>
        <v>4</v>
      </c>
      <c r="D32" s="157"/>
      <c r="E32" s="64"/>
      <c r="F32" s="158"/>
      <c r="G32" s="64"/>
      <c r="H32" s="158"/>
      <c r="I32" s="159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57"/>
      <c r="X32" s="57"/>
      <c r="Y32" s="57"/>
    </row>
    <row r="33">
      <c r="B33" s="157" t="s">
        <v>127</v>
      </c>
      <c r="C33" s="157">
        <f>if(countif(F26:F32,F33)&gt;1,0,3)</f>
        <v>3</v>
      </c>
      <c r="D33" s="157"/>
      <c r="E33" s="64"/>
      <c r="F33" s="158"/>
      <c r="G33" s="64"/>
      <c r="H33" s="158"/>
      <c r="I33" s="159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57"/>
      <c r="X33" s="57"/>
      <c r="Y33" s="57"/>
    </row>
    <row r="34">
      <c r="B34" s="157" t="s">
        <v>128</v>
      </c>
      <c r="C34" s="157">
        <f>if(countif(F26:F33,F34)&gt;1,0,2)</f>
        <v>2</v>
      </c>
      <c r="D34" s="157"/>
      <c r="E34" s="64"/>
      <c r="F34" s="158"/>
      <c r="G34" s="64"/>
      <c r="H34" s="158"/>
      <c r="I34" s="159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57"/>
      <c r="X34" s="57"/>
      <c r="Y34" s="57"/>
    </row>
    <row r="35">
      <c r="B35" s="157" t="s">
        <v>129</v>
      </c>
      <c r="C35" s="157">
        <f>if(countif(F26:F34,F35)&gt;1,0,1)</f>
        <v>1</v>
      </c>
      <c r="D35" s="157"/>
      <c r="E35" s="64"/>
      <c r="F35" s="158"/>
      <c r="G35" s="64"/>
      <c r="H35" s="158"/>
      <c r="I35" s="159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57"/>
      <c r="X35" s="57"/>
      <c r="Y35" s="57"/>
    </row>
    <row r="36">
      <c r="A36" s="67">
        <v>123.0</v>
      </c>
      <c r="B36" s="68" t="s">
        <v>542</v>
      </c>
      <c r="C36" s="68">
        <v>0.0</v>
      </c>
      <c r="D36" s="68"/>
      <c r="E36" s="69"/>
      <c r="F36" s="70"/>
      <c r="G36" s="69"/>
      <c r="H36" s="70"/>
      <c r="I36" s="71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156"/>
      <c r="X36" s="156"/>
      <c r="Y36" s="156"/>
    </row>
    <row r="37">
      <c r="B37" s="68" t="s">
        <v>543</v>
      </c>
      <c r="C37" s="68">
        <v>0.0</v>
      </c>
      <c r="D37" s="68"/>
      <c r="E37" s="69"/>
      <c r="F37" s="70"/>
      <c r="G37" s="69"/>
      <c r="H37" s="70"/>
      <c r="I37" s="71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156"/>
      <c r="X37" s="156"/>
      <c r="Y37" s="156"/>
    </row>
    <row r="38">
      <c r="B38" s="68" t="s">
        <v>544</v>
      </c>
      <c r="C38" s="68">
        <v>0.0</v>
      </c>
      <c r="D38" s="68"/>
      <c r="E38" s="69"/>
      <c r="F38" s="70"/>
      <c r="G38" s="69"/>
      <c r="H38" s="70"/>
      <c r="I38" s="71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156"/>
      <c r="X38" s="156"/>
      <c r="Y38" s="156"/>
    </row>
    <row r="39">
      <c r="B39" s="68" t="s">
        <v>545</v>
      </c>
      <c r="C39" s="68">
        <v>0.0</v>
      </c>
      <c r="D39" s="68"/>
      <c r="E39" s="69"/>
      <c r="F39" s="70"/>
      <c r="G39" s="69"/>
      <c r="H39" s="70"/>
      <c r="I39" s="71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156"/>
      <c r="X39" s="156"/>
      <c r="Y39" s="156"/>
    </row>
    <row r="40">
      <c r="B40" s="68" t="s">
        <v>546</v>
      </c>
      <c r="C40" s="68">
        <v>0.0</v>
      </c>
      <c r="D40" s="68"/>
      <c r="E40" s="69"/>
      <c r="F40" s="70"/>
      <c r="G40" s="69"/>
      <c r="H40" s="70"/>
      <c r="I40" s="71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156"/>
      <c r="X40" s="156"/>
      <c r="Y40" s="156"/>
    </row>
    <row r="41">
      <c r="B41" s="68" t="s">
        <v>547</v>
      </c>
      <c r="C41" s="68">
        <v>0.0</v>
      </c>
      <c r="D41" s="68"/>
      <c r="E41" s="69"/>
      <c r="F41" s="70"/>
      <c r="G41" s="69"/>
      <c r="H41" s="70"/>
      <c r="I41" s="71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156"/>
      <c r="X41" s="156"/>
      <c r="Y41" s="156"/>
    </row>
    <row r="42">
      <c r="B42" s="68" t="s">
        <v>548</v>
      </c>
      <c r="C42" s="68">
        <v>0.0</v>
      </c>
      <c r="D42" s="68"/>
      <c r="E42" s="69"/>
      <c r="F42" s="70"/>
      <c r="G42" s="69"/>
      <c r="H42" s="70"/>
      <c r="I42" s="71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156"/>
      <c r="X42" s="156"/>
      <c r="Y42" s="156"/>
    </row>
    <row r="43">
      <c r="B43" s="68" t="s">
        <v>549</v>
      </c>
      <c r="C43" s="68">
        <v>0.0</v>
      </c>
      <c r="D43" s="68"/>
      <c r="E43" s="69"/>
      <c r="F43" s="70"/>
      <c r="G43" s="69"/>
      <c r="H43" s="70"/>
      <c r="I43" s="71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156"/>
      <c r="X43" s="156"/>
      <c r="Y43" s="156"/>
    </row>
    <row r="44">
      <c r="B44" s="68" t="s">
        <v>550</v>
      </c>
      <c r="C44" s="68">
        <v>0.0</v>
      </c>
      <c r="D44" s="68"/>
      <c r="E44" s="69"/>
      <c r="F44" s="70"/>
      <c r="G44" s="69"/>
      <c r="H44" s="70"/>
      <c r="I44" s="71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156"/>
      <c r="X44" s="156"/>
      <c r="Y44" s="156"/>
    </row>
    <row r="45">
      <c r="B45" s="68" t="s">
        <v>551</v>
      </c>
      <c r="C45" s="68">
        <v>0.0</v>
      </c>
      <c r="D45" s="68"/>
      <c r="E45" s="69"/>
      <c r="F45" s="70"/>
      <c r="G45" s="69"/>
      <c r="H45" s="70"/>
      <c r="I45" s="71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156"/>
      <c r="X45" s="156"/>
      <c r="Y45" s="156"/>
    </row>
    <row r="46">
      <c r="A46" s="58">
        <v>132.0</v>
      </c>
      <c r="B46" s="157" t="s">
        <v>120</v>
      </c>
      <c r="C46" s="157">
        <v>12.0</v>
      </c>
      <c r="D46" s="157" t="str">
        <f>IFERROR(__xludf.DUMMYFUNCTION("ARRAY_CONSTRAIN(filter('All Platforms'!A3:T1802,'All Platforms'!A3:A1802=""132 V""),20,20)"),"#N/A")</f>
        <v>#N/A</v>
      </c>
      <c r="E46" s="64"/>
      <c r="F46" s="158"/>
      <c r="G46" s="64"/>
      <c r="H46" s="158"/>
      <c r="I46" s="159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57"/>
      <c r="X46" s="57"/>
      <c r="Y46" s="57"/>
    </row>
    <row r="47">
      <c r="B47" s="157" t="s">
        <v>121</v>
      </c>
      <c r="C47" s="157">
        <v>9.0</v>
      </c>
      <c r="D47" s="157"/>
      <c r="E47" s="64"/>
      <c r="F47" s="158"/>
      <c r="G47" s="64"/>
      <c r="H47" s="158"/>
      <c r="I47" s="159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57"/>
      <c r="X47" s="57"/>
      <c r="Y47" s="57"/>
    </row>
    <row r="48">
      <c r="B48" s="157" t="s">
        <v>122</v>
      </c>
      <c r="C48" s="157">
        <f>if(countif(F46:F47,F48)&gt;1,0,8)</f>
        <v>8</v>
      </c>
      <c r="D48" s="157"/>
      <c r="E48" s="64"/>
      <c r="F48" s="158"/>
      <c r="G48" s="64"/>
      <c r="H48" s="158"/>
      <c r="I48" s="159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57"/>
      <c r="X48" s="57"/>
      <c r="Y48" s="57"/>
    </row>
    <row r="49">
      <c r="B49" s="157" t="s">
        <v>123</v>
      </c>
      <c r="C49" s="157">
        <f>if(countif(F46:F48,F49)&gt;1,0,7)</f>
        <v>7</v>
      </c>
      <c r="D49" s="157"/>
      <c r="E49" s="64"/>
      <c r="F49" s="158"/>
      <c r="G49" s="64"/>
      <c r="H49" s="158"/>
      <c r="I49" s="159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57"/>
      <c r="X49" s="57"/>
      <c r="Y49" s="57"/>
    </row>
    <row r="50">
      <c r="B50" s="157" t="s">
        <v>124</v>
      </c>
      <c r="C50" s="157">
        <f>if(countif(F46:F49,F50)&gt;1,0,6)</f>
        <v>6</v>
      </c>
      <c r="D50" s="157"/>
      <c r="E50" s="64"/>
      <c r="F50" s="158"/>
      <c r="G50" s="64"/>
      <c r="H50" s="158"/>
      <c r="I50" s="159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57"/>
      <c r="X50" s="57"/>
      <c r="Y50" s="57"/>
    </row>
    <row r="51">
      <c r="B51" s="157" t="s">
        <v>125</v>
      </c>
      <c r="C51" s="157">
        <f>if(countif(F46:F50,F51)&gt;1,0,5)</f>
        <v>5</v>
      </c>
      <c r="D51" s="157"/>
      <c r="E51" s="64"/>
      <c r="F51" s="158"/>
      <c r="G51" s="64"/>
      <c r="H51" s="158"/>
      <c r="I51" s="159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57"/>
      <c r="X51" s="57"/>
      <c r="Y51" s="57"/>
    </row>
    <row r="52">
      <c r="B52" s="157" t="s">
        <v>126</v>
      </c>
      <c r="C52" s="157">
        <f>if(countif(F46:F51,F52)&gt;1,0,4)</f>
        <v>4</v>
      </c>
      <c r="D52" s="157"/>
      <c r="E52" s="64"/>
      <c r="F52" s="158"/>
      <c r="G52" s="64"/>
      <c r="H52" s="158"/>
      <c r="I52" s="159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57"/>
      <c r="X52" s="57"/>
      <c r="Y52" s="57"/>
    </row>
    <row r="53">
      <c r="B53" s="157" t="s">
        <v>127</v>
      </c>
      <c r="C53" s="157">
        <f>if(countif(F46:F52,F53)&gt;1,0,3)</f>
        <v>3</v>
      </c>
      <c r="D53" s="157"/>
      <c r="E53" s="64"/>
      <c r="F53" s="158"/>
      <c r="G53" s="64"/>
      <c r="H53" s="158"/>
      <c r="I53" s="159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57"/>
      <c r="X53" s="57"/>
      <c r="Y53" s="57"/>
    </row>
    <row r="54">
      <c r="B54" s="157" t="s">
        <v>128</v>
      </c>
      <c r="C54" s="157">
        <f>if(countif(F46:F53,F54)&gt;1,0,2)</f>
        <v>2</v>
      </c>
      <c r="D54" s="157"/>
      <c r="E54" s="64"/>
      <c r="F54" s="158"/>
      <c r="G54" s="64"/>
      <c r="H54" s="158"/>
      <c r="I54" s="159"/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57"/>
      <c r="X54" s="57"/>
      <c r="Y54" s="57"/>
    </row>
    <row r="55">
      <c r="B55" s="157" t="s">
        <v>129</v>
      </c>
      <c r="C55" s="157">
        <f>if(countif(F46:F54,F55)&gt;1,0,1)</f>
        <v>1</v>
      </c>
      <c r="D55" s="157"/>
      <c r="E55" s="64"/>
      <c r="F55" s="158"/>
      <c r="G55" s="64"/>
      <c r="H55" s="158"/>
      <c r="I55" s="159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57"/>
      <c r="X55" s="57"/>
      <c r="Y55" s="57"/>
    </row>
    <row r="56">
      <c r="A56" s="67">
        <v>132.0</v>
      </c>
      <c r="B56" s="68" t="s">
        <v>542</v>
      </c>
      <c r="C56" s="68">
        <v>0.0</v>
      </c>
      <c r="D56" s="68"/>
      <c r="E56" s="69"/>
      <c r="F56" s="70"/>
      <c r="G56" s="69"/>
      <c r="H56" s="70"/>
      <c r="I56" s="71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156"/>
      <c r="X56" s="156"/>
      <c r="Y56" s="156"/>
    </row>
    <row r="57">
      <c r="B57" s="68" t="s">
        <v>543</v>
      </c>
      <c r="C57" s="68">
        <v>0.0</v>
      </c>
      <c r="D57" s="68"/>
      <c r="E57" s="69"/>
      <c r="F57" s="70"/>
      <c r="G57" s="69"/>
      <c r="H57" s="70"/>
      <c r="I57" s="71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156"/>
      <c r="X57" s="156"/>
      <c r="Y57" s="156"/>
    </row>
    <row r="58">
      <c r="B58" s="68" t="s">
        <v>544</v>
      </c>
      <c r="C58" s="68">
        <v>0.0</v>
      </c>
      <c r="D58" s="68"/>
      <c r="E58" s="69"/>
      <c r="F58" s="70"/>
      <c r="G58" s="69"/>
      <c r="H58" s="70"/>
      <c r="I58" s="71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156"/>
      <c r="X58" s="156"/>
      <c r="Y58" s="156"/>
    </row>
    <row r="59">
      <c r="B59" s="68" t="s">
        <v>545</v>
      </c>
      <c r="C59" s="68">
        <v>0.0</v>
      </c>
      <c r="D59" s="68"/>
      <c r="E59" s="69"/>
      <c r="F59" s="70"/>
      <c r="G59" s="69"/>
      <c r="H59" s="70"/>
      <c r="I59" s="71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156"/>
      <c r="X59" s="156"/>
      <c r="Y59" s="156"/>
    </row>
    <row r="60">
      <c r="B60" s="68" t="s">
        <v>546</v>
      </c>
      <c r="C60" s="68">
        <v>0.0</v>
      </c>
      <c r="D60" s="68"/>
      <c r="E60" s="69"/>
      <c r="F60" s="70"/>
      <c r="G60" s="69"/>
      <c r="H60" s="70"/>
      <c r="I60" s="71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156"/>
      <c r="X60" s="156"/>
      <c r="Y60" s="156"/>
    </row>
    <row r="61">
      <c r="B61" s="68" t="s">
        <v>547</v>
      </c>
      <c r="C61" s="68">
        <v>0.0</v>
      </c>
      <c r="D61" s="68"/>
      <c r="E61" s="69"/>
      <c r="F61" s="70"/>
      <c r="G61" s="69"/>
      <c r="H61" s="70"/>
      <c r="I61" s="71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156"/>
      <c r="X61" s="156"/>
      <c r="Y61" s="156"/>
    </row>
    <row r="62">
      <c r="B62" s="68" t="s">
        <v>548</v>
      </c>
      <c r="C62" s="68">
        <v>0.0</v>
      </c>
      <c r="D62" s="68"/>
      <c r="E62" s="69"/>
      <c r="F62" s="70"/>
      <c r="G62" s="69"/>
      <c r="H62" s="70"/>
      <c r="I62" s="71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156"/>
      <c r="X62" s="156"/>
      <c r="Y62" s="156"/>
    </row>
    <row r="63">
      <c r="B63" s="68" t="s">
        <v>549</v>
      </c>
      <c r="C63" s="68">
        <v>0.0</v>
      </c>
      <c r="D63" s="68"/>
      <c r="E63" s="69"/>
      <c r="F63" s="70"/>
      <c r="G63" s="69"/>
      <c r="H63" s="70"/>
      <c r="I63" s="71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156"/>
      <c r="X63" s="156"/>
      <c r="Y63" s="156"/>
    </row>
    <row r="64">
      <c r="B64" s="68" t="s">
        <v>550</v>
      </c>
      <c r="C64" s="68">
        <v>0.0</v>
      </c>
      <c r="D64" s="68"/>
      <c r="E64" s="69"/>
      <c r="F64" s="70"/>
      <c r="G64" s="69"/>
      <c r="H64" s="70"/>
      <c r="I64" s="71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156"/>
      <c r="X64" s="156"/>
      <c r="Y64" s="156"/>
    </row>
    <row r="65">
      <c r="B65" s="68" t="s">
        <v>551</v>
      </c>
      <c r="C65" s="68">
        <v>0.0</v>
      </c>
      <c r="D65" s="68"/>
      <c r="E65" s="69"/>
      <c r="F65" s="70"/>
      <c r="G65" s="69"/>
      <c r="H65" s="70"/>
      <c r="I65" s="71"/>
      <c r="J65" s="69"/>
      <c r="K65" s="69"/>
      <c r="L65" s="69"/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156"/>
      <c r="X65" s="156"/>
      <c r="Y65" s="156"/>
    </row>
    <row r="66">
      <c r="A66" s="58">
        <v>145.0</v>
      </c>
      <c r="B66" s="157" t="s">
        <v>120</v>
      </c>
      <c r="C66" s="157">
        <v>12.0</v>
      </c>
      <c r="D66" s="157" t="str">
        <f>IFERROR(__xludf.DUMMYFUNCTION("ARRAY_CONSTRAIN(filter('All Platforms'!A3:T1802,'All Platforms'!A3:A1802=""145 V""),20,20)"),"#N/A")</f>
        <v>#N/A</v>
      </c>
      <c r="E66" s="64"/>
      <c r="F66" s="158"/>
      <c r="G66" s="64"/>
      <c r="H66" s="158"/>
      <c r="I66" s="159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57"/>
      <c r="X66" s="57"/>
      <c r="Y66" s="57"/>
    </row>
    <row r="67">
      <c r="B67" s="157" t="s">
        <v>121</v>
      </c>
      <c r="C67" s="157">
        <v>9.0</v>
      </c>
      <c r="D67" s="157"/>
      <c r="E67" s="64"/>
      <c r="F67" s="158"/>
      <c r="G67" s="64"/>
      <c r="H67" s="158"/>
      <c r="I67" s="159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57"/>
      <c r="X67" s="57"/>
      <c r="Y67" s="57"/>
    </row>
    <row r="68">
      <c r="B68" s="157" t="s">
        <v>122</v>
      </c>
      <c r="C68" s="157">
        <f>if(countif(F66:F67,F68)&gt;1,0,8)</f>
        <v>8</v>
      </c>
      <c r="D68" s="157"/>
      <c r="E68" s="64"/>
      <c r="F68" s="158"/>
      <c r="G68" s="64"/>
      <c r="H68" s="158"/>
      <c r="I68" s="159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57"/>
      <c r="X68" s="57"/>
      <c r="Y68" s="57"/>
    </row>
    <row r="69">
      <c r="B69" s="157" t="s">
        <v>123</v>
      </c>
      <c r="C69" s="157">
        <f>if(countif(F66:F68,F69)&gt;1,0,7)</f>
        <v>7</v>
      </c>
      <c r="D69" s="157"/>
      <c r="E69" s="64"/>
      <c r="F69" s="158"/>
      <c r="G69" s="64"/>
      <c r="H69" s="158"/>
      <c r="I69" s="159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57"/>
      <c r="X69" s="57"/>
      <c r="Y69" s="57"/>
    </row>
    <row r="70">
      <c r="B70" s="157" t="s">
        <v>124</v>
      </c>
      <c r="C70" s="157">
        <f>if(countif(F66:F69,F70)&gt;1,0,6)</f>
        <v>6</v>
      </c>
      <c r="D70" s="157"/>
      <c r="E70" s="64"/>
      <c r="F70" s="158"/>
      <c r="G70" s="64"/>
      <c r="H70" s="158"/>
      <c r="I70" s="159"/>
      <c r="J70" s="64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57"/>
      <c r="X70" s="57"/>
      <c r="Y70" s="57"/>
    </row>
    <row r="71">
      <c r="B71" s="157" t="s">
        <v>125</v>
      </c>
      <c r="C71" s="157">
        <f>if(countif(F66:F70,F71)&gt;1,0,5)</f>
        <v>5</v>
      </c>
      <c r="D71" s="157"/>
      <c r="E71" s="64"/>
      <c r="F71" s="158"/>
      <c r="G71" s="64"/>
      <c r="H71" s="158"/>
      <c r="I71" s="159"/>
      <c r="J71" s="64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57"/>
      <c r="X71" s="57"/>
      <c r="Y71" s="57"/>
    </row>
    <row r="72">
      <c r="B72" s="157" t="s">
        <v>126</v>
      </c>
      <c r="C72" s="157">
        <f>if(countif(F66:F71,F72)&gt;1,0,4)</f>
        <v>4</v>
      </c>
      <c r="D72" s="157"/>
      <c r="E72" s="64"/>
      <c r="F72" s="158"/>
      <c r="G72" s="64"/>
      <c r="H72" s="158"/>
      <c r="I72" s="159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57"/>
      <c r="X72" s="57"/>
      <c r="Y72" s="57"/>
    </row>
    <row r="73">
      <c r="B73" s="157" t="s">
        <v>127</v>
      </c>
      <c r="C73" s="157">
        <f>if(countif(F66:F72,F73)&gt;1,0,3)</f>
        <v>3</v>
      </c>
      <c r="D73" s="157"/>
      <c r="E73" s="64"/>
      <c r="F73" s="158"/>
      <c r="G73" s="64"/>
      <c r="H73" s="158"/>
      <c r="I73" s="159"/>
      <c r="J73" s="64"/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57"/>
      <c r="X73" s="57"/>
      <c r="Y73" s="57"/>
    </row>
    <row r="74">
      <c r="B74" s="157" t="s">
        <v>128</v>
      </c>
      <c r="C74" s="157">
        <f>if(countif(F66:F73,F74)&gt;1,0,2)</f>
        <v>2</v>
      </c>
      <c r="D74" s="157"/>
      <c r="E74" s="64"/>
      <c r="F74" s="158"/>
      <c r="G74" s="64"/>
      <c r="H74" s="158"/>
      <c r="I74" s="159"/>
      <c r="J74" s="64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57"/>
      <c r="X74" s="57"/>
      <c r="Y74" s="57"/>
    </row>
    <row r="75">
      <c r="B75" s="157" t="s">
        <v>129</v>
      </c>
      <c r="C75" s="157">
        <f>if(countif(F66:F74,F75)&gt;1,0,1)</f>
        <v>1</v>
      </c>
      <c r="D75" s="157"/>
      <c r="E75" s="64"/>
      <c r="F75" s="158"/>
      <c r="G75" s="64"/>
      <c r="H75" s="158"/>
      <c r="I75" s="159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57"/>
      <c r="X75" s="57"/>
      <c r="Y75" s="57"/>
    </row>
    <row r="76">
      <c r="A76" s="67">
        <v>145.0</v>
      </c>
      <c r="B76" s="68" t="s">
        <v>542</v>
      </c>
      <c r="C76" s="68">
        <v>0.0</v>
      </c>
      <c r="D76" s="68"/>
      <c r="E76" s="69"/>
      <c r="F76" s="70"/>
      <c r="G76" s="69"/>
      <c r="H76" s="70"/>
      <c r="I76" s="71"/>
      <c r="J76" s="69"/>
      <c r="K76" s="69"/>
      <c r="L76" s="69"/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156"/>
      <c r="X76" s="156"/>
      <c r="Y76" s="156"/>
    </row>
    <row r="77">
      <c r="B77" s="68" t="s">
        <v>543</v>
      </c>
      <c r="C77" s="68">
        <v>0.0</v>
      </c>
      <c r="D77" s="68"/>
      <c r="E77" s="69"/>
      <c r="F77" s="70"/>
      <c r="G77" s="69"/>
      <c r="H77" s="70"/>
      <c r="I77" s="71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156"/>
      <c r="X77" s="156"/>
      <c r="Y77" s="156"/>
    </row>
    <row r="78">
      <c r="B78" s="68" t="s">
        <v>544</v>
      </c>
      <c r="C78" s="68">
        <v>0.0</v>
      </c>
      <c r="D78" s="68"/>
      <c r="E78" s="69"/>
      <c r="F78" s="70"/>
      <c r="G78" s="69"/>
      <c r="H78" s="70"/>
      <c r="I78" s="71"/>
      <c r="J78" s="69"/>
      <c r="K78" s="69"/>
      <c r="L78" s="69"/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156"/>
      <c r="X78" s="156"/>
      <c r="Y78" s="156"/>
    </row>
    <row r="79">
      <c r="B79" s="68" t="s">
        <v>545</v>
      </c>
      <c r="C79" s="68">
        <v>0.0</v>
      </c>
      <c r="D79" s="68"/>
      <c r="E79" s="69"/>
      <c r="F79" s="70"/>
      <c r="G79" s="69"/>
      <c r="H79" s="70"/>
      <c r="I79" s="71"/>
      <c r="J79" s="69"/>
      <c r="K79" s="69"/>
      <c r="L79" s="69"/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156"/>
      <c r="X79" s="156"/>
      <c r="Y79" s="156"/>
    </row>
    <row r="80">
      <c r="B80" s="68" t="s">
        <v>546</v>
      </c>
      <c r="C80" s="68">
        <v>0.0</v>
      </c>
      <c r="D80" s="68"/>
      <c r="E80" s="69"/>
      <c r="F80" s="70"/>
      <c r="G80" s="69"/>
      <c r="H80" s="70"/>
      <c r="I80" s="71"/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156"/>
      <c r="X80" s="156"/>
      <c r="Y80" s="156"/>
    </row>
    <row r="81">
      <c r="B81" s="68" t="s">
        <v>547</v>
      </c>
      <c r="C81" s="68">
        <v>0.0</v>
      </c>
      <c r="D81" s="68"/>
      <c r="E81" s="69"/>
      <c r="F81" s="70"/>
      <c r="G81" s="69"/>
      <c r="H81" s="70"/>
      <c r="I81" s="71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156"/>
      <c r="X81" s="156"/>
      <c r="Y81" s="156"/>
    </row>
    <row r="82">
      <c r="B82" s="68" t="s">
        <v>548</v>
      </c>
      <c r="C82" s="68">
        <v>0.0</v>
      </c>
      <c r="D82" s="68"/>
      <c r="E82" s="69"/>
      <c r="F82" s="70"/>
      <c r="G82" s="69"/>
      <c r="H82" s="70"/>
      <c r="I82" s="71"/>
      <c r="J82" s="69"/>
      <c r="K82" s="69"/>
      <c r="L82" s="69"/>
      <c r="M82" s="69"/>
      <c r="N82" s="69"/>
      <c r="O82" s="69"/>
      <c r="P82" s="69"/>
      <c r="Q82" s="69"/>
      <c r="R82" s="69"/>
      <c r="S82" s="69"/>
      <c r="T82" s="69"/>
      <c r="U82" s="69"/>
      <c r="V82" s="69"/>
      <c r="W82" s="156"/>
      <c r="X82" s="156"/>
      <c r="Y82" s="156"/>
    </row>
    <row r="83">
      <c r="B83" s="68" t="s">
        <v>549</v>
      </c>
      <c r="C83" s="68">
        <v>0.0</v>
      </c>
      <c r="D83" s="68"/>
      <c r="E83" s="69"/>
      <c r="F83" s="70"/>
      <c r="G83" s="69"/>
      <c r="H83" s="70"/>
      <c r="I83" s="71"/>
      <c r="J83" s="69"/>
      <c r="K83" s="69"/>
      <c r="L83" s="69"/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156"/>
      <c r="X83" s="156"/>
      <c r="Y83" s="156"/>
    </row>
    <row r="84">
      <c r="B84" s="68" t="s">
        <v>550</v>
      </c>
      <c r="C84" s="68">
        <v>0.0</v>
      </c>
      <c r="D84" s="68"/>
      <c r="E84" s="69"/>
      <c r="F84" s="70"/>
      <c r="G84" s="69"/>
      <c r="H84" s="70"/>
      <c r="I84" s="71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156"/>
      <c r="X84" s="156"/>
      <c r="Y84" s="156"/>
    </row>
    <row r="85">
      <c r="B85" s="68" t="s">
        <v>551</v>
      </c>
      <c r="C85" s="68">
        <v>0.0</v>
      </c>
      <c r="D85" s="68"/>
      <c r="E85" s="69"/>
      <c r="F85" s="70"/>
      <c r="G85" s="69"/>
      <c r="H85" s="70"/>
      <c r="I85" s="71"/>
      <c r="J85" s="69"/>
      <c r="K85" s="69"/>
      <c r="L85" s="69"/>
      <c r="M85" s="69"/>
      <c r="N85" s="69"/>
      <c r="O85" s="69"/>
      <c r="P85" s="69"/>
      <c r="Q85" s="69"/>
      <c r="R85" s="69"/>
      <c r="S85" s="69"/>
      <c r="T85" s="69"/>
      <c r="U85" s="69"/>
      <c r="V85" s="69"/>
      <c r="W85" s="156"/>
      <c r="X85" s="156"/>
      <c r="Y85" s="156"/>
    </row>
    <row r="86">
      <c r="A86" s="58">
        <v>155.0</v>
      </c>
      <c r="B86" s="157" t="s">
        <v>120</v>
      </c>
      <c r="C86" s="157">
        <v>12.0</v>
      </c>
      <c r="D86" s="57" t="str">
        <f>IFERROR(__xludf.DUMMYFUNCTION("ARRAY_CONSTRAIN(filter('All Platforms'!A3:T1802,'All Platforms'!A3:A1802=""155 V""),20,20)"),"#N/A")</f>
        <v>#N/A</v>
      </c>
      <c r="E86" s="64"/>
      <c r="F86" s="158"/>
      <c r="G86" s="64"/>
      <c r="H86" s="158"/>
      <c r="I86" s="159"/>
      <c r="J86" s="64"/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57"/>
      <c r="X86" s="57"/>
      <c r="Y86" s="57"/>
    </row>
    <row r="87">
      <c r="B87" s="157" t="s">
        <v>121</v>
      </c>
      <c r="C87" s="157">
        <v>9.0</v>
      </c>
      <c r="D87" s="157"/>
      <c r="E87" s="64"/>
      <c r="F87" s="158"/>
      <c r="G87" s="64"/>
      <c r="H87" s="158"/>
      <c r="I87" s="159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57"/>
      <c r="X87" s="57"/>
      <c r="Y87" s="57"/>
    </row>
    <row r="88">
      <c r="B88" s="157" t="s">
        <v>122</v>
      </c>
      <c r="C88" s="157">
        <f>if(countif(F86:F87,F88)&gt;1,0,8)</f>
        <v>8</v>
      </c>
      <c r="D88" s="157"/>
      <c r="E88" s="64"/>
      <c r="F88" s="158"/>
      <c r="G88" s="64"/>
      <c r="H88" s="158"/>
      <c r="I88" s="159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57"/>
      <c r="X88" s="57"/>
      <c r="Y88" s="57"/>
    </row>
    <row r="89">
      <c r="B89" s="157" t="s">
        <v>123</v>
      </c>
      <c r="C89" s="157">
        <f>if(countif(F86:F88,F89)&gt;1,0,7)</f>
        <v>7</v>
      </c>
      <c r="D89" s="157"/>
      <c r="E89" s="64"/>
      <c r="F89" s="158"/>
      <c r="G89" s="64"/>
      <c r="H89" s="158"/>
      <c r="I89" s="159"/>
      <c r="J89" s="64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57"/>
      <c r="X89" s="57"/>
      <c r="Y89" s="57"/>
    </row>
    <row r="90">
      <c r="B90" s="157" t="s">
        <v>124</v>
      </c>
      <c r="C90" s="157">
        <f>if(countif(F86:F89,F90)&gt;1,0,6)</f>
        <v>6</v>
      </c>
      <c r="D90" s="157"/>
      <c r="E90" s="64"/>
      <c r="F90" s="158"/>
      <c r="G90" s="64"/>
      <c r="H90" s="158"/>
      <c r="I90" s="159"/>
      <c r="J90" s="64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57"/>
      <c r="X90" s="57"/>
      <c r="Y90" s="57"/>
    </row>
    <row r="91">
      <c r="B91" s="157" t="s">
        <v>125</v>
      </c>
      <c r="C91" s="157">
        <f>if(countif(F86:F90,F91)&gt;1,0,5)</f>
        <v>5</v>
      </c>
      <c r="D91" s="157"/>
      <c r="E91" s="64"/>
      <c r="F91" s="158"/>
      <c r="G91" s="64"/>
      <c r="H91" s="158"/>
      <c r="I91" s="159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57"/>
      <c r="X91" s="57"/>
      <c r="Y91" s="57"/>
    </row>
    <row r="92">
      <c r="B92" s="157" t="s">
        <v>126</v>
      </c>
      <c r="C92" s="157">
        <f>if(countif(F86:F91,F92)&gt;1,0,4)</f>
        <v>4</v>
      </c>
      <c r="D92" s="157"/>
      <c r="E92" s="64"/>
      <c r="F92" s="158"/>
      <c r="G92" s="64"/>
      <c r="H92" s="158"/>
      <c r="I92" s="159"/>
      <c r="J92" s="6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57"/>
      <c r="X92" s="57"/>
      <c r="Y92" s="57"/>
    </row>
    <row r="93">
      <c r="B93" s="157" t="s">
        <v>127</v>
      </c>
      <c r="C93" s="157">
        <f>if(countif(F86:F92,F93)&gt;1,0,3)</f>
        <v>3</v>
      </c>
      <c r="D93" s="157"/>
      <c r="E93" s="64"/>
      <c r="F93" s="158"/>
      <c r="G93" s="64"/>
      <c r="H93" s="158"/>
      <c r="I93" s="159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57"/>
      <c r="X93" s="57"/>
      <c r="Y93" s="57"/>
    </row>
    <row r="94">
      <c r="B94" s="157" t="s">
        <v>128</v>
      </c>
      <c r="C94" s="157">
        <f>if(countif(F86:F93,F94)&gt;1,0,2)</f>
        <v>2</v>
      </c>
      <c r="D94" s="157"/>
      <c r="E94" s="64"/>
      <c r="F94" s="158"/>
      <c r="G94" s="64"/>
      <c r="H94" s="158"/>
      <c r="I94" s="159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57"/>
      <c r="X94" s="57"/>
      <c r="Y94" s="57"/>
    </row>
    <row r="95">
      <c r="B95" s="157" t="s">
        <v>129</v>
      </c>
      <c r="C95" s="157">
        <f>if(countif(F86:F94,F95)&gt;1,0,1)</f>
        <v>1</v>
      </c>
      <c r="D95" s="157"/>
      <c r="E95" s="64"/>
      <c r="F95" s="158"/>
      <c r="G95" s="64"/>
      <c r="H95" s="158"/>
      <c r="I95" s="159"/>
      <c r="J95" s="64"/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57"/>
      <c r="X95" s="57"/>
      <c r="Y95" s="57"/>
    </row>
    <row r="96">
      <c r="A96" s="67">
        <v>155.0</v>
      </c>
      <c r="B96" s="68" t="s">
        <v>542</v>
      </c>
      <c r="C96" s="68">
        <v>0.0</v>
      </c>
      <c r="D96" s="68"/>
      <c r="E96" s="69"/>
      <c r="F96" s="70"/>
      <c r="G96" s="69"/>
      <c r="H96" s="70"/>
      <c r="I96" s="71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156"/>
      <c r="X96" s="156"/>
      <c r="Y96" s="156"/>
    </row>
    <row r="97">
      <c r="B97" s="68" t="s">
        <v>543</v>
      </c>
      <c r="C97" s="68">
        <v>0.0</v>
      </c>
      <c r="D97" s="68"/>
      <c r="E97" s="69"/>
      <c r="F97" s="70"/>
      <c r="G97" s="69"/>
      <c r="H97" s="70"/>
      <c r="I97" s="71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156"/>
      <c r="X97" s="156"/>
      <c r="Y97" s="156"/>
    </row>
    <row r="98">
      <c r="B98" s="68" t="s">
        <v>544</v>
      </c>
      <c r="C98" s="68">
        <v>0.0</v>
      </c>
      <c r="D98" s="68"/>
      <c r="E98" s="69"/>
      <c r="F98" s="70"/>
      <c r="G98" s="69"/>
      <c r="H98" s="70"/>
      <c r="I98" s="71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156"/>
      <c r="X98" s="156"/>
      <c r="Y98" s="156"/>
    </row>
    <row r="99">
      <c r="B99" s="68" t="s">
        <v>545</v>
      </c>
      <c r="C99" s="68">
        <v>0.0</v>
      </c>
      <c r="D99" s="68"/>
      <c r="E99" s="69"/>
      <c r="F99" s="70"/>
      <c r="G99" s="69"/>
      <c r="H99" s="70"/>
      <c r="I99" s="71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156"/>
      <c r="X99" s="156"/>
      <c r="Y99" s="156"/>
    </row>
    <row r="100">
      <c r="B100" s="68" t="s">
        <v>546</v>
      </c>
      <c r="C100" s="68">
        <v>0.0</v>
      </c>
      <c r="D100" s="68"/>
      <c r="E100" s="69"/>
      <c r="F100" s="70"/>
      <c r="G100" s="69"/>
      <c r="H100" s="70"/>
      <c r="I100" s="71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156"/>
      <c r="X100" s="156"/>
      <c r="Y100" s="156"/>
    </row>
    <row r="101">
      <c r="B101" s="68" t="s">
        <v>547</v>
      </c>
      <c r="C101" s="68">
        <v>0.0</v>
      </c>
      <c r="D101" s="68"/>
      <c r="E101" s="69"/>
      <c r="F101" s="70"/>
      <c r="G101" s="69"/>
      <c r="H101" s="70"/>
      <c r="I101" s="71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156"/>
      <c r="X101" s="156"/>
      <c r="Y101" s="156"/>
    </row>
    <row r="102">
      <c r="B102" s="68" t="s">
        <v>548</v>
      </c>
      <c r="C102" s="68">
        <v>0.0</v>
      </c>
      <c r="D102" s="68"/>
      <c r="E102" s="69"/>
      <c r="F102" s="70"/>
      <c r="G102" s="69"/>
      <c r="H102" s="70"/>
      <c r="I102" s="71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156"/>
      <c r="X102" s="156"/>
      <c r="Y102" s="156"/>
    </row>
    <row r="103">
      <c r="B103" s="68" t="s">
        <v>549</v>
      </c>
      <c r="C103" s="68">
        <v>0.0</v>
      </c>
      <c r="D103" s="68"/>
      <c r="E103" s="69"/>
      <c r="F103" s="70"/>
      <c r="G103" s="69"/>
      <c r="H103" s="70"/>
      <c r="I103" s="71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156"/>
      <c r="X103" s="156"/>
      <c r="Y103" s="156"/>
    </row>
    <row r="104">
      <c r="B104" s="68" t="s">
        <v>550</v>
      </c>
      <c r="C104" s="68">
        <v>0.0</v>
      </c>
      <c r="D104" s="68"/>
      <c r="E104" s="69"/>
      <c r="F104" s="70"/>
      <c r="G104" s="69"/>
      <c r="H104" s="70"/>
      <c r="I104" s="71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156"/>
      <c r="X104" s="156"/>
      <c r="Y104" s="156"/>
    </row>
    <row r="105">
      <c r="B105" s="68" t="s">
        <v>551</v>
      </c>
      <c r="C105" s="68">
        <v>0.0</v>
      </c>
      <c r="D105" s="68"/>
      <c r="E105" s="69"/>
      <c r="F105" s="70"/>
      <c r="G105" s="69"/>
      <c r="H105" s="70"/>
      <c r="I105" s="71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156"/>
      <c r="X105" s="156"/>
      <c r="Y105" s="156"/>
    </row>
    <row r="106">
      <c r="A106" s="58">
        <v>165.0</v>
      </c>
      <c r="B106" s="157" t="s">
        <v>120</v>
      </c>
      <c r="C106" s="157">
        <v>12.0</v>
      </c>
      <c r="D106" s="157" t="str">
        <f>IFERROR(__xludf.DUMMYFUNCTION("ARRAY_CONSTRAIN(filter('All Platforms'!A3:T1802,'All Platforms'!A3:A1802=""165 V""),20,20)"),"#N/A")</f>
        <v>#N/A</v>
      </c>
      <c r="E106" s="64"/>
      <c r="F106" s="158"/>
      <c r="G106" s="64"/>
      <c r="H106" s="158"/>
      <c r="I106" s="159"/>
      <c r="J106" s="64"/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57"/>
      <c r="X106" s="57"/>
      <c r="Y106" s="57"/>
    </row>
    <row r="107">
      <c r="B107" s="157" t="s">
        <v>121</v>
      </c>
      <c r="C107" s="157">
        <v>9.0</v>
      </c>
      <c r="D107" s="157"/>
      <c r="E107" s="64"/>
      <c r="F107" s="158"/>
      <c r="G107" s="64"/>
      <c r="H107" s="158"/>
      <c r="I107" s="159"/>
      <c r="J107" s="64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57"/>
      <c r="X107" s="57"/>
      <c r="Y107" s="57"/>
    </row>
    <row r="108">
      <c r="B108" s="157" t="s">
        <v>122</v>
      </c>
      <c r="C108" s="157">
        <f>if(countif(F106:F107,F108)&gt;1,0,8)</f>
        <v>8</v>
      </c>
      <c r="D108" s="157"/>
      <c r="E108" s="64"/>
      <c r="F108" s="158"/>
      <c r="G108" s="64"/>
      <c r="H108" s="158"/>
      <c r="I108" s="159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57"/>
      <c r="X108" s="57"/>
      <c r="Y108" s="57"/>
    </row>
    <row r="109">
      <c r="B109" s="157" t="s">
        <v>123</v>
      </c>
      <c r="C109" s="157">
        <f>if(countif(F106:F108,F109)&gt;1,0,7)</f>
        <v>7</v>
      </c>
      <c r="D109" s="157"/>
      <c r="E109" s="64"/>
      <c r="F109" s="158"/>
      <c r="G109" s="64"/>
      <c r="H109" s="158"/>
      <c r="I109" s="159"/>
      <c r="J109" s="64"/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57"/>
      <c r="X109" s="57"/>
      <c r="Y109" s="57"/>
    </row>
    <row r="110">
      <c r="B110" s="157" t="s">
        <v>124</v>
      </c>
      <c r="C110" s="157">
        <f>if(countif(F106:F109,F110)&gt;1,0,6)</f>
        <v>6</v>
      </c>
      <c r="D110" s="157"/>
      <c r="E110" s="64"/>
      <c r="F110" s="158"/>
      <c r="G110" s="64"/>
      <c r="H110" s="158"/>
      <c r="I110" s="159"/>
      <c r="J110" s="64"/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57"/>
      <c r="X110" s="57"/>
      <c r="Y110" s="57"/>
    </row>
    <row r="111">
      <c r="B111" s="157" t="s">
        <v>125</v>
      </c>
      <c r="C111" s="157">
        <f>if(countif(F106:F110,F111)&gt;1,0,5)</f>
        <v>5</v>
      </c>
      <c r="D111" s="157"/>
      <c r="E111" s="64"/>
      <c r="F111" s="158"/>
      <c r="G111" s="64"/>
      <c r="H111" s="158"/>
      <c r="I111" s="159"/>
      <c r="J111" s="64"/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57"/>
      <c r="X111" s="57"/>
      <c r="Y111" s="57"/>
    </row>
    <row r="112">
      <c r="B112" s="157" t="s">
        <v>126</v>
      </c>
      <c r="C112" s="157">
        <f>if(countif(F106:F111,F112)&gt;1,0,4)</f>
        <v>4</v>
      </c>
      <c r="D112" s="157"/>
      <c r="E112" s="64"/>
      <c r="F112" s="158"/>
      <c r="G112" s="64"/>
      <c r="H112" s="158"/>
      <c r="I112" s="159"/>
      <c r="J112" s="64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57"/>
      <c r="X112" s="57"/>
      <c r="Y112" s="57"/>
    </row>
    <row r="113">
      <c r="B113" s="157" t="s">
        <v>127</v>
      </c>
      <c r="C113" s="157">
        <f>if(countif(F106:F112,F113)&gt;1,0,3)</f>
        <v>3</v>
      </c>
      <c r="D113" s="157"/>
      <c r="E113" s="64"/>
      <c r="F113" s="158"/>
      <c r="G113" s="64"/>
      <c r="H113" s="158"/>
      <c r="I113" s="159"/>
      <c r="J113" s="64"/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57"/>
      <c r="X113" s="57"/>
      <c r="Y113" s="57"/>
    </row>
    <row r="114">
      <c r="B114" s="157" t="s">
        <v>128</v>
      </c>
      <c r="C114" s="157">
        <f>if(countif(F106:F113,F114)&gt;1,0,2)</f>
        <v>2</v>
      </c>
      <c r="D114" s="157"/>
      <c r="E114" s="64"/>
      <c r="F114" s="158"/>
      <c r="G114" s="64"/>
      <c r="H114" s="158"/>
      <c r="I114" s="159"/>
      <c r="J114" s="64"/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57"/>
      <c r="X114" s="57"/>
      <c r="Y114" s="57"/>
    </row>
    <row r="115">
      <c r="B115" s="157" t="s">
        <v>129</v>
      </c>
      <c r="C115" s="157">
        <f>if(countif(F106:F114,F115)&gt;1,0,1)</f>
        <v>1</v>
      </c>
      <c r="D115" s="157"/>
      <c r="E115" s="64"/>
      <c r="F115" s="158"/>
      <c r="G115" s="64"/>
      <c r="H115" s="158"/>
      <c r="I115" s="159"/>
      <c r="J115" s="64"/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57"/>
      <c r="X115" s="57"/>
      <c r="Y115" s="57"/>
    </row>
    <row r="116">
      <c r="A116" s="67">
        <v>165.0</v>
      </c>
      <c r="B116" s="68" t="s">
        <v>542</v>
      </c>
      <c r="C116" s="68">
        <v>0.0</v>
      </c>
      <c r="D116" s="68"/>
      <c r="E116" s="69"/>
      <c r="F116" s="70"/>
      <c r="G116" s="69"/>
      <c r="H116" s="70"/>
      <c r="I116" s="71"/>
      <c r="J116" s="69"/>
      <c r="K116" s="69"/>
      <c r="L116" s="69"/>
      <c r="M116" s="69"/>
      <c r="N116" s="69"/>
      <c r="O116" s="69"/>
      <c r="P116" s="69"/>
      <c r="Q116" s="69"/>
      <c r="R116" s="69"/>
      <c r="S116" s="69"/>
      <c r="T116" s="69"/>
      <c r="U116" s="69"/>
      <c r="V116" s="69"/>
      <c r="W116" s="156"/>
      <c r="X116" s="156"/>
      <c r="Y116" s="156"/>
    </row>
    <row r="117">
      <c r="B117" s="68" t="s">
        <v>543</v>
      </c>
      <c r="C117" s="68">
        <v>0.0</v>
      </c>
      <c r="D117" s="68"/>
      <c r="E117" s="69"/>
      <c r="F117" s="70"/>
      <c r="G117" s="69"/>
      <c r="H117" s="70"/>
      <c r="I117" s="71"/>
      <c r="J117" s="69"/>
      <c r="K117" s="69"/>
      <c r="L117" s="69"/>
      <c r="M117" s="69"/>
      <c r="N117" s="69"/>
      <c r="O117" s="69"/>
      <c r="P117" s="69"/>
      <c r="Q117" s="69"/>
      <c r="R117" s="69"/>
      <c r="S117" s="69"/>
      <c r="T117" s="69"/>
      <c r="U117" s="69"/>
      <c r="V117" s="69"/>
      <c r="W117" s="156"/>
      <c r="X117" s="156"/>
      <c r="Y117" s="156"/>
    </row>
    <row r="118">
      <c r="B118" s="68" t="s">
        <v>544</v>
      </c>
      <c r="C118" s="68">
        <v>0.0</v>
      </c>
      <c r="D118" s="68"/>
      <c r="E118" s="69"/>
      <c r="F118" s="70"/>
      <c r="G118" s="69"/>
      <c r="H118" s="70"/>
      <c r="I118" s="71"/>
      <c r="J118" s="69"/>
      <c r="K118" s="69"/>
      <c r="L118" s="69"/>
      <c r="M118" s="69"/>
      <c r="N118" s="69"/>
      <c r="O118" s="69"/>
      <c r="P118" s="69"/>
      <c r="Q118" s="69"/>
      <c r="R118" s="69"/>
      <c r="S118" s="69"/>
      <c r="T118" s="69"/>
      <c r="U118" s="69"/>
      <c r="V118" s="69"/>
      <c r="W118" s="156"/>
      <c r="X118" s="156"/>
      <c r="Y118" s="156"/>
    </row>
    <row r="119">
      <c r="B119" s="68" t="s">
        <v>545</v>
      </c>
      <c r="C119" s="68">
        <v>0.0</v>
      </c>
      <c r="D119" s="68"/>
      <c r="E119" s="69"/>
      <c r="F119" s="70"/>
      <c r="G119" s="69"/>
      <c r="H119" s="70"/>
      <c r="I119" s="71"/>
      <c r="J119" s="69"/>
      <c r="K119" s="69"/>
      <c r="L119" s="69"/>
      <c r="M119" s="69"/>
      <c r="N119" s="69"/>
      <c r="O119" s="69"/>
      <c r="P119" s="69"/>
      <c r="Q119" s="69"/>
      <c r="R119" s="69"/>
      <c r="S119" s="69"/>
      <c r="T119" s="69"/>
      <c r="U119" s="69"/>
      <c r="V119" s="69"/>
      <c r="W119" s="156"/>
      <c r="X119" s="156"/>
      <c r="Y119" s="156"/>
    </row>
    <row r="120">
      <c r="B120" s="68" t="s">
        <v>546</v>
      </c>
      <c r="C120" s="68">
        <v>0.0</v>
      </c>
      <c r="D120" s="68"/>
      <c r="E120" s="69"/>
      <c r="F120" s="70"/>
      <c r="G120" s="69"/>
      <c r="H120" s="70"/>
      <c r="I120" s="71"/>
      <c r="J120" s="69"/>
      <c r="K120" s="69"/>
      <c r="L120" s="69"/>
      <c r="M120" s="69"/>
      <c r="N120" s="69"/>
      <c r="O120" s="69"/>
      <c r="P120" s="69"/>
      <c r="Q120" s="69"/>
      <c r="R120" s="69"/>
      <c r="S120" s="69"/>
      <c r="T120" s="69"/>
      <c r="U120" s="69"/>
      <c r="V120" s="69"/>
      <c r="W120" s="156"/>
      <c r="X120" s="156"/>
      <c r="Y120" s="156"/>
    </row>
    <row r="121">
      <c r="B121" s="68" t="s">
        <v>547</v>
      </c>
      <c r="C121" s="68">
        <v>0.0</v>
      </c>
      <c r="D121" s="68"/>
      <c r="E121" s="69"/>
      <c r="F121" s="70"/>
      <c r="G121" s="69"/>
      <c r="H121" s="70"/>
      <c r="I121" s="71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156"/>
      <c r="X121" s="156"/>
      <c r="Y121" s="156"/>
    </row>
    <row r="122">
      <c r="B122" s="68" t="s">
        <v>548</v>
      </c>
      <c r="C122" s="68">
        <v>0.0</v>
      </c>
      <c r="D122" s="68"/>
      <c r="E122" s="69"/>
      <c r="F122" s="70"/>
      <c r="G122" s="69"/>
      <c r="H122" s="70"/>
      <c r="I122" s="71"/>
      <c r="J122" s="69"/>
      <c r="K122" s="69"/>
      <c r="L122" s="69"/>
      <c r="M122" s="69"/>
      <c r="N122" s="69"/>
      <c r="O122" s="69"/>
      <c r="P122" s="69"/>
      <c r="Q122" s="69"/>
      <c r="R122" s="69"/>
      <c r="S122" s="69"/>
      <c r="T122" s="69"/>
      <c r="U122" s="69"/>
      <c r="V122" s="69"/>
      <c r="W122" s="156"/>
      <c r="X122" s="156"/>
      <c r="Y122" s="156"/>
    </row>
    <row r="123">
      <c r="B123" s="68" t="s">
        <v>549</v>
      </c>
      <c r="C123" s="68">
        <v>0.0</v>
      </c>
      <c r="D123" s="68"/>
      <c r="E123" s="69"/>
      <c r="F123" s="70"/>
      <c r="G123" s="69"/>
      <c r="H123" s="70"/>
      <c r="I123" s="71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156"/>
      <c r="X123" s="156"/>
      <c r="Y123" s="156"/>
    </row>
    <row r="124">
      <c r="B124" s="68" t="s">
        <v>550</v>
      </c>
      <c r="C124" s="68">
        <v>0.0</v>
      </c>
      <c r="D124" s="68"/>
      <c r="E124" s="69"/>
      <c r="F124" s="70"/>
      <c r="G124" s="69"/>
      <c r="H124" s="70"/>
      <c r="I124" s="71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156"/>
      <c r="X124" s="156"/>
      <c r="Y124" s="156"/>
    </row>
    <row r="125">
      <c r="B125" s="68" t="s">
        <v>551</v>
      </c>
      <c r="C125" s="68">
        <v>0.0</v>
      </c>
      <c r="D125" s="68"/>
      <c r="E125" s="69"/>
      <c r="F125" s="70"/>
      <c r="G125" s="69"/>
      <c r="H125" s="70"/>
      <c r="I125" s="71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156"/>
      <c r="X125" s="156"/>
      <c r="Y125" s="156"/>
    </row>
    <row r="126">
      <c r="A126" s="58">
        <v>181.0</v>
      </c>
      <c r="B126" s="157" t="s">
        <v>120</v>
      </c>
      <c r="C126" s="157">
        <v>12.0</v>
      </c>
      <c r="D126" s="157" t="str">
        <f>IFERROR(__xludf.DUMMYFUNCTION("ARRAY_CONSTRAIN(filter('All Platforms'!A3:T1802,'All Platforms'!A3:A1802=""181 V""),20,20)"),"#N/A")</f>
        <v>#N/A</v>
      </c>
      <c r="E126" s="57"/>
      <c r="F126" s="158"/>
      <c r="G126" s="64"/>
      <c r="H126" s="158"/>
      <c r="I126" s="159"/>
      <c r="J126" s="64"/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57"/>
      <c r="X126" s="57"/>
      <c r="Y126" s="57"/>
    </row>
    <row r="127">
      <c r="B127" s="157" t="s">
        <v>121</v>
      </c>
      <c r="C127" s="157">
        <v>9.0</v>
      </c>
      <c r="D127" s="157"/>
      <c r="E127" s="64"/>
      <c r="F127" s="158"/>
      <c r="G127" s="64"/>
      <c r="H127" s="158"/>
      <c r="I127" s="159"/>
      <c r="J127" s="64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57"/>
      <c r="X127" s="57"/>
      <c r="Y127" s="57"/>
    </row>
    <row r="128">
      <c r="B128" s="157" t="s">
        <v>122</v>
      </c>
      <c r="C128" s="157">
        <f>if(countif(F126:F127,F128)&gt;1,0,8)</f>
        <v>8</v>
      </c>
      <c r="D128" s="157"/>
      <c r="E128" s="64"/>
      <c r="F128" s="158"/>
      <c r="G128" s="64"/>
      <c r="H128" s="158"/>
      <c r="I128" s="159"/>
      <c r="J128" s="64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57"/>
      <c r="X128" s="57"/>
      <c r="Y128" s="57"/>
    </row>
    <row r="129">
      <c r="B129" s="157" t="s">
        <v>123</v>
      </c>
      <c r="C129" s="157">
        <f>if(countif(F126:F128,F129)&gt;1,0,7)</f>
        <v>7</v>
      </c>
      <c r="D129" s="157"/>
      <c r="E129" s="64"/>
      <c r="F129" s="158"/>
      <c r="G129" s="64"/>
      <c r="H129" s="158"/>
      <c r="I129" s="159"/>
      <c r="J129" s="64"/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57"/>
      <c r="X129" s="57"/>
      <c r="Y129" s="57"/>
    </row>
    <row r="130">
      <c r="B130" s="157" t="s">
        <v>124</v>
      </c>
      <c r="C130" s="157">
        <f>if(countif(F126:F129,F130)&gt;1,0,6)</f>
        <v>6</v>
      </c>
      <c r="D130" s="157"/>
      <c r="E130" s="64"/>
      <c r="F130" s="158"/>
      <c r="G130" s="64"/>
      <c r="H130" s="158"/>
      <c r="I130" s="159"/>
      <c r="J130" s="64"/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57"/>
      <c r="X130" s="57"/>
      <c r="Y130" s="57"/>
    </row>
    <row r="131">
      <c r="B131" s="157" t="s">
        <v>125</v>
      </c>
      <c r="C131" s="157">
        <f>if(countif(F126:F130,F131)&gt;1,0,5)</f>
        <v>5</v>
      </c>
      <c r="D131" s="157"/>
      <c r="E131" s="64"/>
      <c r="F131" s="158"/>
      <c r="G131" s="64"/>
      <c r="H131" s="158"/>
      <c r="I131" s="159"/>
      <c r="J131" s="64"/>
      <c r="K131" s="64"/>
      <c r="L131" s="64"/>
      <c r="M131" s="64"/>
      <c r="N131" s="64"/>
      <c r="O131" s="64"/>
      <c r="P131" s="64"/>
      <c r="Q131" s="64"/>
      <c r="R131" s="64"/>
      <c r="S131" s="64"/>
      <c r="T131" s="64"/>
      <c r="U131" s="64"/>
      <c r="V131" s="64"/>
      <c r="W131" s="57"/>
      <c r="X131" s="57"/>
      <c r="Y131" s="57"/>
    </row>
    <row r="132">
      <c r="B132" s="157" t="s">
        <v>126</v>
      </c>
      <c r="C132" s="157">
        <f>if(countif(F126:F131,F132)&gt;1,0,4)</f>
        <v>4</v>
      </c>
      <c r="D132" s="157"/>
      <c r="E132" s="64"/>
      <c r="F132" s="158"/>
      <c r="G132" s="64"/>
      <c r="H132" s="158"/>
      <c r="I132" s="159"/>
      <c r="J132" s="64"/>
      <c r="K132" s="64"/>
      <c r="L132" s="64"/>
      <c r="M132" s="64"/>
      <c r="N132" s="64"/>
      <c r="O132" s="64"/>
      <c r="P132" s="64"/>
      <c r="Q132" s="64"/>
      <c r="R132" s="64"/>
      <c r="S132" s="64"/>
      <c r="T132" s="64"/>
      <c r="U132" s="64"/>
      <c r="V132" s="64"/>
      <c r="W132" s="57"/>
      <c r="X132" s="57"/>
      <c r="Y132" s="57"/>
    </row>
    <row r="133">
      <c r="B133" s="157" t="s">
        <v>127</v>
      </c>
      <c r="C133" s="157">
        <f>if(countif(F126:F132,F133)&gt;1,0,3)</f>
        <v>3</v>
      </c>
      <c r="D133" s="157"/>
      <c r="E133" s="64"/>
      <c r="F133" s="158"/>
      <c r="G133" s="64"/>
      <c r="H133" s="158"/>
      <c r="I133" s="159"/>
      <c r="J133" s="64"/>
      <c r="K133" s="64"/>
      <c r="L133" s="64"/>
      <c r="M133" s="64"/>
      <c r="N133" s="64"/>
      <c r="O133" s="64"/>
      <c r="P133" s="64"/>
      <c r="Q133" s="64"/>
      <c r="R133" s="64"/>
      <c r="S133" s="64"/>
      <c r="T133" s="64"/>
      <c r="U133" s="64"/>
      <c r="V133" s="64"/>
      <c r="W133" s="57"/>
      <c r="X133" s="57"/>
      <c r="Y133" s="57"/>
    </row>
    <row r="134">
      <c r="B134" s="157" t="s">
        <v>128</v>
      </c>
      <c r="C134" s="157">
        <f>if(countif(F126:F133,F134)&gt;1,0,2)</f>
        <v>2</v>
      </c>
      <c r="D134" s="157"/>
      <c r="E134" s="64"/>
      <c r="F134" s="158"/>
      <c r="G134" s="64"/>
      <c r="H134" s="158"/>
      <c r="I134" s="159"/>
      <c r="J134" s="64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57"/>
      <c r="X134" s="57"/>
      <c r="Y134" s="57"/>
    </row>
    <row r="135">
      <c r="B135" s="157" t="s">
        <v>129</v>
      </c>
      <c r="C135" s="157">
        <f>if(countif(F126:F134,F135)&gt;1,0,1)</f>
        <v>1</v>
      </c>
      <c r="D135" s="157"/>
      <c r="E135" s="64"/>
      <c r="F135" s="158"/>
      <c r="G135" s="64"/>
      <c r="H135" s="158"/>
      <c r="I135" s="159"/>
      <c r="J135" s="64"/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57"/>
      <c r="X135" s="57"/>
      <c r="Y135" s="57"/>
    </row>
    <row r="136">
      <c r="A136" s="67">
        <v>181.0</v>
      </c>
      <c r="B136" s="68" t="s">
        <v>542</v>
      </c>
      <c r="C136" s="68">
        <v>0.0</v>
      </c>
      <c r="D136" s="68"/>
      <c r="E136" s="69"/>
      <c r="F136" s="70"/>
      <c r="G136" s="69"/>
      <c r="H136" s="70"/>
      <c r="I136" s="71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156"/>
      <c r="X136" s="156"/>
      <c r="Y136" s="156"/>
    </row>
    <row r="137">
      <c r="B137" s="68" t="s">
        <v>543</v>
      </c>
      <c r="C137" s="68">
        <v>0.0</v>
      </c>
      <c r="D137" s="68"/>
      <c r="E137" s="69"/>
      <c r="F137" s="70"/>
      <c r="G137" s="69"/>
      <c r="H137" s="70"/>
      <c r="I137" s="71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156"/>
      <c r="X137" s="156"/>
      <c r="Y137" s="156"/>
    </row>
    <row r="138">
      <c r="B138" s="68" t="s">
        <v>544</v>
      </c>
      <c r="C138" s="68">
        <v>0.0</v>
      </c>
      <c r="D138" s="68"/>
      <c r="E138" s="69"/>
      <c r="F138" s="70"/>
      <c r="G138" s="69"/>
      <c r="H138" s="70"/>
      <c r="I138" s="71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156"/>
      <c r="X138" s="156"/>
      <c r="Y138" s="156"/>
    </row>
    <row r="139">
      <c r="B139" s="68" t="s">
        <v>545</v>
      </c>
      <c r="C139" s="68">
        <v>0.0</v>
      </c>
      <c r="D139" s="68"/>
      <c r="E139" s="69"/>
      <c r="F139" s="70"/>
      <c r="G139" s="69"/>
      <c r="H139" s="70"/>
      <c r="I139" s="71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156"/>
      <c r="X139" s="156"/>
      <c r="Y139" s="156"/>
    </row>
    <row r="140">
      <c r="B140" s="68" t="s">
        <v>546</v>
      </c>
      <c r="C140" s="68">
        <v>0.0</v>
      </c>
      <c r="D140" s="68"/>
      <c r="E140" s="69"/>
      <c r="F140" s="70"/>
      <c r="G140" s="69"/>
      <c r="H140" s="70"/>
      <c r="I140" s="71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156"/>
      <c r="X140" s="156"/>
      <c r="Y140" s="156"/>
    </row>
    <row r="141">
      <c r="B141" s="68" t="s">
        <v>547</v>
      </c>
      <c r="C141" s="68">
        <v>0.0</v>
      </c>
      <c r="D141" s="68"/>
      <c r="E141" s="69"/>
      <c r="F141" s="70"/>
      <c r="G141" s="69"/>
      <c r="H141" s="70"/>
      <c r="I141" s="71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156"/>
      <c r="X141" s="156"/>
      <c r="Y141" s="156"/>
    </row>
    <row r="142">
      <c r="B142" s="68" t="s">
        <v>548</v>
      </c>
      <c r="C142" s="68">
        <v>0.0</v>
      </c>
      <c r="D142" s="68"/>
      <c r="E142" s="69"/>
      <c r="F142" s="70"/>
      <c r="G142" s="69"/>
      <c r="H142" s="70"/>
      <c r="I142" s="71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156"/>
      <c r="X142" s="156"/>
      <c r="Y142" s="156"/>
    </row>
    <row r="143">
      <c r="B143" s="68" t="s">
        <v>549</v>
      </c>
      <c r="C143" s="68">
        <v>0.0</v>
      </c>
      <c r="D143" s="68"/>
      <c r="E143" s="69"/>
      <c r="F143" s="70"/>
      <c r="G143" s="69"/>
      <c r="H143" s="70"/>
      <c r="I143" s="71"/>
      <c r="J143" s="69"/>
      <c r="K143" s="69"/>
      <c r="L143" s="69"/>
      <c r="M143" s="69"/>
      <c r="N143" s="69"/>
      <c r="O143" s="69"/>
      <c r="P143" s="69"/>
      <c r="Q143" s="69"/>
      <c r="R143" s="69"/>
      <c r="S143" s="69"/>
      <c r="T143" s="69"/>
      <c r="U143" s="69"/>
      <c r="V143" s="69"/>
      <c r="W143" s="156"/>
      <c r="X143" s="156"/>
      <c r="Y143" s="156"/>
    </row>
    <row r="144">
      <c r="B144" s="68" t="s">
        <v>550</v>
      </c>
      <c r="C144" s="68">
        <v>0.0</v>
      </c>
      <c r="D144" s="68"/>
      <c r="E144" s="69"/>
      <c r="F144" s="70"/>
      <c r="G144" s="69"/>
      <c r="H144" s="70"/>
      <c r="I144" s="71"/>
      <c r="J144" s="69"/>
      <c r="K144" s="69"/>
      <c r="L144" s="69"/>
      <c r="M144" s="69"/>
      <c r="N144" s="69"/>
      <c r="O144" s="69"/>
      <c r="P144" s="69"/>
      <c r="Q144" s="69"/>
      <c r="R144" s="69"/>
      <c r="S144" s="69"/>
      <c r="T144" s="69"/>
      <c r="U144" s="69"/>
      <c r="V144" s="69"/>
      <c r="W144" s="156"/>
      <c r="X144" s="156"/>
      <c r="Y144" s="156"/>
    </row>
    <row r="145">
      <c r="B145" s="68" t="s">
        <v>551</v>
      </c>
      <c r="C145" s="68">
        <v>0.0</v>
      </c>
      <c r="D145" s="68"/>
      <c r="E145" s="69"/>
      <c r="F145" s="70"/>
      <c r="G145" s="69"/>
      <c r="H145" s="70"/>
      <c r="I145" s="71"/>
      <c r="J145" s="69"/>
      <c r="K145" s="69"/>
      <c r="L145" s="69"/>
      <c r="M145" s="69"/>
      <c r="N145" s="69"/>
      <c r="O145" s="69"/>
      <c r="P145" s="69"/>
      <c r="Q145" s="69"/>
      <c r="R145" s="69"/>
      <c r="S145" s="69"/>
      <c r="T145" s="69"/>
      <c r="U145" s="69"/>
      <c r="V145" s="69"/>
      <c r="W145" s="156"/>
      <c r="X145" s="156"/>
      <c r="Y145" s="156"/>
    </row>
    <row r="146">
      <c r="A146" s="58">
        <v>194.0</v>
      </c>
      <c r="B146" s="157" t="s">
        <v>120</v>
      </c>
      <c r="C146" s="157">
        <v>12.0</v>
      </c>
      <c r="D146" s="157" t="str">
        <f>IFERROR(__xludf.DUMMYFUNCTION("ARRAY_CONSTRAIN(filter('All Platforms'!A3:T1802,'All Platforms'!A3:A1802=""194 V""),20,20)"),"#N/A")</f>
        <v>#N/A</v>
      </c>
      <c r="E146" s="64"/>
      <c r="F146" s="158"/>
      <c r="G146" s="64"/>
      <c r="H146" s="158"/>
      <c r="I146" s="159"/>
      <c r="J146" s="64"/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57"/>
      <c r="X146" s="57"/>
      <c r="Y146" s="57"/>
    </row>
    <row r="147">
      <c r="B147" s="157" t="s">
        <v>121</v>
      </c>
      <c r="C147" s="157">
        <v>9.0</v>
      </c>
      <c r="D147" s="157"/>
      <c r="E147" s="64"/>
      <c r="F147" s="158"/>
      <c r="G147" s="64"/>
      <c r="H147" s="158"/>
      <c r="I147" s="159"/>
      <c r="J147" s="64"/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57"/>
      <c r="X147" s="57"/>
      <c r="Y147" s="57"/>
    </row>
    <row r="148">
      <c r="B148" s="157" t="s">
        <v>122</v>
      </c>
      <c r="C148" s="157">
        <f>if(countif(F146:F147,F148)&gt;1,0,8)</f>
        <v>8</v>
      </c>
      <c r="D148" s="157"/>
      <c r="E148" s="64"/>
      <c r="F148" s="158"/>
      <c r="G148" s="64"/>
      <c r="H148" s="158"/>
      <c r="I148" s="159"/>
      <c r="J148" s="64"/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57"/>
      <c r="X148" s="57"/>
      <c r="Y148" s="57"/>
    </row>
    <row r="149">
      <c r="B149" s="157" t="s">
        <v>123</v>
      </c>
      <c r="C149" s="157">
        <f>if(countif(F146:F148,F149)&gt;1,0,7)</f>
        <v>7</v>
      </c>
      <c r="D149" s="157"/>
      <c r="E149" s="64"/>
      <c r="F149" s="158"/>
      <c r="G149" s="64"/>
      <c r="H149" s="158"/>
      <c r="I149" s="159"/>
      <c r="J149" s="64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57"/>
      <c r="X149" s="57"/>
      <c r="Y149" s="57"/>
    </row>
    <row r="150">
      <c r="B150" s="157" t="s">
        <v>124</v>
      </c>
      <c r="C150" s="157">
        <f>if(countif(F146:F149,F150)&gt;1,0,6)</f>
        <v>6</v>
      </c>
      <c r="D150" s="157"/>
      <c r="E150" s="64"/>
      <c r="F150" s="158"/>
      <c r="G150" s="64"/>
      <c r="H150" s="158"/>
      <c r="I150" s="159"/>
      <c r="J150" s="64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57"/>
      <c r="X150" s="57"/>
      <c r="Y150" s="57"/>
    </row>
    <row r="151">
      <c r="B151" s="157" t="s">
        <v>125</v>
      </c>
      <c r="C151" s="157">
        <f>if(countif(F146:F150,F151)&gt;1,0,5)</f>
        <v>5</v>
      </c>
      <c r="D151" s="157"/>
      <c r="E151" s="64"/>
      <c r="F151" s="158"/>
      <c r="G151" s="64"/>
      <c r="H151" s="158"/>
      <c r="I151" s="159"/>
      <c r="J151" s="64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57"/>
      <c r="X151" s="57"/>
      <c r="Y151" s="57"/>
    </row>
    <row r="152">
      <c r="B152" s="157" t="s">
        <v>126</v>
      </c>
      <c r="C152" s="157">
        <f>if(countif(F146:F151,F152)&gt;1,0,4)</f>
        <v>4</v>
      </c>
      <c r="D152" s="157"/>
      <c r="E152" s="64"/>
      <c r="F152" s="158"/>
      <c r="G152" s="64"/>
      <c r="H152" s="158"/>
      <c r="I152" s="159"/>
      <c r="J152" s="64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57"/>
      <c r="X152" s="57"/>
      <c r="Y152" s="57"/>
    </row>
    <row r="153">
      <c r="B153" s="157" t="s">
        <v>127</v>
      </c>
      <c r="C153" s="157">
        <f>if(countif(F146:F152,F153)&gt;1,0,3)</f>
        <v>3</v>
      </c>
      <c r="D153" s="157"/>
      <c r="E153" s="64"/>
      <c r="F153" s="158"/>
      <c r="G153" s="64"/>
      <c r="H153" s="158"/>
      <c r="I153" s="159"/>
      <c r="J153" s="64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57"/>
      <c r="X153" s="57"/>
      <c r="Y153" s="57"/>
    </row>
    <row r="154">
      <c r="B154" s="157" t="s">
        <v>128</v>
      </c>
      <c r="C154" s="157">
        <f>if(countif(F146:F153,F154)&gt;1,0,2)</f>
        <v>2</v>
      </c>
      <c r="D154" s="157"/>
      <c r="E154" s="64"/>
      <c r="F154" s="158"/>
      <c r="G154" s="64"/>
      <c r="H154" s="158"/>
      <c r="I154" s="159"/>
      <c r="J154" s="64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57"/>
      <c r="X154" s="57"/>
      <c r="Y154" s="57"/>
    </row>
    <row r="155">
      <c r="B155" s="157" t="s">
        <v>129</v>
      </c>
      <c r="C155" s="157">
        <f>if(countif(F146:F154,F155)&gt;1,0,1)</f>
        <v>1</v>
      </c>
      <c r="D155" s="157"/>
      <c r="E155" s="64"/>
      <c r="F155" s="158"/>
      <c r="G155" s="64"/>
      <c r="H155" s="158"/>
      <c r="I155" s="159"/>
      <c r="J155" s="64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57"/>
      <c r="X155" s="57"/>
      <c r="Y155" s="57"/>
    </row>
    <row r="156">
      <c r="A156" s="67">
        <v>194.0</v>
      </c>
      <c r="B156" s="68" t="s">
        <v>542</v>
      </c>
      <c r="C156" s="68">
        <v>0.0</v>
      </c>
      <c r="D156" s="68"/>
      <c r="E156" s="69"/>
      <c r="F156" s="70"/>
      <c r="G156" s="69"/>
      <c r="H156" s="70"/>
      <c r="I156" s="71"/>
      <c r="J156" s="69"/>
      <c r="K156" s="69"/>
      <c r="L156" s="69"/>
      <c r="M156" s="69"/>
      <c r="N156" s="69"/>
      <c r="O156" s="69"/>
      <c r="P156" s="69"/>
      <c r="Q156" s="69"/>
      <c r="R156" s="69"/>
      <c r="S156" s="69"/>
      <c r="T156" s="69"/>
      <c r="U156" s="69"/>
      <c r="V156" s="69"/>
      <c r="W156" s="156"/>
      <c r="X156" s="156"/>
      <c r="Y156" s="156"/>
    </row>
    <row r="157">
      <c r="B157" s="68" t="s">
        <v>543</v>
      </c>
      <c r="C157" s="68">
        <v>0.0</v>
      </c>
      <c r="D157" s="68"/>
      <c r="E157" s="69"/>
      <c r="F157" s="70"/>
      <c r="G157" s="69"/>
      <c r="H157" s="70"/>
      <c r="I157" s="71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156"/>
      <c r="X157" s="156"/>
      <c r="Y157" s="156"/>
    </row>
    <row r="158">
      <c r="B158" s="68" t="s">
        <v>544</v>
      </c>
      <c r="C158" s="68">
        <v>0.0</v>
      </c>
      <c r="D158" s="68"/>
      <c r="E158" s="69"/>
      <c r="F158" s="70"/>
      <c r="G158" s="69"/>
      <c r="H158" s="70"/>
      <c r="I158" s="71"/>
      <c r="J158" s="69"/>
      <c r="K158" s="69"/>
      <c r="L158" s="69"/>
      <c r="M158" s="69"/>
      <c r="N158" s="69"/>
      <c r="O158" s="69"/>
      <c r="P158" s="69"/>
      <c r="Q158" s="69"/>
      <c r="R158" s="69"/>
      <c r="S158" s="69"/>
      <c r="T158" s="69"/>
      <c r="U158" s="69"/>
      <c r="V158" s="69"/>
      <c r="W158" s="156"/>
      <c r="X158" s="156"/>
      <c r="Y158" s="156"/>
    </row>
    <row r="159">
      <c r="B159" s="68" t="s">
        <v>545</v>
      </c>
      <c r="C159" s="68">
        <v>0.0</v>
      </c>
      <c r="D159" s="68"/>
      <c r="E159" s="69"/>
      <c r="F159" s="70"/>
      <c r="G159" s="69"/>
      <c r="H159" s="70"/>
      <c r="I159" s="71"/>
      <c r="J159" s="69"/>
      <c r="K159" s="69"/>
      <c r="L159" s="69"/>
      <c r="M159" s="69"/>
      <c r="N159" s="69"/>
      <c r="O159" s="69"/>
      <c r="P159" s="69"/>
      <c r="Q159" s="69"/>
      <c r="R159" s="69"/>
      <c r="S159" s="69"/>
      <c r="T159" s="69"/>
      <c r="U159" s="69"/>
      <c r="V159" s="69"/>
      <c r="W159" s="156"/>
      <c r="X159" s="156"/>
      <c r="Y159" s="156"/>
    </row>
    <row r="160">
      <c r="B160" s="68" t="s">
        <v>546</v>
      </c>
      <c r="C160" s="68">
        <v>0.0</v>
      </c>
      <c r="D160" s="68"/>
      <c r="E160" s="69"/>
      <c r="F160" s="70"/>
      <c r="G160" s="69"/>
      <c r="H160" s="70"/>
      <c r="I160" s="71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156"/>
      <c r="X160" s="156"/>
      <c r="Y160" s="156"/>
    </row>
    <row r="161">
      <c r="B161" s="68" t="s">
        <v>547</v>
      </c>
      <c r="C161" s="68">
        <v>0.0</v>
      </c>
      <c r="D161" s="68"/>
      <c r="E161" s="69"/>
      <c r="F161" s="70"/>
      <c r="G161" s="69"/>
      <c r="H161" s="70"/>
      <c r="I161" s="71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156"/>
      <c r="X161" s="156"/>
      <c r="Y161" s="156"/>
    </row>
    <row r="162">
      <c r="B162" s="68" t="s">
        <v>548</v>
      </c>
      <c r="C162" s="68">
        <v>0.0</v>
      </c>
      <c r="D162" s="68"/>
      <c r="E162" s="69"/>
      <c r="F162" s="70"/>
      <c r="G162" s="69"/>
      <c r="H162" s="70"/>
      <c r="I162" s="71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156"/>
      <c r="X162" s="156"/>
      <c r="Y162" s="156"/>
    </row>
    <row r="163">
      <c r="B163" s="68" t="s">
        <v>549</v>
      </c>
      <c r="C163" s="68">
        <v>0.0</v>
      </c>
      <c r="D163" s="68"/>
      <c r="E163" s="69"/>
      <c r="F163" s="70"/>
      <c r="G163" s="69"/>
      <c r="H163" s="70"/>
      <c r="I163" s="71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156"/>
      <c r="X163" s="156"/>
      <c r="Y163" s="156"/>
    </row>
    <row r="164">
      <c r="B164" s="68" t="s">
        <v>550</v>
      </c>
      <c r="C164" s="68">
        <v>0.0</v>
      </c>
      <c r="D164" s="68"/>
      <c r="E164" s="69"/>
      <c r="F164" s="70"/>
      <c r="G164" s="69"/>
      <c r="H164" s="70"/>
      <c r="I164" s="71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156"/>
      <c r="X164" s="156"/>
      <c r="Y164" s="156"/>
    </row>
    <row r="165">
      <c r="B165" s="68" t="s">
        <v>551</v>
      </c>
      <c r="C165" s="68">
        <v>0.0</v>
      </c>
      <c r="D165" s="68"/>
      <c r="E165" s="69"/>
      <c r="F165" s="70"/>
      <c r="G165" s="69"/>
      <c r="H165" s="70"/>
      <c r="I165" s="71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156"/>
      <c r="X165" s="156"/>
      <c r="Y165" s="156"/>
    </row>
    <row r="166">
      <c r="A166" s="58">
        <v>207.0</v>
      </c>
      <c r="B166" s="157" t="s">
        <v>120</v>
      </c>
      <c r="C166" s="157">
        <v>12.0</v>
      </c>
      <c r="D166" s="157" t="str">
        <f>IFERROR(__xludf.DUMMYFUNCTION("ARRAY_CONSTRAIN(filter('All Platforms'!A3:T1802,'All Platforms'!A3:A1802=""207 V""),20,20)"),"#N/A")</f>
        <v>#N/A</v>
      </c>
      <c r="E166" s="64"/>
      <c r="F166" s="158"/>
      <c r="G166" s="64"/>
      <c r="H166" s="158"/>
      <c r="I166" s="159"/>
      <c r="J166" s="64"/>
      <c r="K166" s="64"/>
      <c r="L166" s="64"/>
      <c r="M166" s="64"/>
      <c r="N166" s="64"/>
      <c r="O166" s="64"/>
      <c r="P166" s="64"/>
      <c r="Q166" s="64"/>
      <c r="R166" s="64"/>
      <c r="S166" s="64"/>
      <c r="T166" s="64"/>
      <c r="U166" s="64"/>
      <c r="V166" s="64"/>
      <c r="W166" s="57"/>
      <c r="X166" s="57"/>
      <c r="Y166" s="57"/>
    </row>
    <row r="167">
      <c r="B167" s="157" t="s">
        <v>121</v>
      </c>
      <c r="C167" s="157">
        <v>9.0</v>
      </c>
      <c r="D167" s="157"/>
      <c r="E167" s="64"/>
      <c r="F167" s="158"/>
      <c r="G167" s="64"/>
      <c r="H167" s="158"/>
      <c r="I167" s="159"/>
      <c r="J167" s="64"/>
      <c r="K167" s="64"/>
      <c r="L167" s="64"/>
      <c r="M167" s="64"/>
      <c r="N167" s="64"/>
      <c r="O167" s="64"/>
      <c r="P167" s="64"/>
      <c r="Q167" s="64"/>
      <c r="R167" s="64"/>
      <c r="S167" s="64"/>
      <c r="T167" s="64"/>
      <c r="U167" s="64"/>
      <c r="V167" s="64"/>
      <c r="W167" s="57"/>
      <c r="X167" s="57"/>
      <c r="Y167" s="57"/>
    </row>
    <row r="168">
      <c r="B168" s="157" t="s">
        <v>122</v>
      </c>
      <c r="C168" s="157">
        <f>if(countif(F166:F167,F168)&gt;1,0,8)</f>
        <v>8</v>
      </c>
      <c r="D168" s="157"/>
      <c r="E168" s="64"/>
      <c r="F168" s="158"/>
      <c r="G168" s="64"/>
      <c r="H168" s="158"/>
      <c r="I168" s="159"/>
      <c r="J168" s="64"/>
      <c r="K168" s="64"/>
      <c r="L168" s="64"/>
      <c r="M168" s="64"/>
      <c r="N168" s="64"/>
      <c r="O168" s="64"/>
      <c r="P168" s="64"/>
      <c r="Q168" s="64"/>
      <c r="R168" s="64"/>
      <c r="S168" s="64"/>
      <c r="T168" s="64"/>
      <c r="U168" s="64"/>
      <c r="V168" s="64"/>
      <c r="W168" s="57"/>
      <c r="X168" s="57"/>
      <c r="Y168" s="57"/>
    </row>
    <row r="169">
      <c r="B169" s="157" t="s">
        <v>123</v>
      </c>
      <c r="C169" s="157">
        <f>if(countif(F166:F168,F169)&gt;1,0,7)</f>
        <v>7</v>
      </c>
      <c r="D169" s="157"/>
      <c r="E169" s="64"/>
      <c r="F169" s="158"/>
      <c r="G169" s="64"/>
      <c r="H169" s="158"/>
      <c r="I169" s="159"/>
      <c r="J169" s="64"/>
      <c r="K169" s="64"/>
      <c r="L169" s="64"/>
      <c r="M169" s="64"/>
      <c r="N169" s="64"/>
      <c r="O169" s="64"/>
      <c r="P169" s="64"/>
      <c r="Q169" s="64"/>
      <c r="R169" s="64"/>
      <c r="S169" s="64"/>
      <c r="T169" s="64"/>
      <c r="U169" s="64"/>
      <c r="V169" s="64"/>
      <c r="W169" s="57"/>
      <c r="X169" s="57"/>
      <c r="Y169" s="57"/>
    </row>
    <row r="170">
      <c r="B170" s="157" t="s">
        <v>124</v>
      </c>
      <c r="C170" s="157">
        <f>if(countif(F166:F169,F170)&gt;1,0,6)</f>
        <v>6</v>
      </c>
      <c r="D170" s="157"/>
      <c r="E170" s="64"/>
      <c r="F170" s="158"/>
      <c r="G170" s="64"/>
      <c r="H170" s="158"/>
      <c r="I170" s="159"/>
      <c r="J170" s="64"/>
      <c r="K170" s="64"/>
      <c r="L170" s="64"/>
      <c r="M170" s="64"/>
      <c r="N170" s="64"/>
      <c r="O170" s="64"/>
      <c r="P170" s="64"/>
      <c r="Q170" s="64"/>
      <c r="R170" s="64"/>
      <c r="S170" s="64"/>
      <c r="T170" s="64"/>
      <c r="U170" s="64"/>
      <c r="V170" s="64"/>
      <c r="W170" s="57"/>
      <c r="X170" s="57"/>
      <c r="Y170" s="57"/>
    </row>
    <row r="171">
      <c r="B171" s="157" t="s">
        <v>125</v>
      </c>
      <c r="C171" s="157">
        <f>if(countif(F166:F170,F171)&gt;1,0,5)</f>
        <v>5</v>
      </c>
      <c r="D171" s="157"/>
      <c r="E171" s="64"/>
      <c r="F171" s="158"/>
      <c r="G171" s="64"/>
      <c r="H171" s="158"/>
      <c r="I171" s="159"/>
      <c r="J171" s="64"/>
      <c r="K171" s="64"/>
      <c r="L171" s="64"/>
      <c r="M171" s="64"/>
      <c r="N171" s="64"/>
      <c r="O171" s="64"/>
      <c r="P171" s="64"/>
      <c r="Q171" s="64"/>
      <c r="R171" s="64"/>
      <c r="S171" s="64"/>
      <c r="T171" s="64"/>
      <c r="U171" s="64"/>
      <c r="V171" s="64"/>
      <c r="W171" s="57"/>
      <c r="X171" s="57"/>
      <c r="Y171" s="57"/>
    </row>
    <row r="172">
      <c r="B172" s="157" t="s">
        <v>126</v>
      </c>
      <c r="C172" s="157">
        <f>if(countif(F166:F171,F172)&gt;1,0,4)</f>
        <v>4</v>
      </c>
      <c r="D172" s="157"/>
      <c r="E172" s="64"/>
      <c r="F172" s="158"/>
      <c r="G172" s="64"/>
      <c r="H172" s="158"/>
      <c r="I172" s="159"/>
      <c r="J172" s="64"/>
      <c r="K172" s="64"/>
      <c r="L172" s="64"/>
      <c r="M172" s="64"/>
      <c r="N172" s="64"/>
      <c r="O172" s="64"/>
      <c r="P172" s="64"/>
      <c r="Q172" s="64"/>
      <c r="R172" s="64"/>
      <c r="S172" s="64"/>
      <c r="T172" s="64"/>
      <c r="U172" s="64"/>
      <c r="V172" s="64"/>
      <c r="W172" s="57"/>
      <c r="X172" s="57"/>
      <c r="Y172" s="57"/>
    </row>
    <row r="173">
      <c r="B173" s="157" t="s">
        <v>127</v>
      </c>
      <c r="C173" s="157">
        <f>if(countif(F166:F172,F173)&gt;1,0,3)</f>
        <v>3</v>
      </c>
      <c r="D173" s="157"/>
      <c r="E173" s="64"/>
      <c r="F173" s="158"/>
      <c r="G173" s="64"/>
      <c r="H173" s="158"/>
      <c r="I173" s="159"/>
      <c r="J173" s="64"/>
      <c r="K173" s="64"/>
      <c r="L173" s="64"/>
      <c r="M173" s="64"/>
      <c r="N173" s="64"/>
      <c r="O173" s="64"/>
      <c r="P173" s="64"/>
      <c r="Q173" s="64"/>
      <c r="R173" s="64"/>
      <c r="S173" s="64"/>
      <c r="T173" s="64"/>
      <c r="U173" s="64"/>
      <c r="V173" s="64"/>
      <c r="W173" s="57"/>
      <c r="X173" s="57"/>
      <c r="Y173" s="57"/>
    </row>
    <row r="174">
      <c r="B174" s="157" t="s">
        <v>128</v>
      </c>
      <c r="C174" s="157">
        <f>if(countif(F166:F173,F174)&gt;1,0,2)</f>
        <v>2</v>
      </c>
      <c r="D174" s="157"/>
      <c r="E174" s="64"/>
      <c r="F174" s="158"/>
      <c r="G174" s="64"/>
      <c r="H174" s="158"/>
      <c r="I174" s="159"/>
      <c r="J174" s="64"/>
      <c r="K174" s="64"/>
      <c r="L174" s="64"/>
      <c r="M174" s="64"/>
      <c r="N174" s="64"/>
      <c r="O174" s="64"/>
      <c r="P174" s="64"/>
      <c r="Q174" s="64"/>
      <c r="R174" s="64"/>
      <c r="S174" s="64"/>
      <c r="T174" s="64"/>
      <c r="U174" s="64"/>
      <c r="V174" s="64"/>
      <c r="W174" s="57"/>
      <c r="X174" s="57"/>
      <c r="Y174" s="57"/>
    </row>
    <row r="175">
      <c r="B175" s="157" t="s">
        <v>129</v>
      </c>
      <c r="C175" s="157">
        <f>if(countif(F166:F174,F175)&gt;1,0,1)</f>
        <v>1</v>
      </c>
      <c r="D175" s="157"/>
      <c r="E175" s="64"/>
      <c r="F175" s="158"/>
      <c r="G175" s="64"/>
      <c r="H175" s="158"/>
      <c r="I175" s="159"/>
      <c r="J175" s="64"/>
      <c r="K175" s="64"/>
      <c r="L175" s="64"/>
      <c r="M175" s="64"/>
      <c r="N175" s="64"/>
      <c r="O175" s="64"/>
      <c r="P175" s="64"/>
      <c r="Q175" s="64"/>
      <c r="R175" s="64"/>
      <c r="S175" s="64"/>
      <c r="T175" s="64"/>
      <c r="U175" s="64"/>
      <c r="V175" s="64"/>
      <c r="W175" s="57"/>
      <c r="X175" s="57"/>
      <c r="Y175" s="57"/>
    </row>
    <row r="176">
      <c r="A176" s="67">
        <v>207.0</v>
      </c>
      <c r="B176" s="68" t="s">
        <v>542</v>
      </c>
      <c r="C176" s="68">
        <v>0.0</v>
      </c>
      <c r="D176" s="68"/>
      <c r="E176" s="69"/>
      <c r="F176" s="70"/>
      <c r="G176" s="69"/>
      <c r="H176" s="70"/>
      <c r="I176" s="71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156"/>
      <c r="X176" s="156"/>
      <c r="Y176" s="156"/>
    </row>
    <row r="177">
      <c r="B177" s="68" t="s">
        <v>543</v>
      </c>
      <c r="C177" s="68">
        <v>0.0</v>
      </c>
      <c r="D177" s="68"/>
      <c r="E177" s="69"/>
      <c r="F177" s="70"/>
      <c r="G177" s="69"/>
      <c r="H177" s="70"/>
      <c r="I177" s="71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156"/>
      <c r="X177" s="156"/>
      <c r="Y177" s="156"/>
    </row>
    <row r="178">
      <c r="B178" s="68" t="s">
        <v>544</v>
      </c>
      <c r="C178" s="68">
        <v>0.0</v>
      </c>
      <c r="D178" s="68"/>
      <c r="E178" s="69"/>
      <c r="F178" s="70"/>
      <c r="G178" s="69"/>
      <c r="H178" s="70"/>
      <c r="I178" s="71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156"/>
      <c r="X178" s="156"/>
      <c r="Y178" s="156"/>
    </row>
    <row r="179">
      <c r="B179" s="68" t="s">
        <v>545</v>
      </c>
      <c r="C179" s="68">
        <v>0.0</v>
      </c>
      <c r="D179" s="68"/>
      <c r="E179" s="69"/>
      <c r="F179" s="70"/>
      <c r="G179" s="69"/>
      <c r="H179" s="70"/>
      <c r="I179" s="71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156"/>
      <c r="X179" s="156"/>
      <c r="Y179" s="156"/>
    </row>
    <row r="180">
      <c r="B180" s="68" t="s">
        <v>546</v>
      </c>
      <c r="C180" s="68">
        <v>0.0</v>
      </c>
      <c r="D180" s="68"/>
      <c r="E180" s="69"/>
      <c r="F180" s="70"/>
      <c r="G180" s="69"/>
      <c r="H180" s="70"/>
      <c r="I180" s="71"/>
      <c r="J180" s="69"/>
      <c r="K180" s="69"/>
      <c r="L180" s="69"/>
      <c r="M180" s="69"/>
      <c r="N180" s="69"/>
      <c r="O180" s="69"/>
      <c r="P180" s="69"/>
      <c r="Q180" s="69"/>
      <c r="R180" s="69"/>
      <c r="S180" s="69"/>
      <c r="T180" s="69"/>
      <c r="U180" s="69"/>
      <c r="V180" s="69"/>
      <c r="W180" s="156"/>
      <c r="X180" s="156"/>
      <c r="Y180" s="156"/>
    </row>
    <row r="181">
      <c r="B181" s="68" t="s">
        <v>547</v>
      </c>
      <c r="C181" s="68">
        <v>0.0</v>
      </c>
      <c r="D181" s="68"/>
      <c r="E181" s="69"/>
      <c r="F181" s="70"/>
      <c r="G181" s="69"/>
      <c r="H181" s="70"/>
      <c r="I181" s="71"/>
      <c r="J181" s="69"/>
      <c r="K181" s="69"/>
      <c r="L181" s="69"/>
      <c r="M181" s="69"/>
      <c r="N181" s="69"/>
      <c r="O181" s="69"/>
      <c r="P181" s="69"/>
      <c r="Q181" s="69"/>
      <c r="R181" s="69"/>
      <c r="S181" s="69"/>
      <c r="T181" s="69"/>
      <c r="U181" s="69"/>
      <c r="V181" s="69"/>
      <c r="W181" s="156"/>
      <c r="X181" s="156"/>
      <c r="Y181" s="156"/>
    </row>
    <row r="182">
      <c r="B182" s="68" t="s">
        <v>548</v>
      </c>
      <c r="C182" s="68">
        <v>0.0</v>
      </c>
      <c r="D182" s="68"/>
      <c r="E182" s="69"/>
      <c r="F182" s="70"/>
      <c r="G182" s="69"/>
      <c r="H182" s="70"/>
      <c r="I182" s="71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156"/>
      <c r="X182" s="156"/>
      <c r="Y182" s="156"/>
    </row>
    <row r="183">
      <c r="B183" s="68" t="s">
        <v>549</v>
      </c>
      <c r="C183" s="68">
        <v>0.0</v>
      </c>
      <c r="D183" s="68"/>
      <c r="E183" s="69"/>
      <c r="F183" s="70"/>
      <c r="G183" s="69"/>
      <c r="H183" s="70"/>
      <c r="I183" s="71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156"/>
      <c r="X183" s="156"/>
      <c r="Y183" s="156"/>
    </row>
    <row r="184">
      <c r="B184" s="68" t="s">
        <v>550</v>
      </c>
      <c r="C184" s="68">
        <v>0.0</v>
      </c>
      <c r="D184" s="68"/>
      <c r="E184" s="69"/>
      <c r="F184" s="70"/>
      <c r="G184" s="69"/>
      <c r="H184" s="70"/>
      <c r="I184" s="71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156"/>
      <c r="X184" s="156"/>
      <c r="Y184" s="156"/>
    </row>
    <row r="185">
      <c r="B185" s="68" t="s">
        <v>551</v>
      </c>
      <c r="C185" s="68">
        <v>0.0</v>
      </c>
      <c r="D185" s="68"/>
      <c r="E185" s="69"/>
      <c r="F185" s="70"/>
      <c r="G185" s="69"/>
      <c r="H185" s="70"/>
      <c r="I185" s="71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156"/>
      <c r="X185" s="156"/>
      <c r="Y185" s="156"/>
    </row>
    <row r="186">
      <c r="A186" s="58">
        <v>220.0</v>
      </c>
      <c r="B186" s="157" t="s">
        <v>120</v>
      </c>
      <c r="C186" s="157">
        <v>12.0</v>
      </c>
      <c r="D186" s="157" t="str">
        <f>IFERROR(__xludf.DUMMYFUNCTION("ARRAY_CONSTRAIN(filter('All Platforms'!A3:T1802,'All Platforms'!A3:A1802=""220 V""),20,20)"),"#N/A")</f>
        <v>#N/A</v>
      </c>
      <c r="E186" s="64"/>
      <c r="F186" s="158"/>
      <c r="G186" s="64"/>
      <c r="H186" s="158"/>
      <c r="I186" s="159"/>
      <c r="J186" s="64"/>
      <c r="K186" s="64"/>
      <c r="L186" s="64"/>
      <c r="M186" s="64"/>
      <c r="N186" s="64"/>
      <c r="O186" s="64"/>
      <c r="P186" s="64"/>
      <c r="Q186" s="64"/>
      <c r="R186" s="64"/>
      <c r="S186" s="64"/>
      <c r="T186" s="64"/>
      <c r="U186" s="64"/>
      <c r="V186" s="64"/>
      <c r="W186" s="57"/>
      <c r="X186" s="160"/>
      <c r="Y186" s="57"/>
    </row>
    <row r="187">
      <c r="B187" s="157" t="s">
        <v>121</v>
      </c>
      <c r="C187" s="157">
        <v>9.0</v>
      </c>
      <c r="D187" s="157"/>
      <c r="E187" s="64"/>
      <c r="F187" s="158"/>
      <c r="G187" s="64"/>
      <c r="H187" s="158"/>
      <c r="I187" s="159"/>
      <c r="J187" s="64"/>
      <c r="K187" s="64"/>
      <c r="L187" s="64"/>
      <c r="M187" s="64"/>
      <c r="N187" s="64"/>
      <c r="O187" s="64"/>
      <c r="P187" s="64"/>
      <c r="Q187" s="64"/>
      <c r="R187" s="64"/>
      <c r="S187" s="64"/>
      <c r="T187" s="64"/>
      <c r="U187" s="64"/>
      <c r="V187" s="64"/>
      <c r="W187" s="57"/>
      <c r="X187" s="160"/>
      <c r="Y187" s="57"/>
    </row>
    <row r="188">
      <c r="B188" s="157" t="s">
        <v>122</v>
      </c>
      <c r="C188" s="157">
        <f>if(countif(F186:F187,F188)&gt;1,0,8)</f>
        <v>8</v>
      </c>
      <c r="D188" s="157"/>
      <c r="E188" s="64"/>
      <c r="F188" s="158"/>
      <c r="G188" s="64"/>
      <c r="H188" s="158"/>
      <c r="I188" s="159"/>
      <c r="J188" s="64"/>
      <c r="K188" s="64"/>
      <c r="L188" s="64"/>
      <c r="M188" s="64"/>
      <c r="N188" s="64"/>
      <c r="O188" s="64"/>
      <c r="P188" s="64"/>
      <c r="Q188" s="64"/>
      <c r="R188" s="64"/>
      <c r="S188" s="64"/>
      <c r="T188" s="64"/>
      <c r="U188" s="64"/>
      <c r="V188" s="64"/>
      <c r="W188" s="57"/>
      <c r="X188" s="57"/>
      <c r="Y188" s="57"/>
    </row>
    <row r="189">
      <c r="B189" s="157" t="s">
        <v>123</v>
      </c>
      <c r="C189" s="157">
        <f>if(countif(F186:F188,F189)&gt;1,0,7)</f>
        <v>7</v>
      </c>
      <c r="D189" s="157"/>
      <c r="E189" s="64"/>
      <c r="F189" s="158"/>
      <c r="G189" s="64"/>
      <c r="H189" s="158"/>
      <c r="I189" s="159"/>
      <c r="J189" s="64"/>
      <c r="K189" s="64"/>
      <c r="L189" s="64"/>
      <c r="M189" s="64"/>
      <c r="N189" s="64"/>
      <c r="O189" s="64"/>
      <c r="P189" s="64"/>
      <c r="Q189" s="64"/>
      <c r="R189" s="64"/>
      <c r="S189" s="64"/>
      <c r="T189" s="64"/>
      <c r="U189" s="64"/>
      <c r="V189" s="64"/>
      <c r="W189" s="57"/>
      <c r="X189" s="57"/>
      <c r="Y189" s="57"/>
    </row>
    <row r="190">
      <c r="B190" s="157" t="s">
        <v>124</v>
      </c>
      <c r="C190" s="157">
        <f>if(countif(F186:F189,F190)&gt;1,0,6)</f>
        <v>6</v>
      </c>
      <c r="D190" s="157"/>
      <c r="E190" s="64"/>
      <c r="F190" s="158"/>
      <c r="G190" s="64"/>
      <c r="H190" s="158"/>
      <c r="I190" s="159"/>
      <c r="J190" s="64"/>
      <c r="K190" s="64"/>
      <c r="L190" s="64"/>
      <c r="M190" s="64"/>
      <c r="N190" s="64"/>
      <c r="O190" s="64"/>
      <c r="P190" s="64"/>
      <c r="Q190" s="64"/>
      <c r="R190" s="64"/>
      <c r="S190" s="64"/>
      <c r="T190" s="64"/>
      <c r="U190" s="64"/>
      <c r="V190" s="64"/>
      <c r="W190" s="57"/>
      <c r="X190" s="57"/>
      <c r="Y190" s="57"/>
    </row>
    <row r="191">
      <c r="B191" s="157" t="s">
        <v>125</v>
      </c>
      <c r="C191" s="157">
        <f>if(countif(F186:F190,F191)&gt;1,0,5)</f>
        <v>5</v>
      </c>
      <c r="D191" s="157"/>
      <c r="E191" s="64"/>
      <c r="F191" s="158"/>
      <c r="G191" s="64"/>
      <c r="H191" s="158"/>
      <c r="I191" s="159"/>
      <c r="J191" s="64"/>
      <c r="K191" s="64"/>
      <c r="L191" s="64"/>
      <c r="M191" s="64"/>
      <c r="N191" s="64"/>
      <c r="O191" s="64"/>
      <c r="P191" s="64"/>
      <c r="Q191" s="64"/>
      <c r="R191" s="64"/>
      <c r="S191" s="64"/>
      <c r="T191" s="64"/>
      <c r="U191" s="64"/>
      <c r="V191" s="64"/>
      <c r="W191" s="57"/>
      <c r="X191" s="57"/>
      <c r="Y191" s="57"/>
    </row>
    <row r="192">
      <c r="B192" s="157" t="s">
        <v>126</v>
      </c>
      <c r="C192" s="157">
        <f>if(countif(F186:F191,F192)&gt;1,0,4)</f>
        <v>4</v>
      </c>
      <c r="D192" s="157"/>
      <c r="E192" s="64"/>
      <c r="F192" s="158"/>
      <c r="G192" s="64"/>
      <c r="H192" s="158"/>
      <c r="I192" s="159"/>
      <c r="J192" s="64"/>
      <c r="K192" s="64"/>
      <c r="L192" s="64"/>
      <c r="M192" s="64"/>
      <c r="N192" s="64"/>
      <c r="O192" s="64"/>
      <c r="P192" s="64"/>
      <c r="Q192" s="64"/>
      <c r="R192" s="64"/>
      <c r="S192" s="64"/>
      <c r="T192" s="64"/>
      <c r="U192" s="64"/>
      <c r="V192" s="64"/>
      <c r="W192" s="57"/>
      <c r="X192" s="57"/>
      <c r="Y192" s="57"/>
    </row>
    <row r="193">
      <c r="B193" s="157" t="s">
        <v>127</v>
      </c>
      <c r="C193" s="157">
        <f>if(countif(F186:F192,F193)&gt;1,0,3)</f>
        <v>3</v>
      </c>
      <c r="D193" s="157"/>
      <c r="E193" s="64"/>
      <c r="F193" s="158"/>
      <c r="G193" s="64"/>
      <c r="H193" s="158"/>
      <c r="I193" s="159"/>
      <c r="J193" s="64"/>
      <c r="K193" s="64"/>
      <c r="L193" s="64"/>
      <c r="M193" s="64"/>
      <c r="N193" s="64"/>
      <c r="O193" s="64"/>
      <c r="P193" s="64"/>
      <c r="Q193" s="64"/>
      <c r="R193" s="64"/>
      <c r="S193" s="64"/>
      <c r="T193" s="64"/>
      <c r="U193" s="64"/>
      <c r="V193" s="64"/>
      <c r="W193" s="57"/>
      <c r="X193" s="57"/>
      <c r="Y193" s="57"/>
    </row>
    <row r="194">
      <c r="B194" s="157" t="s">
        <v>128</v>
      </c>
      <c r="C194" s="157">
        <f>if(countif(F186:F193,F194)&gt;1,0,2)</f>
        <v>2</v>
      </c>
      <c r="D194" s="157"/>
      <c r="E194" s="64"/>
      <c r="F194" s="158"/>
      <c r="G194" s="64"/>
      <c r="H194" s="158"/>
      <c r="I194" s="159"/>
      <c r="J194" s="64"/>
      <c r="K194" s="64"/>
      <c r="L194" s="64"/>
      <c r="M194" s="64"/>
      <c r="N194" s="64"/>
      <c r="O194" s="64"/>
      <c r="P194" s="64"/>
      <c r="Q194" s="64"/>
      <c r="R194" s="64"/>
      <c r="S194" s="64"/>
      <c r="T194" s="64"/>
      <c r="U194" s="64"/>
      <c r="V194" s="64"/>
      <c r="W194" s="57"/>
      <c r="X194" s="57"/>
      <c r="Y194" s="57"/>
    </row>
    <row r="195">
      <c r="B195" s="157" t="s">
        <v>129</v>
      </c>
      <c r="C195" s="157">
        <f>if(countif(F186:F194,F195)&gt;1,0,1)</f>
        <v>1</v>
      </c>
      <c r="D195" s="157"/>
      <c r="E195" s="64"/>
      <c r="F195" s="158"/>
      <c r="G195" s="64"/>
      <c r="H195" s="158"/>
      <c r="I195" s="159"/>
      <c r="J195" s="64"/>
      <c r="K195" s="64"/>
      <c r="L195" s="64"/>
      <c r="M195" s="64"/>
      <c r="N195" s="64"/>
      <c r="O195" s="64"/>
      <c r="P195" s="64"/>
      <c r="Q195" s="64"/>
      <c r="R195" s="64"/>
      <c r="S195" s="64"/>
      <c r="T195" s="64"/>
      <c r="U195" s="64"/>
      <c r="V195" s="64"/>
      <c r="W195" s="57"/>
      <c r="X195" s="160">
        <v>1.0</v>
      </c>
      <c r="Y195" s="57"/>
    </row>
    <row r="196">
      <c r="A196" s="67">
        <v>220.0</v>
      </c>
      <c r="B196" s="68" t="s">
        <v>542</v>
      </c>
      <c r="C196" s="68">
        <v>0.0</v>
      </c>
      <c r="D196" s="68"/>
      <c r="E196" s="69"/>
      <c r="F196" s="70"/>
      <c r="G196" s="69"/>
      <c r="H196" s="70"/>
      <c r="I196" s="71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156"/>
      <c r="X196" s="161">
        <v>2.0</v>
      </c>
      <c r="Y196" s="156"/>
    </row>
    <row r="197">
      <c r="B197" s="68" t="s">
        <v>543</v>
      </c>
      <c r="C197" s="68">
        <v>0.0</v>
      </c>
      <c r="D197" s="68"/>
      <c r="E197" s="69"/>
      <c r="F197" s="70"/>
      <c r="G197" s="69"/>
      <c r="H197" s="70"/>
      <c r="I197" s="71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156"/>
      <c r="X197" s="156"/>
      <c r="Y197" s="156"/>
    </row>
    <row r="198">
      <c r="B198" s="68" t="s">
        <v>544</v>
      </c>
      <c r="C198" s="68">
        <v>0.0</v>
      </c>
      <c r="D198" s="68"/>
      <c r="E198" s="69"/>
      <c r="F198" s="70"/>
      <c r="G198" s="69"/>
      <c r="H198" s="70"/>
      <c r="I198" s="71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156"/>
      <c r="X198" s="156"/>
      <c r="Y198" s="156"/>
    </row>
    <row r="199">
      <c r="B199" s="68" t="s">
        <v>545</v>
      </c>
      <c r="C199" s="68">
        <v>0.0</v>
      </c>
      <c r="D199" s="68"/>
      <c r="E199" s="69"/>
      <c r="F199" s="70"/>
      <c r="G199" s="69"/>
      <c r="H199" s="70"/>
      <c r="I199" s="71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156"/>
      <c r="X199" s="156"/>
      <c r="Y199" s="156"/>
    </row>
    <row r="200">
      <c r="B200" s="68" t="s">
        <v>546</v>
      </c>
      <c r="C200" s="68">
        <v>0.0</v>
      </c>
      <c r="D200" s="68"/>
      <c r="E200" s="69"/>
      <c r="F200" s="70"/>
      <c r="G200" s="69"/>
      <c r="H200" s="70"/>
      <c r="I200" s="71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156"/>
      <c r="X200" s="156"/>
      <c r="Y200" s="156"/>
    </row>
    <row r="201">
      <c r="B201" s="68" t="s">
        <v>547</v>
      </c>
      <c r="C201" s="68">
        <v>0.0</v>
      </c>
      <c r="D201" s="68"/>
      <c r="E201" s="69"/>
      <c r="F201" s="70"/>
      <c r="G201" s="69"/>
      <c r="H201" s="70"/>
      <c r="I201" s="71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156"/>
      <c r="X201" s="156"/>
      <c r="Y201" s="156"/>
    </row>
    <row r="202">
      <c r="B202" s="68" t="s">
        <v>548</v>
      </c>
      <c r="C202" s="68">
        <v>0.0</v>
      </c>
      <c r="D202" s="68"/>
      <c r="E202" s="69"/>
      <c r="F202" s="70"/>
      <c r="G202" s="69"/>
      <c r="H202" s="70"/>
      <c r="I202" s="71"/>
      <c r="J202" s="69"/>
      <c r="K202" s="69"/>
      <c r="L202" s="69"/>
      <c r="M202" s="69"/>
      <c r="N202" s="69"/>
      <c r="O202" s="69"/>
      <c r="P202" s="69"/>
      <c r="Q202" s="69"/>
      <c r="R202" s="69"/>
      <c r="S202" s="69"/>
      <c r="T202" s="69"/>
      <c r="U202" s="69"/>
      <c r="V202" s="69"/>
      <c r="W202" s="156"/>
      <c r="X202" s="156"/>
      <c r="Y202" s="156"/>
    </row>
    <row r="203">
      <c r="B203" s="68" t="s">
        <v>549</v>
      </c>
      <c r="C203" s="68">
        <v>0.0</v>
      </c>
      <c r="D203" s="68"/>
      <c r="E203" s="69"/>
      <c r="F203" s="70"/>
      <c r="G203" s="69"/>
      <c r="H203" s="70"/>
      <c r="I203" s="71"/>
      <c r="J203" s="69"/>
      <c r="K203" s="69"/>
      <c r="L203" s="69"/>
      <c r="M203" s="69"/>
      <c r="N203" s="69"/>
      <c r="O203" s="69"/>
      <c r="P203" s="69"/>
      <c r="Q203" s="69"/>
      <c r="R203" s="69"/>
      <c r="S203" s="69"/>
      <c r="T203" s="69"/>
      <c r="U203" s="69"/>
      <c r="V203" s="69"/>
      <c r="W203" s="156"/>
      <c r="X203" s="156"/>
      <c r="Y203" s="156"/>
    </row>
    <row r="204">
      <c r="B204" s="68" t="s">
        <v>550</v>
      </c>
      <c r="C204" s="68">
        <v>0.0</v>
      </c>
      <c r="D204" s="68"/>
      <c r="E204" s="69"/>
      <c r="F204" s="70"/>
      <c r="G204" s="69"/>
      <c r="H204" s="70"/>
      <c r="I204" s="71"/>
      <c r="J204" s="69"/>
      <c r="K204" s="69"/>
      <c r="L204" s="69"/>
      <c r="M204" s="69"/>
      <c r="N204" s="69"/>
      <c r="O204" s="69"/>
      <c r="P204" s="69"/>
      <c r="Q204" s="69"/>
      <c r="R204" s="69"/>
      <c r="S204" s="69"/>
      <c r="T204" s="69"/>
      <c r="U204" s="69"/>
      <c r="V204" s="69"/>
      <c r="W204" s="156"/>
      <c r="X204" s="156"/>
      <c r="Y204" s="156"/>
    </row>
    <row r="205">
      <c r="B205" s="68" t="s">
        <v>551</v>
      </c>
      <c r="C205" s="68">
        <v>0.0</v>
      </c>
      <c r="D205" s="68"/>
      <c r="E205" s="69"/>
      <c r="F205" s="70"/>
      <c r="G205" s="69"/>
      <c r="H205" s="70"/>
      <c r="I205" s="71"/>
      <c r="J205" s="69"/>
      <c r="K205" s="69"/>
      <c r="L205" s="69"/>
      <c r="M205" s="69"/>
      <c r="N205" s="69"/>
      <c r="O205" s="69"/>
      <c r="P205" s="69"/>
      <c r="Q205" s="69"/>
      <c r="R205" s="69"/>
      <c r="S205" s="69"/>
      <c r="T205" s="69"/>
      <c r="U205" s="69"/>
      <c r="V205" s="69"/>
      <c r="W205" s="156"/>
      <c r="X205" s="156"/>
      <c r="Y205" s="156"/>
    </row>
    <row r="206">
      <c r="A206" s="58">
        <v>242.0</v>
      </c>
      <c r="B206" s="157" t="s">
        <v>120</v>
      </c>
      <c r="C206" s="157">
        <v>12.0</v>
      </c>
      <c r="D206" s="157" t="str">
        <f>IFERROR(__xludf.DUMMYFUNCTION("ARRAY_CONSTRAIN(filter('All Platforms'!A3:T1802,'All Platforms'!A3:A1802=""242 V""),20,20)"),"#N/A")</f>
        <v>#N/A</v>
      </c>
      <c r="E206" s="64"/>
      <c r="F206" s="158"/>
      <c r="G206" s="64"/>
      <c r="H206" s="158"/>
      <c r="I206" s="159"/>
      <c r="J206" s="64"/>
      <c r="K206" s="64"/>
      <c r="L206" s="64"/>
      <c r="M206" s="64"/>
      <c r="N206" s="64"/>
      <c r="O206" s="64"/>
      <c r="P206" s="64"/>
      <c r="Q206" s="64"/>
      <c r="R206" s="64"/>
      <c r="S206" s="64"/>
      <c r="T206" s="64"/>
      <c r="U206" s="64"/>
      <c r="V206" s="64"/>
      <c r="W206" s="57"/>
      <c r="X206" s="57"/>
      <c r="Y206" s="57"/>
    </row>
    <row r="207">
      <c r="B207" s="157" t="s">
        <v>121</v>
      </c>
      <c r="C207" s="157">
        <v>9.0</v>
      </c>
      <c r="D207" s="157"/>
      <c r="E207" s="64"/>
      <c r="F207" s="158"/>
      <c r="G207" s="64"/>
      <c r="H207" s="158"/>
      <c r="I207" s="159"/>
      <c r="J207" s="64"/>
      <c r="K207" s="64"/>
      <c r="L207" s="64"/>
      <c r="M207" s="64"/>
      <c r="N207" s="64"/>
      <c r="O207" s="64"/>
      <c r="P207" s="64"/>
      <c r="Q207" s="64"/>
      <c r="R207" s="64"/>
      <c r="S207" s="64"/>
      <c r="T207" s="64"/>
      <c r="U207" s="64"/>
      <c r="V207" s="64"/>
      <c r="W207" s="57"/>
      <c r="X207" s="57"/>
      <c r="Y207" s="57"/>
    </row>
    <row r="208">
      <c r="B208" s="157" t="s">
        <v>122</v>
      </c>
      <c r="C208" s="157">
        <f>if(countif(F206:F207,F208)&gt;1,0,8)</f>
        <v>8</v>
      </c>
      <c r="D208" s="157"/>
      <c r="E208" s="64"/>
      <c r="F208" s="158"/>
      <c r="G208" s="64"/>
      <c r="H208" s="158"/>
      <c r="I208" s="159"/>
      <c r="J208" s="64"/>
      <c r="K208" s="64"/>
      <c r="L208" s="64"/>
      <c r="M208" s="64"/>
      <c r="N208" s="64"/>
      <c r="O208" s="64"/>
      <c r="P208" s="64"/>
      <c r="Q208" s="64"/>
      <c r="R208" s="64"/>
      <c r="S208" s="64"/>
      <c r="T208" s="64"/>
      <c r="U208" s="64"/>
      <c r="V208" s="64"/>
      <c r="W208" s="57"/>
      <c r="X208" s="57"/>
      <c r="Y208" s="57"/>
    </row>
    <row r="209">
      <c r="B209" s="157" t="s">
        <v>123</v>
      </c>
      <c r="C209" s="157">
        <f>if(countif(F206:F208,F209)&gt;1,0,7)</f>
        <v>7</v>
      </c>
      <c r="D209" s="157"/>
      <c r="E209" s="64"/>
      <c r="F209" s="158"/>
      <c r="G209" s="64"/>
      <c r="H209" s="158"/>
      <c r="I209" s="159"/>
      <c r="J209" s="64"/>
      <c r="K209" s="64"/>
      <c r="L209" s="64"/>
      <c r="M209" s="64"/>
      <c r="N209" s="64"/>
      <c r="O209" s="64"/>
      <c r="P209" s="64"/>
      <c r="Q209" s="64"/>
      <c r="R209" s="64"/>
      <c r="S209" s="64"/>
      <c r="T209" s="64"/>
      <c r="U209" s="64"/>
      <c r="V209" s="64"/>
      <c r="W209" s="57"/>
      <c r="X209" s="57"/>
      <c r="Y209" s="57"/>
    </row>
    <row r="210">
      <c r="B210" s="157" t="s">
        <v>124</v>
      </c>
      <c r="C210" s="157">
        <f>if(countif(F206:F209,F210)&gt;1,0,6)</f>
        <v>6</v>
      </c>
      <c r="D210" s="157"/>
      <c r="E210" s="64"/>
      <c r="F210" s="158"/>
      <c r="G210" s="64"/>
      <c r="H210" s="158"/>
      <c r="I210" s="159"/>
      <c r="J210" s="64"/>
      <c r="K210" s="64"/>
      <c r="L210" s="64"/>
      <c r="M210" s="64"/>
      <c r="N210" s="64"/>
      <c r="O210" s="64"/>
      <c r="P210" s="64"/>
      <c r="Q210" s="64"/>
      <c r="R210" s="64"/>
      <c r="S210" s="64"/>
      <c r="T210" s="64"/>
      <c r="U210" s="64"/>
      <c r="V210" s="64"/>
      <c r="W210" s="57"/>
      <c r="X210" s="57"/>
      <c r="Y210" s="57"/>
    </row>
    <row r="211">
      <c r="B211" s="157" t="s">
        <v>125</v>
      </c>
      <c r="C211" s="157">
        <f>if(countif(F206:F210,F211)&gt;1,0,5)</f>
        <v>5</v>
      </c>
      <c r="D211" s="157"/>
      <c r="E211" s="64"/>
      <c r="F211" s="158"/>
      <c r="G211" s="64"/>
      <c r="H211" s="158"/>
      <c r="I211" s="159"/>
      <c r="J211" s="64"/>
      <c r="K211" s="64"/>
      <c r="L211" s="64"/>
      <c r="M211" s="64"/>
      <c r="N211" s="64"/>
      <c r="O211" s="64"/>
      <c r="P211" s="64"/>
      <c r="Q211" s="64"/>
      <c r="R211" s="64"/>
      <c r="S211" s="64"/>
      <c r="T211" s="64"/>
      <c r="U211" s="64"/>
      <c r="V211" s="64"/>
      <c r="W211" s="57"/>
      <c r="X211" s="57"/>
      <c r="Y211" s="57"/>
    </row>
    <row r="212">
      <c r="B212" s="157" t="s">
        <v>126</v>
      </c>
      <c r="C212" s="157">
        <f>if(countif(F206:F211,F212)&gt;1,0,4)</f>
        <v>4</v>
      </c>
      <c r="D212" s="157"/>
      <c r="E212" s="64"/>
      <c r="F212" s="158"/>
      <c r="G212" s="64"/>
      <c r="H212" s="158"/>
      <c r="I212" s="159"/>
      <c r="J212" s="64"/>
      <c r="K212" s="64"/>
      <c r="L212" s="64"/>
      <c r="M212" s="64"/>
      <c r="N212" s="64"/>
      <c r="O212" s="64"/>
      <c r="P212" s="64"/>
      <c r="Q212" s="64"/>
      <c r="R212" s="64"/>
      <c r="S212" s="64"/>
      <c r="T212" s="64"/>
      <c r="U212" s="64"/>
      <c r="V212" s="64"/>
      <c r="W212" s="57"/>
      <c r="X212" s="57"/>
      <c r="Y212" s="57"/>
    </row>
    <row r="213">
      <c r="B213" s="157" t="s">
        <v>127</v>
      </c>
      <c r="C213" s="157">
        <f>if(countif(F206:F212,F213)&gt;1,0,3)</f>
        <v>3</v>
      </c>
      <c r="D213" s="157"/>
      <c r="E213" s="64"/>
      <c r="F213" s="158"/>
      <c r="G213" s="64"/>
      <c r="H213" s="158"/>
      <c r="I213" s="159"/>
      <c r="J213" s="64"/>
      <c r="K213" s="64"/>
      <c r="L213" s="64"/>
      <c r="M213" s="64"/>
      <c r="N213" s="64"/>
      <c r="O213" s="64"/>
      <c r="P213" s="64"/>
      <c r="Q213" s="64"/>
      <c r="R213" s="64"/>
      <c r="S213" s="64"/>
      <c r="T213" s="64"/>
      <c r="U213" s="64"/>
      <c r="V213" s="64"/>
      <c r="W213" s="57"/>
      <c r="X213" s="57"/>
      <c r="Y213" s="57"/>
    </row>
    <row r="214">
      <c r="B214" s="157" t="s">
        <v>128</v>
      </c>
      <c r="C214" s="157">
        <f>if(countif(F206:F213,F214)&gt;1,0,2)</f>
        <v>2</v>
      </c>
      <c r="D214" s="157"/>
      <c r="E214" s="64"/>
      <c r="F214" s="158"/>
      <c r="G214" s="64"/>
      <c r="H214" s="158"/>
      <c r="I214" s="159"/>
      <c r="J214" s="64"/>
      <c r="K214" s="64"/>
      <c r="L214" s="64"/>
      <c r="M214" s="64"/>
      <c r="N214" s="64"/>
      <c r="O214" s="64"/>
      <c r="P214" s="64"/>
      <c r="Q214" s="64"/>
      <c r="R214" s="64"/>
      <c r="S214" s="64"/>
      <c r="T214" s="64"/>
      <c r="U214" s="64"/>
      <c r="V214" s="64"/>
      <c r="W214" s="57"/>
      <c r="X214" s="57"/>
      <c r="Y214" s="57"/>
    </row>
    <row r="215">
      <c r="B215" s="157" t="s">
        <v>129</v>
      </c>
      <c r="C215" s="157">
        <f>if(countif(F206:F214,F215)&gt;1,0,1)</f>
        <v>1</v>
      </c>
      <c r="D215" s="157"/>
      <c r="E215" s="64"/>
      <c r="F215" s="158"/>
      <c r="G215" s="64"/>
      <c r="H215" s="158"/>
      <c r="I215" s="159"/>
      <c r="J215" s="64"/>
      <c r="K215" s="64"/>
      <c r="L215" s="64"/>
      <c r="M215" s="64"/>
      <c r="N215" s="64"/>
      <c r="O215" s="64"/>
      <c r="P215" s="64"/>
      <c r="Q215" s="64"/>
      <c r="R215" s="64"/>
      <c r="S215" s="64"/>
      <c r="T215" s="64"/>
      <c r="U215" s="64"/>
      <c r="V215" s="64"/>
      <c r="W215" s="57"/>
      <c r="X215" s="57"/>
      <c r="Y215" s="57"/>
    </row>
    <row r="216">
      <c r="A216" s="67">
        <v>242.0</v>
      </c>
      <c r="B216" s="68" t="s">
        <v>542</v>
      </c>
      <c r="C216" s="68">
        <v>0.0</v>
      </c>
      <c r="D216" s="68"/>
      <c r="E216" s="69"/>
      <c r="F216" s="70"/>
      <c r="G216" s="69"/>
      <c r="H216" s="70"/>
      <c r="I216" s="71"/>
      <c r="J216" s="69"/>
      <c r="K216" s="69"/>
      <c r="L216" s="69"/>
      <c r="M216" s="69"/>
      <c r="N216" s="69"/>
      <c r="O216" s="69"/>
      <c r="P216" s="69"/>
      <c r="Q216" s="69"/>
      <c r="R216" s="69"/>
      <c r="S216" s="69"/>
      <c r="T216" s="69"/>
      <c r="U216" s="69"/>
      <c r="V216" s="69"/>
      <c r="W216" s="156"/>
      <c r="X216" s="156"/>
      <c r="Y216" s="156"/>
    </row>
    <row r="217">
      <c r="B217" s="68" t="s">
        <v>543</v>
      </c>
      <c r="C217" s="68">
        <v>0.0</v>
      </c>
      <c r="D217" s="68"/>
      <c r="E217" s="69"/>
      <c r="F217" s="70"/>
      <c r="G217" s="69"/>
      <c r="H217" s="70"/>
      <c r="I217" s="71"/>
      <c r="J217" s="69"/>
      <c r="K217" s="69"/>
      <c r="L217" s="69"/>
      <c r="M217" s="69"/>
      <c r="N217" s="69"/>
      <c r="O217" s="69"/>
      <c r="P217" s="69"/>
      <c r="Q217" s="69"/>
      <c r="R217" s="69"/>
      <c r="S217" s="69"/>
      <c r="T217" s="69"/>
      <c r="U217" s="69"/>
      <c r="V217" s="69"/>
      <c r="W217" s="156"/>
      <c r="X217" s="156"/>
      <c r="Y217" s="156"/>
    </row>
    <row r="218">
      <c r="B218" s="68" t="s">
        <v>544</v>
      </c>
      <c r="C218" s="68">
        <v>0.0</v>
      </c>
      <c r="D218" s="68"/>
      <c r="E218" s="69"/>
      <c r="F218" s="70"/>
      <c r="G218" s="69"/>
      <c r="H218" s="70"/>
      <c r="I218" s="71"/>
      <c r="J218" s="69"/>
      <c r="K218" s="69"/>
      <c r="L218" s="69"/>
      <c r="M218" s="69"/>
      <c r="N218" s="69"/>
      <c r="O218" s="69"/>
      <c r="P218" s="69"/>
      <c r="Q218" s="69"/>
      <c r="R218" s="69"/>
      <c r="S218" s="69"/>
      <c r="T218" s="69"/>
      <c r="U218" s="69"/>
      <c r="V218" s="69"/>
      <c r="W218" s="156"/>
      <c r="X218" s="156"/>
      <c r="Y218" s="156"/>
    </row>
    <row r="219">
      <c r="B219" s="68" t="s">
        <v>545</v>
      </c>
      <c r="C219" s="68">
        <v>0.0</v>
      </c>
      <c r="D219" s="68"/>
      <c r="E219" s="69"/>
      <c r="F219" s="70"/>
      <c r="G219" s="69"/>
      <c r="H219" s="70"/>
      <c r="I219" s="71"/>
      <c r="J219" s="69"/>
      <c r="K219" s="69"/>
      <c r="L219" s="69"/>
      <c r="M219" s="69"/>
      <c r="N219" s="69"/>
      <c r="O219" s="69"/>
      <c r="P219" s="69"/>
      <c r="Q219" s="69"/>
      <c r="R219" s="69"/>
      <c r="S219" s="69"/>
      <c r="T219" s="69"/>
      <c r="U219" s="69"/>
      <c r="V219" s="69"/>
      <c r="W219" s="156"/>
      <c r="X219" s="156"/>
      <c r="Y219" s="156"/>
    </row>
    <row r="220">
      <c r="B220" s="68" t="s">
        <v>546</v>
      </c>
      <c r="C220" s="68">
        <v>0.0</v>
      </c>
      <c r="D220" s="68"/>
      <c r="E220" s="69"/>
      <c r="F220" s="70"/>
      <c r="G220" s="69"/>
      <c r="H220" s="70"/>
      <c r="I220" s="71"/>
      <c r="J220" s="69"/>
      <c r="K220" s="69"/>
      <c r="L220" s="69"/>
      <c r="M220" s="69"/>
      <c r="N220" s="69"/>
      <c r="O220" s="69"/>
      <c r="P220" s="69"/>
      <c r="Q220" s="69"/>
      <c r="R220" s="69"/>
      <c r="S220" s="69"/>
      <c r="T220" s="69"/>
      <c r="U220" s="69"/>
      <c r="V220" s="69"/>
      <c r="W220" s="156"/>
      <c r="X220" s="156"/>
      <c r="Y220" s="156"/>
    </row>
    <row r="221">
      <c r="B221" s="68" t="s">
        <v>547</v>
      </c>
      <c r="C221" s="68">
        <v>0.0</v>
      </c>
      <c r="D221" s="68"/>
      <c r="E221" s="69"/>
      <c r="F221" s="70"/>
      <c r="G221" s="69"/>
      <c r="H221" s="70"/>
      <c r="I221" s="71"/>
      <c r="J221" s="69"/>
      <c r="K221" s="69"/>
      <c r="L221" s="69"/>
      <c r="M221" s="69"/>
      <c r="N221" s="69"/>
      <c r="O221" s="69"/>
      <c r="P221" s="69"/>
      <c r="Q221" s="69"/>
      <c r="R221" s="69"/>
      <c r="S221" s="69"/>
      <c r="T221" s="69"/>
      <c r="U221" s="69"/>
      <c r="V221" s="69"/>
      <c r="W221" s="156"/>
      <c r="X221" s="156"/>
      <c r="Y221" s="156"/>
    </row>
    <row r="222">
      <c r="B222" s="68" t="s">
        <v>548</v>
      </c>
      <c r="C222" s="68">
        <v>0.0</v>
      </c>
      <c r="D222" s="68"/>
      <c r="E222" s="69"/>
      <c r="F222" s="70"/>
      <c r="G222" s="69"/>
      <c r="H222" s="70"/>
      <c r="I222" s="71"/>
      <c r="J222" s="69"/>
      <c r="K222" s="69"/>
      <c r="L222" s="69"/>
      <c r="M222" s="69"/>
      <c r="N222" s="69"/>
      <c r="O222" s="69"/>
      <c r="P222" s="69"/>
      <c r="Q222" s="69"/>
      <c r="R222" s="69"/>
      <c r="S222" s="69"/>
      <c r="T222" s="69"/>
      <c r="U222" s="69"/>
      <c r="V222" s="69"/>
      <c r="W222" s="156"/>
      <c r="X222" s="156"/>
      <c r="Y222" s="156"/>
    </row>
    <row r="223">
      <c r="B223" s="68" t="s">
        <v>549</v>
      </c>
      <c r="C223" s="68">
        <v>0.0</v>
      </c>
      <c r="D223" s="68"/>
      <c r="E223" s="69"/>
      <c r="F223" s="70"/>
      <c r="G223" s="69"/>
      <c r="H223" s="70"/>
      <c r="I223" s="71"/>
      <c r="J223" s="69"/>
      <c r="K223" s="69"/>
      <c r="L223" s="69"/>
      <c r="M223" s="69"/>
      <c r="N223" s="69"/>
      <c r="O223" s="69"/>
      <c r="P223" s="69"/>
      <c r="Q223" s="69"/>
      <c r="R223" s="69"/>
      <c r="S223" s="69"/>
      <c r="T223" s="69"/>
      <c r="U223" s="69"/>
      <c r="V223" s="69"/>
      <c r="W223" s="156"/>
      <c r="X223" s="156"/>
      <c r="Y223" s="156"/>
    </row>
    <row r="224">
      <c r="B224" s="68" t="s">
        <v>550</v>
      </c>
      <c r="C224" s="68">
        <v>0.0</v>
      </c>
      <c r="D224" s="68"/>
      <c r="E224" s="69"/>
      <c r="F224" s="70"/>
      <c r="G224" s="69"/>
      <c r="H224" s="70"/>
      <c r="I224" s="71"/>
      <c r="J224" s="69"/>
      <c r="K224" s="69"/>
      <c r="L224" s="69"/>
      <c r="M224" s="69"/>
      <c r="N224" s="69"/>
      <c r="O224" s="69"/>
      <c r="P224" s="69"/>
      <c r="Q224" s="69"/>
      <c r="R224" s="69"/>
      <c r="S224" s="69"/>
      <c r="T224" s="69"/>
      <c r="U224" s="69"/>
      <c r="V224" s="69"/>
      <c r="W224" s="156"/>
      <c r="X224" s="156"/>
      <c r="Y224" s="156"/>
    </row>
    <row r="225">
      <c r="B225" s="68" t="s">
        <v>551</v>
      </c>
      <c r="C225" s="68">
        <v>0.0</v>
      </c>
      <c r="D225" s="68"/>
      <c r="E225" s="69"/>
      <c r="F225" s="70"/>
      <c r="G225" s="69"/>
      <c r="H225" s="70"/>
      <c r="I225" s="71"/>
      <c r="J225" s="69"/>
      <c r="K225" s="69"/>
      <c r="L225" s="69"/>
      <c r="M225" s="69"/>
      <c r="N225" s="69"/>
      <c r="O225" s="69"/>
      <c r="P225" s="69"/>
      <c r="Q225" s="69"/>
      <c r="R225" s="69"/>
      <c r="S225" s="69"/>
      <c r="T225" s="69"/>
      <c r="U225" s="69"/>
      <c r="V225" s="69"/>
      <c r="W225" s="156"/>
      <c r="X225" s="156"/>
      <c r="Y225" s="156"/>
    </row>
    <row r="226">
      <c r="A226" s="58">
        <v>275.0</v>
      </c>
      <c r="B226" s="157" t="s">
        <v>120</v>
      </c>
      <c r="C226" s="157">
        <v>12.0</v>
      </c>
      <c r="D226" s="157" t="str">
        <f>IFERROR(__xludf.DUMMYFUNCTION("ARRAY_CONSTRAIN(filter('All Platforms'!A3:T1802,'All Platforms'!A3:A1802=""275 V""),20,20)"),"#N/A")</f>
        <v>#N/A</v>
      </c>
      <c r="E226" s="64"/>
      <c r="F226" s="158"/>
      <c r="G226" s="64"/>
      <c r="H226" s="158"/>
      <c r="I226" s="159"/>
      <c r="J226" s="64"/>
      <c r="K226" s="64"/>
      <c r="L226" s="64"/>
      <c r="M226" s="64"/>
      <c r="N226" s="64"/>
      <c r="O226" s="64"/>
      <c r="P226" s="64"/>
      <c r="Q226" s="64"/>
      <c r="R226" s="64"/>
      <c r="S226" s="64"/>
      <c r="T226" s="64"/>
      <c r="U226" s="64"/>
      <c r="V226" s="64"/>
      <c r="W226" s="57"/>
      <c r="X226" s="57"/>
      <c r="Y226" s="57"/>
    </row>
    <row r="227">
      <c r="B227" s="157" t="s">
        <v>121</v>
      </c>
      <c r="C227" s="157">
        <v>9.0</v>
      </c>
      <c r="D227" s="157"/>
      <c r="E227" s="64"/>
      <c r="F227" s="158"/>
      <c r="G227" s="64"/>
      <c r="H227" s="158"/>
      <c r="I227" s="159"/>
      <c r="J227" s="64"/>
      <c r="K227" s="64"/>
      <c r="L227" s="64"/>
      <c r="M227" s="64"/>
      <c r="N227" s="64"/>
      <c r="O227" s="64"/>
      <c r="P227" s="64"/>
      <c r="Q227" s="64"/>
      <c r="R227" s="64"/>
      <c r="S227" s="64"/>
      <c r="T227" s="64"/>
      <c r="U227" s="64"/>
      <c r="V227" s="64"/>
      <c r="W227" s="57"/>
      <c r="X227" s="57"/>
      <c r="Y227" s="57"/>
    </row>
    <row r="228">
      <c r="B228" s="157" t="s">
        <v>122</v>
      </c>
      <c r="C228" s="157">
        <f>if(countif(F226:F227,F228)&gt;1,0,8)</f>
        <v>8</v>
      </c>
      <c r="D228" s="157"/>
      <c r="E228" s="64"/>
      <c r="F228" s="158"/>
      <c r="G228" s="64"/>
      <c r="H228" s="158"/>
      <c r="I228" s="159"/>
      <c r="J228" s="64"/>
      <c r="K228" s="64"/>
      <c r="L228" s="64"/>
      <c r="M228" s="64"/>
      <c r="N228" s="64"/>
      <c r="O228" s="64"/>
      <c r="P228" s="64"/>
      <c r="Q228" s="64"/>
      <c r="R228" s="64"/>
      <c r="S228" s="64"/>
      <c r="T228" s="64"/>
      <c r="U228" s="64"/>
      <c r="V228" s="64"/>
      <c r="W228" s="57"/>
      <c r="X228" s="57"/>
      <c r="Y228" s="57"/>
    </row>
    <row r="229">
      <c r="B229" s="157" t="s">
        <v>123</v>
      </c>
      <c r="C229" s="157">
        <f>if(countif(F226:F228,F229)&gt;1,0,7)</f>
        <v>7</v>
      </c>
      <c r="D229" s="157"/>
      <c r="E229" s="64"/>
      <c r="F229" s="158"/>
      <c r="G229" s="64"/>
      <c r="H229" s="158"/>
      <c r="I229" s="159"/>
      <c r="J229" s="64"/>
      <c r="K229" s="64"/>
      <c r="L229" s="64"/>
      <c r="M229" s="64"/>
      <c r="N229" s="64"/>
      <c r="O229" s="64"/>
      <c r="P229" s="64"/>
      <c r="Q229" s="64"/>
      <c r="R229" s="64"/>
      <c r="S229" s="64"/>
      <c r="T229" s="64"/>
      <c r="U229" s="64"/>
      <c r="V229" s="64"/>
      <c r="W229" s="57"/>
      <c r="X229" s="57"/>
      <c r="Y229" s="57"/>
    </row>
    <row r="230">
      <c r="B230" s="157" t="s">
        <v>124</v>
      </c>
      <c r="C230" s="157">
        <f>if(countif(F226:F229,F230)&gt;1,0,6)</f>
        <v>6</v>
      </c>
      <c r="D230" s="157"/>
      <c r="E230" s="64"/>
      <c r="F230" s="158"/>
      <c r="G230" s="64"/>
      <c r="H230" s="158"/>
      <c r="I230" s="159"/>
      <c r="J230" s="64"/>
      <c r="K230" s="64"/>
      <c r="L230" s="64"/>
      <c r="M230" s="64"/>
      <c r="N230" s="64"/>
      <c r="O230" s="64"/>
      <c r="P230" s="64"/>
      <c r="Q230" s="64"/>
      <c r="R230" s="64"/>
      <c r="S230" s="64"/>
      <c r="T230" s="64"/>
      <c r="U230" s="64"/>
      <c r="V230" s="64"/>
      <c r="W230" s="57"/>
      <c r="X230" s="57"/>
      <c r="Y230" s="57"/>
    </row>
    <row r="231">
      <c r="B231" s="157" t="s">
        <v>125</v>
      </c>
      <c r="C231" s="157">
        <f>if(countif(F226:F230,F231)&gt;1,0,5)</f>
        <v>5</v>
      </c>
      <c r="D231" s="157"/>
      <c r="E231" s="64"/>
      <c r="F231" s="158"/>
      <c r="G231" s="64"/>
      <c r="H231" s="158"/>
      <c r="I231" s="159"/>
      <c r="J231" s="64"/>
      <c r="K231" s="64"/>
      <c r="L231" s="64"/>
      <c r="M231" s="64"/>
      <c r="N231" s="64"/>
      <c r="O231" s="64"/>
      <c r="P231" s="64"/>
      <c r="Q231" s="64"/>
      <c r="R231" s="64"/>
      <c r="S231" s="64"/>
      <c r="T231" s="64"/>
      <c r="U231" s="64"/>
      <c r="V231" s="64"/>
      <c r="W231" s="57"/>
      <c r="X231" s="57"/>
      <c r="Y231" s="57"/>
    </row>
    <row r="232">
      <c r="B232" s="157" t="s">
        <v>126</v>
      </c>
      <c r="C232" s="157">
        <f>if(countif(F226:F231,F232)&gt;1,0,4)</f>
        <v>4</v>
      </c>
      <c r="D232" s="157"/>
      <c r="E232" s="64"/>
      <c r="F232" s="158"/>
      <c r="G232" s="64"/>
      <c r="H232" s="158"/>
      <c r="I232" s="159"/>
      <c r="J232" s="64"/>
      <c r="K232" s="64"/>
      <c r="L232" s="64"/>
      <c r="M232" s="64"/>
      <c r="N232" s="64"/>
      <c r="O232" s="64"/>
      <c r="P232" s="64"/>
      <c r="Q232" s="64"/>
      <c r="R232" s="64"/>
      <c r="S232" s="64"/>
      <c r="T232" s="64"/>
      <c r="U232" s="64"/>
      <c r="V232" s="64"/>
      <c r="W232" s="57"/>
      <c r="X232" s="57"/>
      <c r="Y232" s="57"/>
    </row>
    <row r="233">
      <c r="B233" s="157" t="s">
        <v>127</v>
      </c>
      <c r="C233" s="157">
        <f>if(countif(F226:F232,F233)&gt;1,0,3)</f>
        <v>3</v>
      </c>
      <c r="D233" s="157"/>
      <c r="E233" s="64"/>
      <c r="F233" s="158"/>
      <c r="G233" s="64"/>
      <c r="H233" s="158"/>
      <c r="I233" s="159"/>
      <c r="J233" s="64"/>
      <c r="K233" s="64"/>
      <c r="L233" s="64"/>
      <c r="M233" s="64"/>
      <c r="N233" s="64"/>
      <c r="O233" s="64"/>
      <c r="P233" s="64"/>
      <c r="Q233" s="64"/>
      <c r="R233" s="64"/>
      <c r="S233" s="64"/>
      <c r="T233" s="64"/>
      <c r="U233" s="64"/>
      <c r="V233" s="64"/>
      <c r="W233" s="57"/>
      <c r="X233" s="57"/>
      <c r="Y233" s="57"/>
    </row>
    <row r="234">
      <c r="B234" s="157" t="s">
        <v>128</v>
      </c>
      <c r="C234" s="157">
        <f>if(countif(F226:F233,F234)&gt;1,0,2)</f>
        <v>2</v>
      </c>
      <c r="D234" s="157"/>
      <c r="E234" s="64"/>
      <c r="F234" s="158"/>
      <c r="G234" s="64"/>
      <c r="H234" s="158"/>
      <c r="I234" s="159"/>
      <c r="J234" s="64"/>
      <c r="K234" s="64"/>
      <c r="L234" s="64"/>
      <c r="M234" s="64"/>
      <c r="N234" s="64"/>
      <c r="O234" s="64"/>
      <c r="P234" s="64"/>
      <c r="Q234" s="64"/>
      <c r="R234" s="64"/>
      <c r="S234" s="64"/>
      <c r="T234" s="64"/>
      <c r="U234" s="64"/>
      <c r="V234" s="64"/>
      <c r="W234" s="57"/>
      <c r="X234" s="57"/>
      <c r="Y234" s="57"/>
    </row>
    <row r="235">
      <c r="B235" s="157" t="s">
        <v>129</v>
      </c>
      <c r="C235" s="157">
        <f>if(countif(F226:F234,F235)&gt;1,0,1)</f>
        <v>1</v>
      </c>
      <c r="D235" s="157"/>
      <c r="E235" s="64"/>
      <c r="F235" s="158"/>
      <c r="G235" s="64"/>
      <c r="H235" s="158"/>
      <c r="I235" s="159"/>
      <c r="J235" s="64"/>
      <c r="K235" s="64"/>
      <c r="L235" s="64"/>
      <c r="M235" s="64"/>
      <c r="N235" s="64"/>
      <c r="O235" s="64"/>
      <c r="P235" s="64"/>
      <c r="Q235" s="64"/>
      <c r="R235" s="64"/>
      <c r="S235" s="64"/>
      <c r="T235" s="64"/>
      <c r="U235" s="64"/>
      <c r="V235" s="64"/>
      <c r="W235" s="57"/>
      <c r="X235" s="57"/>
      <c r="Y235" s="57"/>
    </row>
    <row r="236">
      <c r="A236" s="67">
        <v>275.0</v>
      </c>
      <c r="B236" s="68" t="s">
        <v>542</v>
      </c>
      <c r="C236" s="68">
        <v>0.0</v>
      </c>
      <c r="D236" s="68"/>
      <c r="E236" s="69"/>
      <c r="F236" s="70"/>
      <c r="G236" s="69"/>
      <c r="H236" s="70"/>
      <c r="I236" s="71"/>
      <c r="J236" s="69"/>
      <c r="K236" s="69"/>
      <c r="L236" s="69"/>
      <c r="M236" s="69"/>
      <c r="N236" s="69"/>
      <c r="O236" s="69"/>
      <c r="P236" s="69"/>
      <c r="Q236" s="69"/>
      <c r="R236" s="69"/>
      <c r="S236" s="69"/>
      <c r="T236" s="69"/>
      <c r="U236" s="69"/>
      <c r="V236" s="69"/>
      <c r="W236" s="156"/>
      <c r="X236" s="156"/>
      <c r="Y236" s="156"/>
    </row>
    <row r="237">
      <c r="B237" s="68" t="s">
        <v>543</v>
      </c>
      <c r="C237" s="68">
        <v>0.0</v>
      </c>
      <c r="D237" s="68"/>
      <c r="E237" s="69"/>
      <c r="F237" s="70"/>
      <c r="G237" s="69"/>
      <c r="H237" s="70"/>
      <c r="I237" s="71"/>
      <c r="J237" s="69"/>
      <c r="K237" s="69"/>
      <c r="L237" s="69"/>
      <c r="M237" s="69"/>
      <c r="N237" s="69"/>
      <c r="O237" s="69"/>
      <c r="P237" s="69"/>
      <c r="Q237" s="69"/>
      <c r="R237" s="69"/>
      <c r="S237" s="69"/>
      <c r="T237" s="69"/>
      <c r="U237" s="69"/>
      <c r="V237" s="69"/>
      <c r="W237" s="156"/>
      <c r="X237" s="156"/>
      <c r="Y237" s="156"/>
    </row>
    <row r="238">
      <c r="B238" s="68" t="s">
        <v>544</v>
      </c>
      <c r="C238" s="68">
        <v>0.0</v>
      </c>
      <c r="D238" s="68"/>
      <c r="E238" s="69"/>
      <c r="F238" s="70"/>
      <c r="G238" s="69"/>
      <c r="H238" s="70"/>
      <c r="I238" s="71"/>
      <c r="J238" s="69"/>
      <c r="K238" s="69"/>
      <c r="L238" s="69"/>
      <c r="M238" s="69"/>
      <c r="N238" s="69"/>
      <c r="O238" s="69"/>
      <c r="P238" s="69"/>
      <c r="Q238" s="69"/>
      <c r="R238" s="69"/>
      <c r="S238" s="69"/>
      <c r="T238" s="69"/>
      <c r="U238" s="69"/>
      <c r="V238" s="69"/>
      <c r="W238" s="156"/>
      <c r="X238" s="156"/>
      <c r="Y238" s="156"/>
    </row>
    <row r="239">
      <c r="B239" s="68" t="s">
        <v>545</v>
      </c>
      <c r="C239" s="68">
        <v>0.0</v>
      </c>
      <c r="D239" s="68"/>
      <c r="E239" s="69"/>
      <c r="F239" s="70"/>
      <c r="G239" s="69"/>
      <c r="H239" s="70"/>
      <c r="I239" s="71"/>
      <c r="J239" s="69"/>
      <c r="K239" s="69"/>
      <c r="L239" s="69"/>
      <c r="M239" s="69"/>
      <c r="N239" s="69"/>
      <c r="O239" s="69"/>
      <c r="P239" s="69"/>
      <c r="Q239" s="69"/>
      <c r="R239" s="69"/>
      <c r="S239" s="69"/>
      <c r="T239" s="69"/>
      <c r="U239" s="69"/>
      <c r="V239" s="69"/>
      <c r="W239" s="156"/>
      <c r="X239" s="156"/>
      <c r="Y239" s="156"/>
    </row>
    <row r="240">
      <c r="B240" s="68" t="s">
        <v>546</v>
      </c>
      <c r="C240" s="68">
        <v>0.0</v>
      </c>
      <c r="D240" s="68"/>
      <c r="E240" s="69"/>
      <c r="F240" s="70"/>
      <c r="G240" s="69"/>
      <c r="H240" s="70"/>
      <c r="I240" s="71"/>
      <c r="J240" s="69"/>
      <c r="K240" s="69"/>
      <c r="L240" s="69"/>
      <c r="M240" s="69"/>
      <c r="N240" s="69"/>
      <c r="O240" s="69"/>
      <c r="P240" s="69"/>
      <c r="Q240" s="69"/>
      <c r="R240" s="69"/>
      <c r="S240" s="69"/>
      <c r="T240" s="69"/>
      <c r="U240" s="69"/>
      <c r="V240" s="69"/>
      <c r="W240" s="156"/>
      <c r="X240" s="156"/>
      <c r="Y240" s="156"/>
    </row>
    <row r="241">
      <c r="B241" s="68" t="s">
        <v>547</v>
      </c>
      <c r="C241" s="68">
        <v>0.0</v>
      </c>
      <c r="D241" s="68"/>
      <c r="E241" s="69"/>
      <c r="F241" s="70"/>
      <c r="G241" s="69"/>
      <c r="H241" s="70"/>
      <c r="I241" s="71"/>
      <c r="J241" s="69"/>
      <c r="K241" s="69"/>
      <c r="L241" s="69"/>
      <c r="M241" s="69"/>
      <c r="N241" s="69"/>
      <c r="O241" s="69"/>
      <c r="P241" s="69"/>
      <c r="Q241" s="69"/>
      <c r="R241" s="69"/>
      <c r="S241" s="69"/>
      <c r="T241" s="69"/>
      <c r="U241" s="69"/>
      <c r="V241" s="69"/>
      <c r="W241" s="156"/>
      <c r="X241" s="156"/>
      <c r="Y241" s="156"/>
    </row>
    <row r="242">
      <c r="B242" s="68" t="s">
        <v>548</v>
      </c>
      <c r="C242" s="68">
        <v>0.0</v>
      </c>
      <c r="D242" s="68"/>
      <c r="E242" s="69"/>
      <c r="F242" s="70"/>
      <c r="G242" s="69"/>
      <c r="H242" s="70"/>
      <c r="I242" s="71"/>
      <c r="J242" s="69"/>
      <c r="K242" s="69"/>
      <c r="L242" s="69"/>
      <c r="M242" s="69"/>
      <c r="N242" s="69"/>
      <c r="O242" s="69"/>
      <c r="P242" s="69"/>
      <c r="Q242" s="69"/>
      <c r="R242" s="69"/>
      <c r="S242" s="69"/>
      <c r="T242" s="69"/>
      <c r="U242" s="69"/>
      <c r="V242" s="69"/>
      <c r="W242" s="156"/>
      <c r="X242" s="156"/>
      <c r="Y242" s="156"/>
    </row>
    <row r="243">
      <c r="B243" s="68" t="s">
        <v>549</v>
      </c>
      <c r="C243" s="68">
        <v>0.0</v>
      </c>
      <c r="D243" s="68"/>
      <c r="E243" s="69"/>
      <c r="F243" s="70"/>
      <c r="G243" s="69"/>
      <c r="H243" s="70"/>
      <c r="I243" s="71"/>
      <c r="J243" s="69"/>
      <c r="K243" s="69"/>
      <c r="L243" s="69"/>
      <c r="M243" s="69"/>
      <c r="N243" s="69"/>
      <c r="O243" s="69"/>
      <c r="P243" s="69"/>
      <c r="Q243" s="69"/>
      <c r="R243" s="69"/>
      <c r="S243" s="69"/>
      <c r="T243" s="69"/>
      <c r="U243" s="69"/>
      <c r="V243" s="69"/>
      <c r="W243" s="156"/>
      <c r="X243" s="156"/>
      <c r="Y243" s="156"/>
    </row>
    <row r="244">
      <c r="B244" s="68" t="s">
        <v>550</v>
      </c>
      <c r="C244" s="68">
        <v>0.0</v>
      </c>
      <c r="D244" s="68"/>
      <c r="E244" s="69"/>
      <c r="F244" s="70"/>
      <c r="G244" s="69"/>
      <c r="H244" s="70"/>
      <c r="I244" s="71"/>
      <c r="J244" s="69"/>
      <c r="K244" s="69"/>
      <c r="L244" s="69"/>
      <c r="M244" s="69"/>
      <c r="N244" s="69"/>
      <c r="O244" s="69"/>
      <c r="P244" s="69"/>
      <c r="Q244" s="69"/>
      <c r="R244" s="69"/>
      <c r="S244" s="69"/>
      <c r="T244" s="69"/>
      <c r="U244" s="69"/>
      <c r="V244" s="69"/>
      <c r="W244" s="156"/>
      <c r="X244" s="156"/>
      <c r="Y244" s="156"/>
    </row>
    <row r="245">
      <c r="B245" s="68" t="s">
        <v>551</v>
      </c>
      <c r="C245" s="68">
        <v>0.0</v>
      </c>
      <c r="D245" s="68"/>
      <c r="E245" s="69"/>
      <c r="F245" s="70"/>
      <c r="G245" s="69"/>
      <c r="H245" s="70"/>
      <c r="I245" s="71"/>
      <c r="J245" s="69"/>
      <c r="K245" s="69"/>
      <c r="L245" s="69"/>
      <c r="M245" s="69"/>
      <c r="N245" s="69"/>
      <c r="O245" s="69"/>
      <c r="P245" s="69"/>
      <c r="Q245" s="69"/>
      <c r="R245" s="69"/>
      <c r="S245" s="69"/>
      <c r="T245" s="69"/>
      <c r="U245" s="69"/>
      <c r="V245" s="69"/>
      <c r="W245" s="156"/>
      <c r="X245" s="156"/>
      <c r="Y245" s="156"/>
    </row>
    <row r="246">
      <c r="A246" s="58" t="s">
        <v>130</v>
      </c>
      <c r="B246" s="157" t="s">
        <v>120</v>
      </c>
      <c r="C246" s="157">
        <v>12.0</v>
      </c>
      <c r="D246" s="157" t="str">
        <f>IFERROR(__xludf.DUMMYFUNCTION("ARRAY_CONSTRAIN(filter('All Platforms'!A3:T1802,'All Platforms'!A3:A1802=""SHW V""),20,20)"),"#N/A")</f>
        <v>#N/A</v>
      </c>
      <c r="E246" s="64"/>
      <c r="F246" s="158"/>
      <c r="G246" s="64"/>
      <c r="H246" s="158"/>
      <c r="I246" s="159"/>
      <c r="J246" s="64"/>
      <c r="K246" s="64"/>
      <c r="L246" s="64"/>
      <c r="M246" s="64"/>
      <c r="N246" s="64"/>
      <c r="O246" s="64"/>
      <c r="P246" s="64"/>
      <c r="Q246" s="64"/>
      <c r="R246" s="64"/>
      <c r="S246" s="64"/>
      <c r="T246" s="64"/>
      <c r="U246" s="64"/>
      <c r="V246" s="64"/>
      <c r="W246" s="57"/>
      <c r="X246" s="57"/>
      <c r="Y246" s="57"/>
    </row>
    <row r="247">
      <c r="B247" s="157" t="s">
        <v>121</v>
      </c>
      <c r="C247" s="157">
        <v>9.0</v>
      </c>
      <c r="D247" s="157"/>
      <c r="E247" s="64"/>
      <c r="F247" s="158"/>
      <c r="G247" s="64"/>
      <c r="H247" s="158"/>
      <c r="I247" s="159"/>
      <c r="J247" s="64"/>
      <c r="K247" s="64"/>
      <c r="L247" s="64"/>
      <c r="M247" s="64"/>
      <c r="N247" s="64"/>
      <c r="O247" s="64"/>
      <c r="P247" s="64"/>
      <c r="Q247" s="64"/>
      <c r="R247" s="64"/>
      <c r="S247" s="64"/>
      <c r="T247" s="64"/>
      <c r="U247" s="64"/>
      <c r="V247" s="64"/>
      <c r="W247" s="57"/>
      <c r="X247" s="57"/>
      <c r="Y247" s="57"/>
    </row>
    <row r="248">
      <c r="B248" s="157" t="s">
        <v>122</v>
      </c>
      <c r="C248" s="157">
        <f>if(countif(F246:F247,F248)&gt;1,0,8)</f>
        <v>8</v>
      </c>
      <c r="D248" s="157"/>
      <c r="E248" s="64"/>
      <c r="F248" s="158"/>
      <c r="G248" s="64"/>
      <c r="H248" s="158"/>
      <c r="I248" s="159"/>
      <c r="J248" s="64"/>
      <c r="K248" s="64"/>
      <c r="L248" s="64"/>
      <c r="M248" s="64"/>
      <c r="N248" s="64"/>
      <c r="O248" s="64"/>
      <c r="P248" s="64"/>
      <c r="Q248" s="64"/>
      <c r="R248" s="64"/>
      <c r="S248" s="64"/>
      <c r="T248" s="64"/>
      <c r="U248" s="64"/>
      <c r="V248" s="64"/>
      <c r="W248" s="57"/>
      <c r="X248" s="57"/>
      <c r="Y248" s="57"/>
    </row>
    <row r="249">
      <c r="B249" s="157" t="s">
        <v>123</v>
      </c>
      <c r="C249" s="157">
        <f>if(countif(F246:F248,F249)&gt;1,0,7)</f>
        <v>7</v>
      </c>
      <c r="D249" s="157"/>
      <c r="E249" s="64"/>
      <c r="F249" s="158"/>
      <c r="G249" s="64"/>
      <c r="H249" s="158"/>
      <c r="I249" s="159"/>
      <c r="J249" s="64"/>
      <c r="K249" s="64"/>
      <c r="L249" s="64"/>
      <c r="M249" s="64"/>
      <c r="N249" s="64"/>
      <c r="O249" s="64"/>
      <c r="P249" s="64"/>
      <c r="Q249" s="64"/>
      <c r="R249" s="64"/>
      <c r="S249" s="64"/>
      <c r="T249" s="64"/>
      <c r="U249" s="64"/>
      <c r="V249" s="64"/>
      <c r="W249" s="57"/>
      <c r="X249" s="57"/>
      <c r="Y249" s="57"/>
    </row>
    <row r="250">
      <c r="B250" s="157" t="s">
        <v>124</v>
      </c>
      <c r="C250" s="157">
        <f>if(countif(F246:F249,F250)&gt;1,0,6)</f>
        <v>6</v>
      </c>
      <c r="D250" s="157"/>
      <c r="E250" s="64"/>
      <c r="F250" s="158"/>
      <c r="G250" s="64"/>
      <c r="H250" s="158"/>
      <c r="I250" s="159"/>
      <c r="J250" s="64"/>
      <c r="K250" s="64"/>
      <c r="L250" s="64"/>
      <c r="M250" s="64"/>
      <c r="N250" s="64"/>
      <c r="O250" s="64"/>
      <c r="P250" s="64"/>
      <c r="Q250" s="64"/>
      <c r="R250" s="64"/>
      <c r="S250" s="64"/>
      <c r="T250" s="64"/>
      <c r="U250" s="64"/>
      <c r="V250" s="64"/>
      <c r="W250" s="57"/>
      <c r="X250" s="57"/>
      <c r="Y250" s="57"/>
    </row>
    <row r="251">
      <c r="B251" s="157" t="s">
        <v>125</v>
      </c>
      <c r="C251" s="157">
        <f>if(countif(F246:F250,F251)&gt;1,0,5)</f>
        <v>5</v>
      </c>
      <c r="D251" s="157"/>
      <c r="E251" s="64"/>
      <c r="F251" s="158"/>
      <c r="G251" s="64"/>
      <c r="H251" s="158"/>
      <c r="I251" s="159"/>
      <c r="J251" s="64"/>
      <c r="K251" s="64"/>
      <c r="L251" s="64"/>
      <c r="M251" s="64"/>
      <c r="N251" s="64"/>
      <c r="O251" s="64"/>
      <c r="P251" s="64"/>
      <c r="Q251" s="64"/>
      <c r="R251" s="64"/>
      <c r="S251" s="64"/>
      <c r="T251" s="64"/>
      <c r="U251" s="64"/>
      <c r="V251" s="64"/>
      <c r="W251" s="57"/>
      <c r="X251" s="57"/>
      <c r="Y251" s="57"/>
    </row>
    <row r="252">
      <c r="B252" s="157" t="s">
        <v>126</v>
      </c>
      <c r="C252" s="157">
        <f>if(countif(F246:F251,F252)&gt;1,0,4)</f>
        <v>4</v>
      </c>
      <c r="D252" s="157"/>
      <c r="E252" s="64"/>
      <c r="F252" s="158"/>
      <c r="G252" s="64"/>
      <c r="H252" s="158"/>
      <c r="I252" s="159"/>
      <c r="J252" s="64"/>
      <c r="K252" s="64"/>
      <c r="L252" s="64"/>
      <c r="M252" s="64"/>
      <c r="N252" s="64"/>
      <c r="O252" s="64"/>
      <c r="P252" s="64"/>
      <c r="Q252" s="64"/>
      <c r="R252" s="64"/>
      <c r="S252" s="64"/>
      <c r="T252" s="64"/>
      <c r="U252" s="64"/>
      <c r="V252" s="64"/>
      <c r="W252" s="57"/>
      <c r="X252" s="57"/>
      <c r="Y252" s="57"/>
    </row>
    <row r="253">
      <c r="B253" s="157" t="s">
        <v>127</v>
      </c>
      <c r="C253" s="157">
        <f>if(countif(F246:F252,F253)&gt;1,0,3)</f>
        <v>3</v>
      </c>
      <c r="D253" s="157"/>
      <c r="E253" s="64"/>
      <c r="F253" s="158"/>
      <c r="G253" s="64"/>
      <c r="H253" s="158"/>
      <c r="I253" s="159"/>
      <c r="J253" s="64"/>
      <c r="K253" s="64"/>
      <c r="L253" s="64"/>
      <c r="M253" s="64"/>
      <c r="N253" s="64"/>
      <c r="O253" s="64"/>
      <c r="P253" s="64"/>
      <c r="Q253" s="64"/>
      <c r="R253" s="64"/>
      <c r="S253" s="64"/>
      <c r="T253" s="64"/>
      <c r="U253" s="64"/>
      <c r="V253" s="64"/>
      <c r="W253" s="57"/>
      <c r="X253" s="57"/>
      <c r="Y253" s="57"/>
    </row>
    <row r="254">
      <c r="B254" s="157" t="s">
        <v>128</v>
      </c>
      <c r="C254" s="157">
        <f>if(countif(F246:F253,F254)&gt;1,0,2)</f>
        <v>2</v>
      </c>
      <c r="D254" s="157"/>
      <c r="E254" s="64"/>
      <c r="F254" s="158"/>
      <c r="G254" s="64"/>
      <c r="H254" s="158"/>
      <c r="I254" s="159"/>
      <c r="J254" s="64"/>
      <c r="K254" s="64"/>
      <c r="L254" s="64"/>
      <c r="M254" s="64"/>
      <c r="N254" s="64"/>
      <c r="O254" s="64"/>
      <c r="P254" s="64"/>
      <c r="Q254" s="64"/>
      <c r="R254" s="64"/>
      <c r="S254" s="64"/>
      <c r="T254" s="64"/>
      <c r="U254" s="64"/>
      <c r="V254" s="64"/>
      <c r="W254" s="57"/>
      <c r="X254" s="57"/>
      <c r="Y254" s="57"/>
    </row>
    <row r="255">
      <c r="B255" s="165" t="s">
        <v>129</v>
      </c>
      <c r="C255" s="166">
        <f>if(countif(F246:F254,F255)&gt;1,0,1)</f>
        <v>1</v>
      </c>
      <c r="D255" s="166"/>
      <c r="E255" s="167"/>
      <c r="F255" s="168"/>
      <c r="G255" s="167"/>
      <c r="H255" s="168"/>
      <c r="I255" s="169"/>
      <c r="J255" s="167"/>
      <c r="K255" s="167"/>
      <c r="L255" s="167"/>
      <c r="M255" s="167"/>
      <c r="N255" s="167"/>
      <c r="O255" s="167"/>
      <c r="P255" s="167"/>
      <c r="Q255" s="167"/>
      <c r="R255" s="167"/>
      <c r="S255" s="167"/>
      <c r="T255" s="167"/>
      <c r="U255" s="167"/>
      <c r="V255" s="170"/>
      <c r="W255" s="57"/>
      <c r="X255" s="57"/>
      <c r="Y255" s="57"/>
    </row>
    <row r="256">
      <c r="A256" s="67" t="s">
        <v>130</v>
      </c>
      <c r="B256" s="171" t="s">
        <v>542</v>
      </c>
      <c r="C256" s="172">
        <v>0.0</v>
      </c>
      <c r="D256" s="172"/>
      <c r="E256" s="173"/>
      <c r="F256" s="174"/>
      <c r="G256" s="173"/>
      <c r="H256" s="174"/>
      <c r="I256" s="173"/>
      <c r="J256" s="173"/>
      <c r="K256" s="173"/>
      <c r="L256" s="173"/>
      <c r="M256" s="173"/>
      <c r="N256" s="173"/>
      <c r="O256" s="173"/>
      <c r="P256" s="173"/>
      <c r="Q256" s="173"/>
      <c r="R256" s="173"/>
      <c r="S256" s="173"/>
      <c r="T256" s="173"/>
      <c r="U256" s="173"/>
      <c r="V256" s="175"/>
      <c r="W256" s="156"/>
      <c r="X256" s="156"/>
      <c r="Y256" s="156"/>
    </row>
    <row r="257">
      <c r="B257" s="68" t="s">
        <v>543</v>
      </c>
      <c r="C257" s="68">
        <v>0.0</v>
      </c>
      <c r="D257" s="68"/>
      <c r="E257" s="69"/>
      <c r="F257" s="70"/>
      <c r="G257" s="69"/>
      <c r="H257" s="70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156"/>
      <c r="X257" s="156"/>
      <c r="Y257" s="156"/>
    </row>
    <row r="258">
      <c r="B258" s="68" t="s">
        <v>544</v>
      </c>
      <c r="C258" s="68">
        <v>0.0</v>
      </c>
      <c r="D258" s="68"/>
      <c r="E258" s="69"/>
      <c r="F258" s="70"/>
      <c r="G258" s="69"/>
      <c r="H258" s="70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156"/>
      <c r="X258" s="156"/>
      <c r="Y258" s="156"/>
    </row>
    <row r="259">
      <c r="B259" s="68" t="s">
        <v>545</v>
      </c>
      <c r="C259" s="68">
        <v>0.0</v>
      </c>
      <c r="D259" s="68"/>
      <c r="E259" s="69"/>
      <c r="F259" s="70"/>
      <c r="G259" s="69"/>
      <c r="H259" s="70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156"/>
      <c r="X259" s="156"/>
      <c r="Y259" s="156"/>
    </row>
    <row r="260">
      <c r="B260" s="68" t="s">
        <v>546</v>
      </c>
      <c r="C260" s="68">
        <v>0.0</v>
      </c>
      <c r="D260" s="68"/>
      <c r="E260" s="69"/>
      <c r="F260" s="70"/>
      <c r="G260" s="69"/>
      <c r="H260" s="70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156"/>
      <c r="X260" s="156"/>
      <c r="Y260" s="156"/>
    </row>
    <row r="261">
      <c r="B261" s="68" t="s">
        <v>547</v>
      </c>
      <c r="C261" s="68">
        <v>0.0</v>
      </c>
      <c r="D261" s="68"/>
      <c r="E261" s="69"/>
      <c r="F261" s="70"/>
      <c r="G261" s="69"/>
      <c r="H261" s="70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156"/>
      <c r="X261" s="156"/>
      <c r="Y261" s="156"/>
    </row>
    <row r="262">
      <c r="B262" s="68" t="s">
        <v>548</v>
      </c>
      <c r="C262" s="68">
        <v>0.0</v>
      </c>
      <c r="D262" s="68"/>
      <c r="E262" s="69"/>
      <c r="F262" s="70"/>
      <c r="G262" s="69"/>
      <c r="H262" s="70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156"/>
      <c r="X262" s="156"/>
      <c r="Y262" s="156"/>
    </row>
    <row r="263">
      <c r="B263" s="68" t="s">
        <v>549</v>
      </c>
      <c r="C263" s="68">
        <v>0.0</v>
      </c>
      <c r="D263" s="68"/>
      <c r="E263" s="69"/>
      <c r="F263" s="70"/>
      <c r="G263" s="69"/>
      <c r="H263" s="70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156"/>
      <c r="X263" s="156"/>
      <c r="Y263" s="156"/>
    </row>
    <row r="264">
      <c r="B264" s="68" t="s">
        <v>550</v>
      </c>
      <c r="C264" s="68">
        <v>0.0</v>
      </c>
      <c r="D264" s="68"/>
      <c r="E264" s="69"/>
      <c r="F264" s="70"/>
      <c r="G264" s="69"/>
      <c r="H264" s="70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156"/>
      <c r="X264" s="156"/>
      <c r="Y264" s="156"/>
    </row>
    <row r="265">
      <c r="B265" s="68" t="s">
        <v>551</v>
      </c>
      <c r="C265" s="68">
        <v>0.0</v>
      </c>
      <c r="D265" s="68"/>
      <c r="E265" s="69"/>
      <c r="F265" s="70"/>
      <c r="G265" s="69"/>
      <c r="H265" s="70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156"/>
      <c r="X265" s="156"/>
      <c r="Y265" s="156"/>
    </row>
  </sheetData>
  <mergeCells count="31">
    <mergeCell ref="A186:A195"/>
    <mergeCell ref="A176:A185"/>
    <mergeCell ref="A116:A125"/>
    <mergeCell ref="A126:A135"/>
    <mergeCell ref="A206:A215"/>
    <mergeCell ref="A196:A205"/>
    <mergeCell ref="A246:A255"/>
    <mergeCell ref="A256:A265"/>
    <mergeCell ref="A216:A225"/>
    <mergeCell ref="A166:A175"/>
    <mergeCell ref="A4:W4"/>
    <mergeCell ref="I5:K5"/>
    <mergeCell ref="M5:O5"/>
    <mergeCell ref="Q5:S5"/>
    <mergeCell ref="A226:A235"/>
    <mergeCell ref="A236:A245"/>
    <mergeCell ref="A136:A145"/>
    <mergeCell ref="A146:A155"/>
    <mergeCell ref="A36:A45"/>
    <mergeCell ref="A46:A55"/>
    <mergeCell ref="A76:A85"/>
    <mergeCell ref="A86:A95"/>
    <mergeCell ref="A66:A75"/>
    <mergeCell ref="A56:A65"/>
    <mergeCell ref="A96:A105"/>
    <mergeCell ref="A106:A115"/>
    <mergeCell ref="A26:A35"/>
    <mergeCell ref="A6:A15"/>
    <mergeCell ref="A16:A25"/>
    <mergeCell ref="A1:W3"/>
    <mergeCell ref="A156:A165"/>
  </mergeCells>
  <conditionalFormatting sqref="U5">
    <cfRule type="containsText" dxfId="0" priority="1" operator="containsText" text="There are same totals">
      <formula>NOT(ISERROR(SEARCH(("There are same totals"),(U5))))</formula>
    </cfRule>
  </conditionalFormatting>
  <conditionalFormatting sqref="U6:U25">
    <cfRule type="expression" dxfId="1" priority="2">
      <formula>countif(U$6:U25,U6:U25)&gt;1</formula>
    </cfRule>
  </conditionalFormatting>
  <conditionalFormatting sqref="U26:U45">
    <cfRule type="expression" dxfId="1" priority="3">
      <formula>countif(U$26:U45,U26:U45)&gt;1</formula>
    </cfRule>
  </conditionalFormatting>
  <conditionalFormatting sqref="U46:U65">
    <cfRule type="expression" dxfId="1" priority="4">
      <formula>countif(U$46:U65,U46:U65)&gt;1</formula>
    </cfRule>
  </conditionalFormatting>
  <conditionalFormatting sqref="U66:U85">
    <cfRule type="expression" dxfId="1" priority="5">
      <formula>countif(U$66:U85,U66:U85)&gt;1</formula>
    </cfRule>
  </conditionalFormatting>
  <conditionalFormatting sqref="U86:U105">
    <cfRule type="expression" dxfId="1" priority="6">
      <formula>countif(U$86:U105,U86:U105)&gt;1</formula>
    </cfRule>
  </conditionalFormatting>
  <conditionalFormatting sqref="U106:U125">
    <cfRule type="expression" dxfId="1" priority="7">
      <formula>countif(U$106:U125,U106:U125)&gt;1</formula>
    </cfRule>
  </conditionalFormatting>
  <conditionalFormatting sqref="U126:U145">
    <cfRule type="expression" dxfId="1" priority="8">
      <formula>countif(U$126:U145,U126:U145)&gt;1</formula>
    </cfRule>
  </conditionalFormatting>
  <conditionalFormatting sqref="U146:U165">
    <cfRule type="expression" dxfId="1" priority="9">
      <formula>countif($U$146:$U$165,$U$146:$U$165)&gt;1</formula>
    </cfRule>
  </conditionalFormatting>
  <conditionalFormatting sqref="U166:U185">
    <cfRule type="expression" dxfId="1" priority="10">
      <formula>countif(U$166:U185,U166:U185)&gt;1</formula>
    </cfRule>
  </conditionalFormatting>
  <conditionalFormatting sqref="U186:U205">
    <cfRule type="expression" dxfId="1" priority="11">
      <formula>countif(U$186:U205,U186:U205)&gt;1</formula>
    </cfRule>
  </conditionalFormatting>
  <conditionalFormatting sqref="U206:U225">
    <cfRule type="expression" dxfId="1" priority="12">
      <formula>countif(U$206:U225,U206:U225)&gt;1</formula>
    </cfRule>
  </conditionalFormatting>
  <conditionalFormatting sqref="U226:U245">
    <cfRule type="expression" dxfId="1" priority="13">
      <formula>countif(U$226:U245,U226:U245)&gt;1</formula>
    </cfRule>
  </conditionalFormatting>
  <conditionalFormatting sqref="U246:U265">
    <cfRule type="expression" dxfId="1" priority="14">
      <formula>countif(U$246:U265,U246:U265)&gt;1</formula>
    </cfRule>
  </conditionalFormatting>
  <conditionalFormatting sqref="Q6:T265">
    <cfRule type="endsWith" dxfId="2" priority="15" operator="endsWith" text="g">
      <formula>RIGHT((Q6),LEN("g"))=("g")</formula>
    </cfRule>
  </conditionalFormatting>
  <conditionalFormatting sqref="Q6:T265">
    <cfRule type="endsWith" dxfId="1" priority="16" operator="endsWith" text="x">
      <formula>RIGHT((Q6),LEN("x"))=("x")</formula>
    </cfRule>
  </conditionalFormatting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5.0" topLeftCell="A6" activePane="bottomLeft" state="frozen"/>
      <selection activeCell="B7" sqref="B7" pane="bottomLeft"/>
    </sheetView>
  </sheetViews>
  <sheetFormatPr customHeight="1" defaultColWidth="14.43" defaultRowHeight="15.75"/>
  <cols>
    <col customWidth="1" min="1" max="1" width="5.43"/>
    <col customWidth="1" min="2" max="2" width="4.71"/>
    <col customWidth="1" min="3" max="3" width="5.71"/>
    <col customWidth="1" min="4" max="4" width="7.29"/>
    <col customWidth="1" min="5" max="5" width="7.86"/>
    <col customWidth="1" min="6" max="6" width="12.57"/>
    <col customWidth="1" min="7" max="7" width="8.0"/>
    <col customWidth="1" min="8" max="8" width="16.43"/>
    <col customWidth="1" min="9" max="20" width="6.0"/>
    <col customWidth="1" min="21" max="21" width="6.14"/>
    <col customWidth="1" min="22" max="22" width="9.29"/>
    <col customWidth="1" min="23" max="24" width="6.71"/>
    <col customWidth="1" hidden="1" min="25" max="25" width="4.14"/>
  </cols>
  <sheetData>
    <row r="1">
      <c r="A1" s="56" t="s">
        <v>552</v>
      </c>
      <c r="X1" s="56"/>
      <c r="Y1" s="56"/>
    </row>
    <row r="2">
      <c r="X2" s="56"/>
      <c r="Y2" s="56"/>
    </row>
    <row r="3">
      <c r="X3" s="56"/>
      <c r="Y3" s="56"/>
    </row>
    <row r="4" ht="3.0" customHeight="1">
      <c r="A4" s="4"/>
      <c r="X4" s="4"/>
      <c r="Y4" s="4"/>
    </row>
    <row r="5" ht="18.75" customHeight="1">
      <c r="A5" s="142"/>
      <c r="B5" s="142"/>
      <c r="C5" s="142"/>
      <c r="D5" s="142"/>
      <c r="E5" s="143"/>
      <c r="F5" s="144" t="s">
        <v>22</v>
      </c>
      <c r="G5" s="145" t="s">
        <v>23</v>
      </c>
      <c r="H5" s="144" t="s">
        <v>25</v>
      </c>
      <c r="I5" s="146" t="s">
        <v>115</v>
      </c>
      <c r="J5" s="147"/>
      <c r="K5" s="148"/>
      <c r="L5" s="145"/>
      <c r="M5" s="146" t="s">
        <v>116</v>
      </c>
      <c r="N5" s="147"/>
      <c r="O5" s="148"/>
      <c r="P5" s="145"/>
      <c r="Q5" s="146" t="s">
        <v>117</v>
      </c>
      <c r="R5" s="147"/>
      <c r="S5" s="148"/>
      <c r="T5" s="145"/>
      <c r="U5" s="145" t="s">
        <v>118</v>
      </c>
      <c r="V5" s="145" t="s">
        <v>119</v>
      </c>
      <c r="W5" s="149" t="s">
        <v>540</v>
      </c>
      <c r="X5" s="149" t="s">
        <v>541</v>
      </c>
      <c r="Y5" s="57"/>
    </row>
    <row r="6">
      <c r="A6" s="150">
        <v>97.0</v>
      </c>
      <c r="B6" s="151" t="s">
        <v>120</v>
      </c>
      <c r="C6" s="151">
        <v>12.0</v>
      </c>
      <c r="D6" s="145" t="str">
        <f>IFERROR(__xludf.DUMMYFUNCTION("ARRAY_CONSTRAIN(filter('All Platforms'!A3:T1802,'All Platforms'!A3:A1802=""97 W""),20,20)"),"#N/A")</f>
        <v>#N/A</v>
      </c>
      <c r="E6" s="152"/>
      <c r="F6" s="153"/>
      <c r="G6" s="152"/>
      <c r="H6" s="153"/>
      <c r="I6" s="152"/>
      <c r="J6" s="152"/>
      <c r="K6" s="152"/>
      <c r="L6" s="152"/>
      <c r="M6" s="152"/>
      <c r="N6" s="152"/>
      <c r="O6" s="152"/>
      <c r="P6" s="152"/>
      <c r="Q6" s="152"/>
      <c r="R6" s="152"/>
      <c r="S6" s="152"/>
      <c r="T6" s="152"/>
      <c r="U6" s="152"/>
      <c r="V6" s="152"/>
      <c r="W6" s="145"/>
      <c r="X6" s="145"/>
      <c r="Y6" s="57"/>
    </row>
    <row r="7">
      <c r="A7" s="154"/>
      <c r="B7" s="151" t="s">
        <v>121</v>
      </c>
      <c r="C7" s="151">
        <v>9.0</v>
      </c>
      <c r="D7" s="151"/>
      <c r="E7" s="152"/>
      <c r="F7" s="153"/>
      <c r="G7" s="152"/>
      <c r="H7" s="153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45"/>
      <c r="X7" s="145"/>
      <c r="Y7" s="57"/>
    </row>
    <row r="8">
      <c r="A8" s="154"/>
      <c r="B8" s="151" t="s">
        <v>122</v>
      </c>
      <c r="C8" s="151">
        <f>if(countif(F6:F7,F8)&gt;1,0,8)</f>
        <v>8</v>
      </c>
      <c r="D8" s="151"/>
      <c r="E8" s="152"/>
      <c r="F8" s="153"/>
      <c r="G8" s="152"/>
      <c r="H8" s="153"/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152"/>
      <c r="T8" s="152"/>
      <c r="U8" s="152"/>
      <c r="V8" s="152"/>
      <c r="W8" s="145"/>
      <c r="X8" s="145"/>
      <c r="Y8" s="57"/>
    </row>
    <row r="9">
      <c r="A9" s="154"/>
      <c r="B9" s="151" t="s">
        <v>123</v>
      </c>
      <c r="C9" s="151">
        <f>if(countif(F6:F8,F9)&gt;1,0,7)</f>
        <v>7</v>
      </c>
      <c r="D9" s="151"/>
      <c r="E9" s="152"/>
      <c r="F9" s="153"/>
      <c r="G9" s="152"/>
      <c r="H9" s="153"/>
      <c r="I9" s="152"/>
      <c r="J9" s="152"/>
      <c r="K9" s="152"/>
      <c r="L9" s="152"/>
      <c r="M9" s="152"/>
      <c r="N9" s="152"/>
      <c r="O9" s="152"/>
      <c r="P9" s="152"/>
      <c r="Q9" s="152"/>
      <c r="R9" s="152"/>
      <c r="S9" s="152"/>
      <c r="T9" s="152"/>
      <c r="U9" s="152"/>
      <c r="V9" s="152"/>
      <c r="W9" s="145"/>
      <c r="X9" s="145"/>
      <c r="Y9" s="57"/>
    </row>
    <row r="10">
      <c r="A10" s="154"/>
      <c r="B10" s="151" t="s">
        <v>124</v>
      </c>
      <c r="C10" s="151">
        <f>if(countif(F6:F9,F10)&gt;1,0,6)</f>
        <v>6</v>
      </c>
      <c r="D10" s="151"/>
      <c r="E10" s="152"/>
      <c r="F10" s="153"/>
      <c r="G10" s="152"/>
      <c r="H10" s="153"/>
      <c r="I10" s="152"/>
      <c r="J10" s="152"/>
      <c r="K10" s="152"/>
      <c r="L10" s="152"/>
      <c r="M10" s="152"/>
      <c r="N10" s="152"/>
      <c r="O10" s="152"/>
      <c r="P10" s="152"/>
      <c r="Q10" s="152"/>
      <c r="R10" s="152"/>
      <c r="S10" s="152"/>
      <c r="T10" s="152"/>
      <c r="U10" s="152"/>
      <c r="V10" s="152"/>
      <c r="W10" s="145"/>
      <c r="X10" s="145"/>
      <c r="Y10" s="57"/>
    </row>
    <row r="11">
      <c r="A11" s="154"/>
      <c r="B11" s="151" t="s">
        <v>125</v>
      </c>
      <c r="C11" s="151">
        <f>if(countif(F6:F10,F11)&gt;1,0,5)</f>
        <v>5</v>
      </c>
      <c r="D11" s="151"/>
      <c r="E11" s="152"/>
      <c r="F11" s="153"/>
      <c r="G11" s="152"/>
      <c r="H11" s="153"/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152"/>
      <c r="U11" s="152"/>
      <c r="V11" s="152"/>
      <c r="W11" s="145"/>
      <c r="X11" s="145"/>
      <c r="Y11" s="57"/>
    </row>
    <row r="12">
      <c r="A12" s="154"/>
      <c r="B12" s="151" t="s">
        <v>126</v>
      </c>
      <c r="C12" s="151">
        <f>if(countif(F6:F11,F12)&gt;1,0,4)</f>
        <v>4</v>
      </c>
      <c r="D12" s="151"/>
      <c r="E12" s="152"/>
      <c r="F12" s="153"/>
      <c r="G12" s="152"/>
      <c r="H12" s="153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2"/>
      <c r="U12" s="152"/>
      <c r="V12" s="152"/>
      <c r="W12" s="145"/>
      <c r="X12" s="145"/>
      <c r="Y12" s="57"/>
    </row>
    <row r="13">
      <c r="A13" s="154"/>
      <c r="B13" s="151" t="s">
        <v>127</v>
      </c>
      <c r="C13" s="151">
        <f>if(countif(F6:F12,F13)&gt;1,0,3)</f>
        <v>3</v>
      </c>
      <c r="D13" s="151"/>
      <c r="E13" s="152"/>
      <c r="F13" s="153"/>
      <c r="G13" s="152"/>
      <c r="H13" s="153"/>
      <c r="I13" s="152"/>
      <c r="J13" s="152"/>
      <c r="K13" s="152"/>
      <c r="L13" s="152"/>
      <c r="M13" s="152"/>
      <c r="N13" s="152"/>
      <c r="O13" s="152"/>
      <c r="P13" s="152"/>
      <c r="Q13" s="152"/>
      <c r="R13" s="152"/>
      <c r="S13" s="152"/>
      <c r="T13" s="152"/>
      <c r="U13" s="152"/>
      <c r="V13" s="152"/>
      <c r="W13" s="145"/>
      <c r="X13" s="145"/>
      <c r="Y13" s="57"/>
    </row>
    <row r="14">
      <c r="A14" s="154"/>
      <c r="B14" s="151" t="s">
        <v>128</v>
      </c>
      <c r="C14" s="151">
        <f>if(countif(F6:F13,F14)&gt;1,0,2)</f>
        <v>2</v>
      </c>
      <c r="D14" s="151"/>
      <c r="E14" s="152"/>
      <c r="F14" s="153"/>
      <c r="G14" s="152"/>
      <c r="H14" s="153"/>
      <c r="I14" s="152"/>
      <c r="J14" s="152"/>
      <c r="K14" s="152"/>
      <c r="L14" s="152"/>
      <c r="M14" s="152"/>
      <c r="N14" s="152"/>
      <c r="O14" s="152"/>
      <c r="P14" s="152"/>
      <c r="Q14" s="152"/>
      <c r="R14" s="152"/>
      <c r="S14" s="152"/>
      <c r="T14" s="152"/>
      <c r="U14" s="152"/>
      <c r="V14" s="152"/>
      <c r="W14" s="145"/>
      <c r="X14" s="145"/>
      <c r="Y14" s="57"/>
    </row>
    <row r="15">
      <c r="A15" s="155"/>
      <c r="B15" s="151" t="s">
        <v>129</v>
      </c>
      <c r="C15" s="151">
        <f>if(countif(F6:F14,F15)&gt;1,0,1)</f>
        <v>1</v>
      </c>
      <c r="D15" s="151"/>
      <c r="E15" s="152"/>
      <c r="F15" s="153"/>
      <c r="G15" s="152"/>
      <c r="H15" s="153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  <c r="W15" s="145"/>
      <c r="X15" s="145"/>
      <c r="Y15" s="57"/>
    </row>
    <row r="16">
      <c r="A16" s="67">
        <v>97.0</v>
      </c>
      <c r="B16" s="68" t="s">
        <v>542</v>
      </c>
      <c r="C16" s="68">
        <v>0.0</v>
      </c>
      <c r="D16" s="68"/>
      <c r="E16" s="69"/>
      <c r="F16" s="70"/>
      <c r="G16" s="69"/>
      <c r="H16" s="70"/>
      <c r="I16" s="71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156"/>
      <c r="X16" s="156"/>
      <c r="Y16" s="156"/>
    </row>
    <row r="17">
      <c r="B17" s="68" t="s">
        <v>543</v>
      </c>
      <c r="C17" s="68">
        <v>0.0</v>
      </c>
      <c r="D17" s="68"/>
      <c r="E17" s="69"/>
      <c r="F17" s="70"/>
      <c r="G17" s="69"/>
      <c r="H17" s="70"/>
      <c r="I17" s="71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156"/>
      <c r="X17" s="156"/>
      <c r="Y17" s="156"/>
    </row>
    <row r="18">
      <c r="B18" s="68" t="s">
        <v>544</v>
      </c>
      <c r="C18" s="68">
        <v>0.0</v>
      </c>
      <c r="D18" s="68"/>
      <c r="E18" s="69"/>
      <c r="F18" s="70"/>
      <c r="G18" s="69"/>
      <c r="H18" s="70"/>
      <c r="I18" s="71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156"/>
      <c r="X18" s="156"/>
      <c r="Y18" s="156"/>
    </row>
    <row r="19">
      <c r="B19" s="68" t="s">
        <v>545</v>
      </c>
      <c r="C19" s="68">
        <v>0.0</v>
      </c>
      <c r="D19" s="68"/>
      <c r="E19" s="69"/>
      <c r="F19" s="70"/>
      <c r="G19" s="69"/>
      <c r="H19" s="70"/>
      <c r="I19" s="71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156"/>
      <c r="X19" s="156"/>
      <c r="Y19" s="156"/>
    </row>
    <row r="20">
      <c r="B20" s="68" t="s">
        <v>546</v>
      </c>
      <c r="C20" s="68">
        <v>0.0</v>
      </c>
      <c r="D20" s="68"/>
      <c r="E20" s="69"/>
      <c r="F20" s="70"/>
      <c r="G20" s="69"/>
      <c r="H20" s="70"/>
      <c r="I20" s="71"/>
      <c r="J20" s="69"/>
      <c r="K20" s="69"/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156"/>
      <c r="X20" s="156"/>
      <c r="Y20" s="156"/>
    </row>
    <row r="21">
      <c r="B21" s="68" t="s">
        <v>547</v>
      </c>
      <c r="C21" s="68">
        <v>0.0</v>
      </c>
      <c r="D21" s="68"/>
      <c r="E21" s="69"/>
      <c r="F21" s="70"/>
      <c r="G21" s="69"/>
      <c r="H21" s="70"/>
      <c r="I21" s="71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156"/>
      <c r="X21" s="156"/>
      <c r="Y21" s="156"/>
    </row>
    <row r="22">
      <c r="B22" s="68" t="s">
        <v>548</v>
      </c>
      <c r="C22" s="68">
        <v>0.0</v>
      </c>
      <c r="D22" s="68"/>
      <c r="E22" s="69"/>
      <c r="F22" s="70"/>
      <c r="G22" s="69"/>
      <c r="H22" s="70"/>
      <c r="I22" s="71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156"/>
      <c r="X22" s="156"/>
      <c r="Y22" s="156"/>
    </row>
    <row r="23">
      <c r="B23" s="68" t="s">
        <v>549</v>
      </c>
      <c r="C23" s="68">
        <v>0.0</v>
      </c>
      <c r="D23" s="68"/>
      <c r="E23" s="69"/>
      <c r="F23" s="70"/>
      <c r="G23" s="69"/>
      <c r="H23" s="70"/>
      <c r="I23" s="71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156"/>
      <c r="X23" s="156"/>
      <c r="Y23" s="156"/>
    </row>
    <row r="24">
      <c r="B24" s="68" t="s">
        <v>550</v>
      </c>
      <c r="C24" s="68">
        <v>0.0</v>
      </c>
      <c r="D24" s="68"/>
      <c r="E24" s="69"/>
      <c r="F24" s="70"/>
      <c r="G24" s="69"/>
      <c r="H24" s="70"/>
      <c r="I24" s="71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156"/>
      <c r="X24" s="156"/>
      <c r="Y24" s="156"/>
    </row>
    <row r="25">
      <c r="B25" s="68" t="s">
        <v>551</v>
      </c>
      <c r="C25" s="68">
        <v>0.0</v>
      </c>
      <c r="D25" s="68"/>
      <c r="E25" s="69"/>
      <c r="F25" s="70"/>
      <c r="G25" s="69"/>
      <c r="H25" s="70"/>
      <c r="I25" s="71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156"/>
      <c r="X25" s="156"/>
      <c r="Y25" s="156"/>
    </row>
    <row r="26">
      <c r="A26" s="58">
        <v>105.0</v>
      </c>
      <c r="B26" s="157" t="s">
        <v>120</v>
      </c>
      <c r="C26" s="157">
        <v>12.0</v>
      </c>
      <c r="D26" s="157" t="str">
        <f>IFERROR(__xludf.DUMMYFUNCTION("ARRAY_CONSTRAIN(filter('All Platforms'!A3:T1802,'All Platforms'!A3:A1802=""105 W""),20,20)"),"#N/A")</f>
        <v>#N/A</v>
      </c>
      <c r="E26" s="64"/>
      <c r="F26" s="158"/>
      <c r="G26" s="64"/>
      <c r="H26" s="158"/>
      <c r="I26" s="159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57"/>
      <c r="X26" s="57"/>
      <c r="Y26" s="57"/>
    </row>
    <row r="27">
      <c r="B27" s="157" t="s">
        <v>121</v>
      </c>
      <c r="C27" s="157">
        <v>9.0</v>
      </c>
      <c r="D27" s="157"/>
      <c r="E27" s="64"/>
      <c r="F27" s="158"/>
      <c r="G27" s="64"/>
      <c r="H27" s="158"/>
      <c r="I27" s="159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57"/>
      <c r="X27" s="57"/>
      <c r="Y27" s="57"/>
    </row>
    <row r="28">
      <c r="B28" s="157" t="s">
        <v>122</v>
      </c>
      <c r="C28" s="157">
        <f>if(countif(F26:F27,F28)&gt;1,0,8)</f>
        <v>8</v>
      </c>
      <c r="D28" s="157"/>
      <c r="E28" s="64"/>
      <c r="F28" s="158"/>
      <c r="G28" s="64"/>
      <c r="H28" s="158"/>
      <c r="I28" s="159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57"/>
      <c r="X28" s="57"/>
      <c r="Y28" s="57"/>
    </row>
    <row r="29">
      <c r="B29" s="157" t="s">
        <v>123</v>
      </c>
      <c r="C29" s="157">
        <f>if(countif(F26:F28,F29)&gt;1,0,7)</f>
        <v>7</v>
      </c>
      <c r="D29" s="157"/>
      <c r="E29" s="64"/>
      <c r="F29" s="158"/>
      <c r="G29" s="64"/>
      <c r="H29" s="158"/>
      <c r="I29" s="159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57"/>
      <c r="X29" s="57"/>
      <c r="Y29" s="57"/>
    </row>
    <row r="30">
      <c r="B30" s="157" t="s">
        <v>124</v>
      </c>
      <c r="C30" s="157">
        <f>if(countif(F26:F29,F30)&gt;1,0,6)</f>
        <v>6</v>
      </c>
      <c r="D30" s="157"/>
      <c r="E30" s="64"/>
      <c r="F30" s="158"/>
      <c r="G30" s="64"/>
      <c r="H30" s="158"/>
      <c r="I30" s="159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57"/>
      <c r="X30" s="57"/>
      <c r="Y30" s="57"/>
    </row>
    <row r="31">
      <c r="B31" s="157" t="s">
        <v>125</v>
      </c>
      <c r="C31" s="157">
        <f>if(countif(F26:F30,F31)&gt;1,0,5)</f>
        <v>5</v>
      </c>
      <c r="D31" s="157"/>
      <c r="E31" s="64"/>
      <c r="F31" s="158"/>
      <c r="G31" s="64"/>
      <c r="H31" s="158"/>
      <c r="I31" s="159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57"/>
      <c r="X31" s="57"/>
      <c r="Y31" s="57"/>
    </row>
    <row r="32">
      <c r="B32" s="157" t="s">
        <v>126</v>
      </c>
      <c r="C32" s="157">
        <f>if(countif(F26:F31,F32)&gt;1,0,4)</f>
        <v>4</v>
      </c>
      <c r="D32" s="157"/>
      <c r="E32" s="64"/>
      <c r="F32" s="158"/>
      <c r="G32" s="64"/>
      <c r="H32" s="158"/>
      <c r="I32" s="159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57"/>
      <c r="X32" s="57"/>
      <c r="Y32" s="57"/>
    </row>
    <row r="33">
      <c r="B33" s="157" t="s">
        <v>127</v>
      </c>
      <c r="C33" s="157">
        <f>if(countif(F26:F32,F33)&gt;1,0,3)</f>
        <v>3</v>
      </c>
      <c r="D33" s="157"/>
      <c r="E33" s="64"/>
      <c r="F33" s="158"/>
      <c r="G33" s="64"/>
      <c r="H33" s="158"/>
      <c r="I33" s="159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57"/>
      <c r="X33" s="57"/>
      <c r="Y33" s="57"/>
    </row>
    <row r="34">
      <c r="B34" s="157" t="s">
        <v>128</v>
      </c>
      <c r="C34" s="157">
        <f>if(countif(F26:F33,F34)&gt;1,0,2)</f>
        <v>2</v>
      </c>
      <c r="D34" s="157"/>
      <c r="E34" s="64"/>
      <c r="F34" s="158"/>
      <c r="G34" s="64"/>
      <c r="H34" s="158"/>
      <c r="I34" s="159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57"/>
      <c r="X34" s="57"/>
      <c r="Y34" s="57"/>
    </row>
    <row r="35">
      <c r="B35" s="157" t="s">
        <v>129</v>
      </c>
      <c r="C35" s="157">
        <f>if(countif(F26:F34,F35)&gt;1,0,1)</f>
        <v>1</v>
      </c>
      <c r="D35" s="157"/>
      <c r="E35" s="64"/>
      <c r="F35" s="158"/>
      <c r="G35" s="64"/>
      <c r="H35" s="158"/>
      <c r="I35" s="159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57"/>
      <c r="X35" s="57"/>
      <c r="Y35" s="57"/>
    </row>
    <row r="36">
      <c r="A36" s="67">
        <v>105.0</v>
      </c>
      <c r="B36" s="68" t="s">
        <v>542</v>
      </c>
      <c r="C36" s="68">
        <v>0.0</v>
      </c>
      <c r="D36" s="68"/>
      <c r="E36" s="69"/>
      <c r="F36" s="70"/>
      <c r="G36" s="69"/>
      <c r="H36" s="70"/>
      <c r="I36" s="71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156"/>
      <c r="X36" s="156"/>
      <c r="Y36" s="156"/>
    </row>
    <row r="37">
      <c r="B37" s="68" t="s">
        <v>543</v>
      </c>
      <c r="C37" s="68">
        <v>0.0</v>
      </c>
      <c r="D37" s="68"/>
      <c r="E37" s="69"/>
      <c r="F37" s="70"/>
      <c r="G37" s="69"/>
      <c r="H37" s="70"/>
      <c r="I37" s="71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156"/>
      <c r="X37" s="156"/>
      <c r="Y37" s="156"/>
    </row>
    <row r="38">
      <c r="B38" s="68" t="s">
        <v>544</v>
      </c>
      <c r="C38" s="68">
        <v>0.0</v>
      </c>
      <c r="D38" s="68"/>
      <c r="E38" s="69"/>
      <c r="F38" s="70"/>
      <c r="G38" s="69"/>
      <c r="H38" s="70"/>
      <c r="I38" s="71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156"/>
      <c r="X38" s="156"/>
      <c r="Y38" s="156"/>
    </row>
    <row r="39">
      <c r="B39" s="68" t="s">
        <v>545</v>
      </c>
      <c r="C39" s="68">
        <v>0.0</v>
      </c>
      <c r="D39" s="68"/>
      <c r="E39" s="69"/>
      <c r="F39" s="70"/>
      <c r="G39" s="69"/>
      <c r="H39" s="70"/>
      <c r="I39" s="71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156"/>
      <c r="X39" s="156"/>
      <c r="Y39" s="156"/>
    </row>
    <row r="40">
      <c r="B40" s="68" t="s">
        <v>546</v>
      </c>
      <c r="C40" s="68">
        <v>0.0</v>
      </c>
      <c r="D40" s="68"/>
      <c r="E40" s="69"/>
      <c r="F40" s="70"/>
      <c r="G40" s="69"/>
      <c r="H40" s="70"/>
      <c r="I40" s="71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156"/>
      <c r="X40" s="156"/>
      <c r="Y40" s="156"/>
    </row>
    <row r="41">
      <c r="B41" s="68" t="s">
        <v>547</v>
      </c>
      <c r="C41" s="68">
        <v>0.0</v>
      </c>
      <c r="D41" s="68"/>
      <c r="E41" s="69"/>
      <c r="F41" s="70"/>
      <c r="G41" s="69"/>
      <c r="H41" s="70"/>
      <c r="I41" s="71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156"/>
      <c r="X41" s="156"/>
      <c r="Y41" s="156"/>
    </row>
    <row r="42">
      <c r="B42" s="68" t="s">
        <v>548</v>
      </c>
      <c r="C42" s="68">
        <v>0.0</v>
      </c>
      <c r="D42" s="68"/>
      <c r="E42" s="69"/>
      <c r="F42" s="70"/>
      <c r="G42" s="69"/>
      <c r="H42" s="70"/>
      <c r="I42" s="71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156"/>
      <c r="X42" s="156"/>
      <c r="Y42" s="156"/>
    </row>
    <row r="43">
      <c r="B43" s="68" t="s">
        <v>549</v>
      </c>
      <c r="C43" s="68">
        <v>0.0</v>
      </c>
      <c r="D43" s="68"/>
      <c r="E43" s="69"/>
      <c r="F43" s="70"/>
      <c r="G43" s="69"/>
      <c r="H43" s="70"/>
      <c r="I43" s="71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156"/>
      <c r="X43" s="156"/>
      <c r="Y43" s="156"/>
    </row>
    <row r="44">
      <c r="B44" s="68" t="s">
        <v>550</v>
      </c>
      <c r="C44" s="68">
        <v>0.0</v>
      </c>
      <c r="D44" s="68"/>
      <c r="E44" s="69"/>
      <c r="F44" s="70"/>
      <c r="G44" s="69"/>
      <c r="H44" s="70"/>
      <c r="I44" s="71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156"/>
      <c r="X44" s="156"/>
      <c r="Y44" s="156"/>
    </row>
    <row r="45">
      <c r="B45" s="68" t="s">
        <v>551</v>
      </c>
      <c r="C45" s="68">
        <v>0.0</v>
      </c>
      <c r="D45" s="68"/>
      <c r="E45" s="69"/>
      <c r="F45" s="70"/>
      <c r="G45" s="69"/>
      <c r="H45" s="70"/>
      <c r="I45" s="71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156"/>
      <c r="X45" s="156"/>
      <c r="Y45" s="156"/>
    </row>
    <row r="46">
      <c r="A46" s="58">
        <v>114.0</v>
      </c>
      <c r="B46" s="157" t="s">
        <v>120</v>
      </c>
      <c r="C46" s="157">
        <v>12.0</v>
      </c>
      <c r="D46" s="157" t="str">
        <f>IFERROR(__xludf.DUMMYFUNCTION("ARRAY_CONSTRAIN(filter('All Platforms'!A3:T1802,'All Platforms'!A3:A1802=""114 W""),20,20)"),"#N/A")</f>
        <v>#N/A</v>
      </c>
      <c r="E46" s="64"/>
      <c r="F46" s="158"/>
      <c r="G46" s="64"/>
      <c r="H46" s="158"/>
      <c r="I46" s="159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57"/>
      <c r="X46" s="57"/>
      <c r="Y46" s="57"/>
    </row>
    <row r="47">
      <c r="B47" s="157" t="s">
        <v>121</v>
      </c>
      <c r="C47" s="157">
        <v>9.0</v>
      </c>
      <c r="D47" s="157"/>
      <c r="E47" s="64"/>
      <c r="F47" s="158"/>
      <c r="G47" s="64"/>
      <c r="H47" s="158"/>
      <c r="I47" s="159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57"/>
      <c r="X47" s="57"/>
      <c r="Y47" s="57"/>
    </row>
    <row r="48">
      <c r="B48" s="157" t="s">
        <v>122</v>
      </c>
      <c r="C48" s="157">
        <f>if(countif(F46:F47,F48)&gt;1,0,8)</f>
        <v>8</v>
      </c>
      <c r="D48" s="157"/>
      <c r="E48" s="64"/>
      <c r="F48" s="158"/>
      <c r="G48" s="64"/>
      <c r="H48" s="158"/>
      <c r="I48" s="159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57"/>
      <c r="X48" s="57"/>
      <c r="Y48" s="57"/>
    </row>
    <row r="49">
      <c r="B49" s="157" t="s">
        <v>123</v>
      </c>
      <c r="C49" s="157">
        <f>if(countif(F46:F48,F49)&gt;1,0,7)</f>
        <v>7</v>
      </c>
      <c r="D49" s="157"/>
      <c r="E49" s="64"/>
      <c r="F49" s="158"/>
      <c r="G49" s="64"/>
      <c r="H49" s="158"/>
      <c r="I49" s="159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57"/>
      <c r="X49" s="57"/>
      <c r="Y49" s="57"/>
    </row>
    <row r="50">
      <c r="B50" s="157" t="s">
        <v>124</v>
      </c>
      <c r="C50" s="157">
        <f>if(countif(F46:F49,F50)&gt;1,0,6)</f>
        <v>6</v>
      </c>
      <c r="D50" s="157"/>
      <c r="E50" s="64"/>
      <c r="F50" s="158"/>
      <c r="G50" s="64"/>
      <c r="H50" s="158"/>
      <c r="I50" s="159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57"/>
      <c r="X50" s="57"/>
      <c r="Y50" s="57"/>
    </row>
    <row r="51">
      <c r="B51" s="157" t="s">
        <v>125</v>
      </c>
      <c r="C51" s="157">
        <f>if(countif(F46:F50,F51)&gt;1,0,5)</f>
        <v>5</v>
      </c>
      <c r="D51" s="157"/>
      <c r="E51" s="64"/>
      <c r="F51" s="158"/>
      <c r="G51" s="64"/>
      <c r="H51" s="158"/>
      <c r="I51" s="159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57"/>
      <c r="X51" s="57"/>
      <c r="Y51" s="57"/>
    </row>
    <row r="52">
      <c r="B52" s="157" t="s">
        <v>126</v>
      </c>
      <c r="C52" s="157">
        <f>if(countif(F46:F51,F52)&gt;1,0,4)</f>
        <v>4</v>
      </c>
      <c r="D52" s="157"/>
      <c r="E52" s="64"/>
      <c r="F52" s="158"/>
      <c r="G52" s="64"/>
      <c r="H52" s="158"/>
      <c r="I52" s="159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57"/>
      <c r="X52" s="57"/>
      <c r="Y52" s="57"/>
    </row>
    <row r="53">
      <c r="B53" s="157" t="s">
        <v>127</v>
      </c>
      <c r="C53" s="157">
        <f>if(countif(F46:F52,F53)&gt;1,0,3)</f>
        <v>3</v>
      </c>
      <c r="D53" s="157"/>
      <c r="E53" s="64"/>
      <c r="F53" s="158"/>
      <c r="G53" s="64"/>
      <c r="H53" s="158"/>
      <c r="I53" s="159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57"/>
      <c r="X53" s="57"/>
      <c r="Y53" s="57"/>
    </row>
    <row r="54">
      <c r="B54" s="157" t="s">
        <v>128</v>
      </c>
      <c r="C54" s="157">
        <f>if(countif(F46:F53,F54)&gt;1,0,2)</f>
        <v>2</v>
      </c>
      <c r="D54" s="157"/>
      <c r="E54" s="64"/>
      <c r="F54" s="158"/>
      <c r="G54" s="64"/>
      <c r="H54" s="158"/>
      <c r="I54" s="159"/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57"/>
      <c r="X54" s="57"/>
      <c r="Y54" s="57"/>
    </row>
    <row r="55">
      <c r="B55" s="157" t="s">
        <v>129</v>
      </c>
      <c r="C55" s="157">
        <f>if(countif(F46:F54,F55)&gt;1,0,1)</f>
        <v>1</v>
      </c>
      <c r="D55" s="157"/>
      <c r="E55" s="64"/>
      <c r="F55" s="158"/>
      <c r="G55" s="64"/>
      <c r="H55" s="158"/>
      <c r="I55" s="159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57"/>
      <c r="X55" s="57"/>
      <c r="Y55" s="57"/>
    </row>
    <row r="56">
      <c r="A56" s="67">
        <v>114.0</v>
      </c>
      <c r="B56" s="68" t="s">
        <v>542</v>
      </c>
      <c r="C56" s="68">
        <v>0.0</v>
      </c>
      <c r="D56" s="68"/>
      <c r="E56" s="69"/>
      <c r="F56" s="70"/>
      <c r="G56" s="69"/>
      <c r="H56" s="70"/>
      <c r="I56" s="71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156"/>
      <c r="X56" s="156"/>
      <c r="Y56" s="156"/>
    </row>
    <row r="57">
      <c r="B57" s="68" t="s">
        <v>543</v>
      </c>
      <c r="C57" s="68">
        <v>0.0</v>
      </c>
      <c r="D57" s="68"/>
      <c r="E57" s="69"/>
      <c r="F57" s="70"/>
      <c r="G57" s="69"/>
      <c r="H57" s="70"/>
      <c r="I57" s="71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156"/>
      <c r="X57" s="156"/>
      <c r="Y57" s="156"/>
    </row>
    <row r="58">
      <c r="B58" s="68" t="s">
        <v>544</v>
      </c>
      <c r="C58" s="68">
        <v>0.0</v>
      </c>
      <c r="D58" s="68"/>
      <c r="E58" s="69"/>
      <c r="F58" s="70"/>
      <c r="G58" s="69"/>
      <c r="H58" s="70"/>
      <c r="I58" s="71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156"/>
      <c r="X58" s="156"/>
      <c r="Y58" s="156"/>
    </row>
    <row r="59">
      <c r="B59" s="68" t="s">
        <v>545</v>
      </c>
      <c r="C59" s="68">
        <v>0.0</v>
      </c>
      <c r="D59" s="68"/>
      <c r="E59" s="69"/>
      <c r="F59" s="70"/>
      <c r="G59" s="69"/>
      <c r="H59" s="70"/>
      <c r="I59" s="71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156"/>
      <c r="X59" s="156"/>
      <c r="Y59" s="156"/>
    </row>
    <row r="60">
      <c r="B60" s="68" t="s">
        <v>546</v>
      </c>
      <c r="C60" s="68">
        <v>0.0</v>
      </c>
      <c r="D60" s="68"/>
      <c r="E60" s="69"/>
      <c r="F60" s="70"/>
      <c r="G60" s="69"/>
      <c r="H60" s="70"/>
      <c r="I60" s="71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156"/>
      <c r="X60" s="156"/>
      <c r="Y60" s="156"/>
    </row>
    <row r="61">
      <c r="B61" s="68" t="s">
        <v>547</v>
      </c>
      <c r="C61" s="68">
        <v>0.0</v>
      </c>
      <c r="D61" s="68"/>
      <c r="E61" s="69"/>
      <c r="F61" s="70"/>
      <c r="G61" s="69"/>
      <c r="H61" s="70"/>
      <c r="I61" s="71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156"/>
      <c r="X61" s="156"/>
      <c r="Y61" s="156"/>
    </row>
    <row r="62">
      <c r="B62" s="68" t="s">
        <v>548</v>
      </c>
      <c r="C62" s="68">
        <v>0.0</v>
      </c>
      <c r="D62" s="68"/>
      <c r="E62" s="69"/>
      <c r="F62" s="70"/>
      <c r="G62" s="69"/>
      <c r="H62" s="70"/>
      <c r="I62" s="71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156"/>
      <c r="X62" s="156"/>
      <c r="Y62" s="156"/>
    </row>
    <row r="63">
      <c r="B63" s="68" t="s">
        <v>549</v>
      </c>
      <c r="C63" s="68">
        <v>0.0</v>
      </c>
      <c r="D63" s="68"/>
      <c r="E63" s="69"/>
      <c r="F63" s="70"/>
      <c r="G63" s="69"/>
      <c r="H63" s="70"/>
      <c r="I63" s="71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156"/>
      <c r="X63" s="156"/>
      <c r="Y63" s="156"/>
    </row>
    <row r="64">
      <c r="B64" s="68" t="s">
        <v>550</v>
      </c>
      <c r="C64" s="68">
        <v>0.0</v>
      </c>
      <c r="D64" s="68"/>
      <c r="E64" s="69"/>
      <c r="F64" s="70"/>
      <c r="G64" s="69"/>
      <c r="H64" s="70"/>
      <c r="I64" s="71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156"/>
      <c r="X64" s="156"/>
      <c r="Y64" s="156"/>
    </row>
    <row r="65">
      <c r="B65" s="68" t="s">
        <v>551</v>
      </c>
      <c r="C65" s="68">
        <v>0.0</v>
      </c>
      <c r="D65" s="68"/>
      <c r="E65" s="69"/>
      <c r="F65" s="70"/>
      <c r="G65" s="69"/>
      <c r="H65" s="70"/>
      <c r="I65" s="71"/>
      <c r="J65" s="69"/>
      <c r="K65" s="69"/>
      <c r="L65" s="69"/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156"/>
      <c r="X65" s="156"/>
      <c r="Y65" s="156"/>
    </row>
    <row r="66">
      <c r="A66" s="58">
        <v>123.0</v>
      </c>
      <c r="B66" s="157" t="s">
        <v>120</v>
      </c>
      <c r="C66" s="157">
        <v>12.0</v>
      </c>
      <c r="D66" s="157" t="str">
        <f>IFERROR(__xludf.DUMMYFUNCTION("ARRAY_CONSTRAIN(filter('All Platforms'!A3:T1802,'All Platforms'!A3:A1802=""123 W""),20,20)"),"#N/A")</f>
        <v>#N/A</v>
      </c>
      <c r="E66" s="64"/>
      <c r="F66" s="158"/>
      <c r="G66" s="64"/>
      <c r="H66" s="158"/>
      <c r="I66" s="159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57"/>
      <c r="X66" s="57"/>
      <c r="Y66" s="57"/>
    </row>
    <row r="67">
      <c r="B67" s="157" t="s">
        <v>121</v>
      </c>
      <c r="C67" s="157">
        <v>9.0</v>
      </c>
      <c r="D67" s="157"/>
      <c r="E67" s="64"/>
      <c r="F67" s="158"/>
      <c r="G67" s="64"/>
      <c r="H67" s="158"/>
      <c r="I67" s="159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57"/>
      <c r="X67" s="57"/>
      <c r="Y67" s="57"/>
    </row>
    <row r="68">
      <c r="B68" s="157" t="s">
        <v>122</v>
      </c>
      <c r="C68" s="157">
        <f>if(countif(F66:F67,F68)&gt;1,0,8)</f>
        <v>8</v>
      </c>
      <c r="D68" s="157"/>
      <c r="E68" s="64"/>
      <c r="F68" s="158"/>
      <c r="G68" s="64"/>
      <c r="H68" s="158"/>
      <c r="I68" s="159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57"/>
      <c r="X68" s="57"/>
      <c r="Y68" s="57"/>
    </row>
    <row r="69">
      <c r="B69" s="157" t="s">
        <v>123</v>
      </c>
      <c r="C69" s="157">
        <f>if(countif(F66:F68,F69)&gt;1,0,7)</f>
        <v>7</v>
      </c>
      <c r="D69" s="157"/>
      <c r="E69" s="64"/>
      <c r="F69" s="158"/>
      <c r="G69" s="64"/>
      <c r="H69" s="158"/>
      <c r="I69" s="159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57"/>
      <c r="X69" s="57"/>
      <c r="Y69" s="57"/>
    </row>
    <row r="70">
      <c r="B70" s="157" t="s">
        <v>124</v>
      </c>
      <c r="C70" s="157">
        <f>if(countif(F66:F69,F70)&gt;1,0,6)</f>
        <v>6</v>
      </c>
      <c r="D70" s="157"/>
      <c r="E70" s="64"/>
      <c r="F70" s="158"/>
      <c r="G70" s="64"/>
      <c r="H70" s="158"/>
      <c r="I70" s="159"/>
      <c r="J70" s="64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57"/>
      <c r="X70" s="57"/>
      <c r="Y70" s="57"/>
    </row>
    <row r="71">
      <c r="B71" s="157" t="s">
        <v>125</v>
      </c>
      <c r="C71" s="157">
        <f>if(countif(F66:F70,F71)&gt;1,0,5)</f>
        <v>5</v>
      </c>
      <c r="D71" s="157"/>
      <c r="E71" s="64"/>
      <c r="F71" s="158"/>
      <c r="G71" s="64"/>
      <c r="H71" s="158"/>
      <c r="I71" s="159"/>
      <c r="J71" s="64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57"/>
      <c r="X71" s="57"/>
      <c r="Y71" s="57"/>
    </row>
    <row r="72">
      <c r="B72" s="157" t="s">
        <v>126</v>
      </c>
      <c r="C72" s="157">
        <f>if(countif(F66:F71,F72)&gt;1,0,4)</f>
        <v>4</v>
      </c>
      <c r="D72" s="157"/>
      <c r="E72" s="64"/>
      <c r="F72" s="158"/>
      <c r="G72" s="64"/>
      <c r="H72" s="158"/>
      <c r="I72" s="159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57"/>
      <c r="X72" s="57"/>
      <c r="Y72" s="57"/>
    </row>
    <row r="73">
      <c r="B73" s="157" t="s">
        <v>127</v>
      </c>
      <c r="C73" s="157">
        <f>if(countif(F66:F72,F73)&gt;1,0,3)</f>
        <v>3</v>
      </c>
      <c r="D73" s="157"/>
      <c r="E73" s="64"/>
      <c r="F73" s="158"/>
      <c r="G73" s="64"/>
      <c r="H73" s="158"/>
      <c r="I73" s="159"/>
      <c r="J73" s="64"/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57"/>
      <c r="X73" s="57"/>
      <c r="Y73" s="57"/>
    </row>
    <row r="74">
      <c r="B74" s="157" t="s">
        <v>128</v>
      </c>
      <c r="C74" s="157">
        <f>if(countif(F66:F73,F74)&gt;1,0,2)</f>
        <v>2</v>
      </c>
      <c r="D74" s="157"/>
      <c r="E74" s="64"/>
      <c r="F74" s="158"/>
      <c r="G74" s="64"/>
      <c r="H74" s="158"/>
      <c r="I74" s="159"/>
      <c r="J74" s="64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57"/>
      <c r="X74" s="57"/>
      <c r="Y74" s="57"/>
    </row>
    <row r="75">
      <c r="B75" s="157" t="s">
        <v>129</v>
      </c>
      <c r="C75" s="157">
        <f>if(countif(F66:F74,F75)&gt;1,0,1)</f>
        <v>1</v>
      </c>
      <c r="D75" s="157"/>
      <c r="E75" s="64"/>
      <c r="F75" s="158"/>
      <c r="G75" s="64"/>
      <c r="H75" s="158"/>
      <c r="I75" s="159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57"/>
      <c r="X75" s="57"/>
      <c r="Y75" s="57"/>
    </row>
    <row r="76">
      <c r="A76" s="67">
        <v>123.0</v>
      </c>
      <c r="B76" s="68" t="s">
        <v>542</v>
      </c>
      <c r="C76" s="68">
        <v>0.0</v>
      </c>
      <c r="D76" s="68"/>
      <c r="E76" s="69"/>
      <c r="F76" s="70"/>
      <c r="G76" s="69"/>
      <c r="H76" s="70"/>
      <c r="I76" s="71"/>
      <c r="J76" s="69"/>
      <c r="K76" s="69"/>
      <c r="L76" s="69"/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156"/>
      <c r="X76" s="156"/>
      <c r="Y76" s="156"/>
    </row>
    <row r="77">
      <c r="B77" s="68" t="s">
        <v>543</v>
      </c>
      <c r="C77" s="68">
        <v>0.0</v>
      </c>
      <c r="D77" s="68"/>
      <c r="E77" s="69"/>
      <c r="F77" s="70"/>
      <c r="G77" s="69"/>
      <c r="H77" s="70"/>
      <c r="I77" s="71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156"/>
      <c r="X77" s="156"/>
      <c r="Y77" s="156"/>
    </row>
    <row r="78">
      <c r="B78" s="68" t="s">
        <v>544</v>
      </c>
      <c r="C78" s="68">
        <v>0.0</v>
      </c>
      <c r="D78" s="68"/>
      <c r="E78" s="69"/>
      <c r="F78" s="70"/>
      <c r="G78" s="69"/>
      <c r="H78" s="70"/>
      <c r="I78" s="71"/>
      <c r="J78" s="69"/>
      <c r="K78" s="69"/>
      <c r="L78" s="69"/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156"/>
      <c r="X78" s="156"/>
      <c r="Y78" s="156"/>
    </row>
    <row r="79">
      <c r="B79" s="68" t="s">
        <v>545</v>
      </c>
      <c r="C79" s="68">
        <v>0.0</v>
      </c>
      <c r="D79" s="68"/>
      <c r="E79" s="69"/>
      <c r="F79" s="70"/>
      <c r="G79" s="69"/>
      <c r="H79" s="70"/>
      <c r="I79" s="71"/>
      <c r="J79" s="69"/>
      <c r="K79" s="69"/>
      <c r="L79" s="69"/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156"/>
      <c r="X79" s="156"/>
      <c r="Y79" s="156"/>
    </row>
    <row r="80">
      <c r="B80" s="68" t="s">
        <v>546</v>
      </c>
      <c r="C80" s="68">
        <v>0.0</v>
      </c>
      <c r="D80" s="68"/>
      <c r="E80" s="69"/>
      <c r="F80" s="70"/>
      <c r="G80" s="69"/>
      <c r="H80" s="70"/>
      <c r="I80" s="71"/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156"/>
      <c r="X80" s="156"/>
      <c r="Y80" s="156"/>
    </row>
    <row r="81">
      <c r="B81" s="68" t="s">
        <v>547</v>
      </c>
      <c r="C81" s="68">
        <v>0.0</v>
      </c>
      <c r="D81" s="68"/>
      <c r="E81" s="69"/>
      <c r="F81" s="70"/>
      <c r="G81" s="69"/>
      <c r="H81" s="70"/>
      <c r="I81" s="71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156"/>
      <c r="X81" s="156"/>
      <c r="Y81" s="156"/>
    </row>
    <row r="82">
      <c r="B82" s="68" t="s">
        <v>548</v>
      </c>
      <c r="C82" s="68">
        <v>0.0</v>
      </c>
      <c r="D82" s="68"/>
      <c r="E82" s="69"/>
      <c r="F82" s="70"/>
      <c r="G82" s="69"/>
      <c r="H82" s="70"/>
      <c r="I82" s="71"/>
      <c r="J82" s="69"/>
      <c r="K82" s="69"/>
      <c r="L82" s="69"/>
      <c r="M82" s="69"/>
      <c r="N82" s="69"/>
      <c r="O82" s="69"/>
      <c r="P82" s="69"/>
      <c r="Q82" s="69"/>
      <c r="R82" s="69"/>
      <c r="S82" s="69"/>
      <c r="T82" s="69"/>
      <c r="U82" s="69"/>
      <c r="V82" s="69"/>
      <c r="W82" s="156"/>
      <c r="X82" s="156"/>
      <c r="Y82" s="156"/>
    </row>
    <row r="83">
      <c r="B83" s="68" t="s">
        <v>549</v>
      </c>
      <c r="C83" s="68">
        <v>0.0</v>
      </c>
      <c r="D83" s="68"/>
      <c r="E83" s="69"/>
      <c r="F83" s="70"/>
      <c r="G83" s="69"/>
      <c r="H83" s="70"/>
      <c r="I83" s="71"/>
      <c r="J83" s="69"/>
      <c r="K83" s="69"/>
      <c r="L83" s="69"/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156"/>
      <c r="X83" s="156"/>
      <c r="Y83" s="156"/>
    </row>
    <row r="84">
      <c r="B84" s="68" t="s">
        <v>550</v>
      </c>
      <c r="C84" s="68">
        <v>0.0</v>
      </c>
      <c r="D84" s="68"/>
      <c r="E84" s="69"/>
      <c r="F84" s="70"/>
      <c r="G84" s="69"/>
      <c r="H84" s="70"/>
      <c r="I84" s="71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156"/>
      <c r="X84" s="156"/>
      <c r="Y84" s="156"/>
    </row>
    <row r="85">
      <c r="B85" s="68" t="s">
        <v>551</v>
      </c>
      <c r="C85" s="68">
        <v>0.0</v>
      </c>
      <c r="D85" s="68"/>
      <c r="E85" s="69"/>
      <c r="F85" s="70"/>
      <c r="G85" s="69"/>
      <c r="H85" s="70"/>
      <c r="I85" s="71"/>
      <c r="J85" s="69"/>
      <c r="K85" s="69"/>
      <c r="L85" s="69"/>
      <c r="M85" s="69"/>
      <c r="N85" s="69"/>
      <c r="O85" s="69"/>
      <c r="P85" s="69"/>
      <c r="Q85" s="69"/>
      <c r="R85" s="69"/>
      <c r="S85" s="69"/>
      <c r="T85" s="69"/>
      <c r="U85" s="69"/>
      <c r="V85" s="69"/>
      <c r="W85" s="156"/>
      <c r="X85" s="156"/>
      <c r="Y85" s="156"/>
    </row>
    <row r="86">
      <c r="A86" s="58">
        <v>132.0</v>
      </c>
      <c r="B86" s="157" t="s">
        <v>120</v>
      </c>
      <c r="C86" s="157">
        <v>12.0</v>
      </c>
      <c r="D86" s="57" t="str">
        <f>IFERROR(__xludf.DUMMYFUNCTION("ARRAY_CONSTRAIN(filter('All Platforms'!A3:T1802,'All Platforms'!A3:A1802=""132 W""),20,20)"),"#N/A")</f>
        <v>#N/A</v>
      </c>
      <c r="E86" s="64"/>
      <c r="F86" s="158"/>
      <c r="G86" s="64"/>
      <c r="H86" s="158"/>
      <c r="I86" s="159"/>
      <c r="J86" s="64"/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57"/>
      <c r="X86" s="57"/>
      <c r="Y86" s="57"/>
    </row>
    <row r="87">
      <c r="B87" s="157" t="s">
        <v>121</v>
      </c>
      <c r="C87" s="157">
        <v>9.0</v>
      </c>
      <c r="D87" s="157"/>
      <c r="E87" s="64"/>
      <c r="F87" s="158"/>
      <c r="G87" s="64"/>
      <c r="H87" s="158"/>
      <c r="I87" s="159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57"/>
      <c r="X87" s="57"/>
      <c r="Y87" s="57"/>
    </row>
    <row r="88">
      <c r="B88" s="157" t="s">
        <v>122</v>
      </c>
      <c r="C88" s="157">
        <f>if(countif(F86:F87,F88)&gt;1,0,8)</f>
        <v>8</v>
      </c>
      <c r="D88" s="157"/>
      <c r="E88" s="64"/>
      <c r="F88" s="158"/>
      <c r="G88" s="64"/>
      <c r="H88" s="158"/>
      <c r="I88" s="159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57"/>
      <c r="X88" s="57"/>
      <c r="Y88" s="57"/>
    </row>
    <row r="89">
      <c r="B89" s="157" t="s">
        <v>123</v>
      </c>
      <c r="C89" s="157">
        <f>if(countif(F86:F88,F89)&gt;1,0,7)</f>
        <v>7</v>
      </c>
      <c r="D89" s="157"/>
      <c r="E89" s="64"/>
      <c r="F89" s="158"/>
      <c r="G89" s="64"/>
      <c r="H89" s="158"/>
      <c r="I89" s="159"/>
      <c r="J89" s="64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57"/>
      <c r="X89" s="57"/>
      <c r="Y89" s="57"/>
    </row>
    <row r="90">
      <c r="B90" s="157" t="s">
        <v>124</v>
      </c>
      <c r="C90" s="157">
        <f>if(countif(F86:F89,F90)&gt;1,0,6)</f>
        <v>6</v>
      </c>
      <c r="D90" s="157"/>
      <c r="E90" s="64"/>
      <c r="F90" s="158"/>
      <c r="G90" s="64"/>
      <c r="H90" s="158"/>
      <c r="I90" s="159"/>
      <c r="J90" s="64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57"/>
      <c r="X90" s="57"/>
      <c r="Y90" s="57"/>
    </row>
    <row r="91">
      <c r="B91" s="157" t="s">
        <v>125</v>
      </c>
      <c r="C91" s="157">
        <f>if(countif(F86:F90,F91)&gt;1,0,5)</f>
        <v>5</v>
      </c>
      <c r="D91" s="157"/>
      <c r="E91" s="64"/>
      <c r="F91" s="158"/>
      <c r="G91" s="64"/>
      <c r="H91" s="158"/>
      <c r="I91" s="159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57"/>
      <c r="X91" s="57"/>
      <c r="Y91" s="57"/>
    </row>
    <row r="92">
      <c r="B92" s="157" t="s">
        <v>126</v>
      </c>
      <c r="C92" s="157">
        <f>if(countif(F86:F91,F92)&gt;1,0,4)</f>
        <v>4</v>
      </c>
      <c r="D92" s="157"/>
      <c r="E92" s="64"/>
      <c r="F92" s="158"/>
      <c r="G92" s="64"/>
      <c r="H92" s="158"/>
      <c r="I92" s="159"/>
      <c r="J92" s="6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57"/>
      <c r="X92" s="57"/>
      <c r="Y92" s="57"/>
    </row>
    <row r="93">
      <c r="B93" s="157" t="s">
        <v>127</v>
      </c>
      <c r="C93" s="157">
        <f>if(countif(F86:F92,F93)&gt;1,0,3)</f>
        <v>3</v>
      </c>
      <c r="D93" s="157"/>
      <c r="E93" s="64"/>
      <c r="F93" s="158"/>
      <c r="G93" s="64"/>
      <c r="H93" s="158"/>
      <c r="I93" s="159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57"/>
      <c r="X93" s="57"/>
      <c r="Y93" s="57"/>
    </row>
    <row r="94">
      <c r="B94" s="157" t="s">
        <v>128</v>
      </c>
      <c r="C94" s="157">
        <f>if(countif(F86:F93,F94)&gt;1,0,2)</f>
        <v>2</v>
      </c>
      <c r="D94" s="157"/>
      <c r="E94" s="64"/>
      <c r="F94" s="158"/>
      <c r="G94" s="64"/>
      <c r="H94" s="158"/>
      <c r="I94" s="159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57"/>
      <c r="X94" s="57"/>
      <c r="Y94" s="57"/>
    </row>
    <row r="95">
      <c r="B95" s="157" t="s">
        <v>129</v>
      </c>
      <c r="C95" s="157">
        <f>if(countif(F86:F94,F95)&gt;1,0,1)</f>
        <v>1</v>
      </c>
      <c r="D95" s="157"/>
      <c r="E95" s="64"/>
      <c r="F95" s="158"/>
      <c r="G95" s="64"/>
      <c r="H95" s="158"/>
      <c r="I95" s="159"/>
      <c r="J95" s="64"/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57"/>
      <c r="X95" s="57"/>
      <c r="Y95" s="57"/>
    </row>
    <row r="96">
      <c r="A96" s="67">
        <v>132.0</v>
      </c>
      <c r="B96" s="68" t="s">
        <v>542</v>
      </c>
      <c r="C96" s="68">
        <v>0.0</v>
      </c>
      <c r="D96" s="68"/>
      <c r="E96" s="69"/>
      <c r="F96" s="70"/>
      <c r="G96" s="69"/>
      <c r="H96" s="70"/>
      <c r="I96" s="71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156"/>
      <c r="X96" s="156"/>
      <c r="Y96" s="156"/>
    </row>
    <row r="97">
      <c r="B97" s="68" t="s">
        <v>543</v>
      </c>
      <c r="C97" s="68">
        <v>0.0</v>
      </c>
      <c r="D97" s="68"/>
      <c r="E97" s="69"/>
      <c r="F97" s="70"/>
      <c r="G97" s="69"/>
      <c r="H97" s="70"/>
      <c r="I97" s="71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156"/>
      <c r="X97" s="156"/>
      <c r="Y97" s="156"/>
    </row>
    <row r="98">
      <c r="B98" s="68" t="s">
        <v>544</v>
      </c>
      <c r="C98" s="68">
        <v>0.0</v>
      </c>
      <c r="D98" s="68"/>
      <c r="E98" s="69"/>
      <c r="F98" s="70"/>
      <c r="G98" s="69"/>
      <c r="H98" s="70"/>
      <c r="I98" s="71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156"/>
      <c r="X98" s="156"/>
      <c r="Y98" s="156"/>
    </row>
    <row r="99">
      <c r="B99" s="68" t="s">
        <v>545</v>
      </c>
      <c r="C99" s="68">
        <v>0.0</v>
      </c>
      <c r="D99" s="68"/>
      <c r="E99" s="69"/>
      <c r="F99" s="70"/>
      <c r="G99" s="69"/>
      <c r="H99" s="70"/>
      <c r="I99" s="71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156"/>
      <c r="X99" s="156"/>
      <c r="Y99" s="156"/>
    </row>
    <row r="100">
      <c r="B100" s="68" t="s">
        <v>546</v>
      </c>
      <c r="C100" s="68">
        <v>0.0</v>
      </c>
      <c r="D100" s="68"/>
      <c r="E100" s="69"/>
      <c r="F100" s="70"/>
      <c r="G100" s="69"/>
      <c r="H100" s="70"/>
      <c r="I100" s="71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156"/>
      <c r="X100" s="156"/>
      <c r="Y100" s="156"/>
    </row>
    <row r="101">
      <c r="B101" s="68" t="s">
        <v>547</v>
      </c>
      <c r="C101" s="68">
        <v>0.0</v>
      </c>
      <c r="D101" s="68"/>
      <c r="E101" s="69"/>
      <c r="F101" s="70"/>
      <c r="G101" s="69"/>
      <c r="H101" s="70"/>
      <c r="I101" s="71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156"/>
      <c r="X101" s="156"/>
      <c r="Y101" s="156"/>
    </row>
    <row r="102">
      <c r="B102" s="68" t="s">
        <v>548</v>
      </c>
      <c r="C102" s="68">
        <v>0.0</v>
      </c>
      <c r="D102" s="68"/>
      <c r="E102" s="69"/>
      <c r="F102" s="70"/>
      <c r="G102" s="69"/>
      <c r="H102" s="70"/>
      <c r="I102" s="71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156"/>
      <c r="X102" s="156"/>
      <c r="Y102" s="156"/>
    </row>
    <row r="103">
      <c r="B103" s="68" t="s">
        <v>549</v>
      </c>
      <c r="C103" s="68">
        <v>0.0</v>
      </c>
      <c r="D103" s="68"/>
      <c r="E103" s="69"/>
      <c r="F103" s="70"/>
      <c r="G103" s="69"/>
      <c r="H103" s="70"/>
      <c r="I103" s="71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156"/>
      <c r="X103" s="156"/>
      <c r="Y103" s="156"/>
    </row>
    <row r="104">
      <c r="B104" s="68" t="s">
        <v>550</v>
      </c>
      <c r="C104" s="68">
        <v>0.0</v>
      </c>
      <c r="D104" s="68"/>
      <c r="E104" s="69"/>
      <c r="F104" s="70"/>
      <c r="G104" s="69"/>
      <c r="H104" s="70"/>
      <c r="I104" s="71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156"/>
      <c r="X104" s="156"/>
      <c r="Y104" s="156"/>
    </row>
    <row r="105">
      <c r="B105" s="68" t="s">
        <v>551</v>
      </c>
      <c r="C105" s="68">
        <v>0.0</v>
      </c>
      <c r="D105" s="68"/>
      <c r="E105" s="69"/>
      <c r="F105" s="70"/>
      <c r="G105" s="69"/>
      <c r="H105" s="70"/>
      <c r="I105" s="71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156"/>
      <c r="X105" s="156"/>
      <c r="Y105" s="156"/>
    </row>
    <row r="106">
      <c r="A106" s="58">
        <v>145.0</v>
      </c>
      <c r="B106" s="157" t="s">
        <v>120</v>
      </c>
      <c r="C106" s="157">
        <v>12.0</v>
      </c>
      <c r="D106" s="157" t="str">
        <f>IFERROR(__xludf.DUMMYFUNCTION("ARRAY_CONSTRAIN(filter('All Platforms'!A3:T1802,'All Platforms'!A3:A1802=""145 W""),20,20)"),"#N/A")</f>
        <v>#N/A</v>
      </c>
      <c r="E106" s="64"/>
      <c r="F106" s="158"/>
      <c r="G106" s="64"/>
      <c r="H106" s="158"/>
      <c r="I106" s="159"/>
      <c r="J106" s="64"/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57"/>
      <c r="X106" s="57"/>
      <c r="Y106" s="57"/>
    </row>
    <row r="107">
      <c r="B107" s="157" t="s">
        <v>121</v>
      </c>
      <c r="C107" s="157">
        <v>9.0</v>
      </c>
      <c r="D107" s="157"/>
      <c r="E107" s="64"/>
      <c r="F107" s="158"/>
      <c r="G107" s="64"/>
      <c r="H107" s="158"/>
      <c r="I107" s="159"/>
      <c r="J107" s="64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57"/>
      <c r="X107" s="57"/>
      <c r="Y107" s="57"/>
    </row>
    <row r="108">
      <c r="B108" s="157" t="s">
        <v>122</v>
      </c>
      <c r="C108" s="157">
        <f>if(countif(F106:F107,F108)&gt;1,0,8)</f>
        <v>8</v>
      </c>
      <c r="D108" s="157"/>
      <c r="E108" s="64"/>
      <c r="F108" s="158"/>
      <c r="G108" s="64"/>
      <c r="H108" s="158"/>
      <c r="I108" s="159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57"/>
      <c r="X108" s="57"/>
      <c r="Y108" s="57"/>
    </row>
    <row r="109">
      <c r="B109" s="157" t="s">
        <v>123</v>
      </c>
      <c r="C109" s="157">
        <f>if(countif(F106:F108,F109)&gt;1,0,7)</f>
        <v>7</v>
      </c>
      <c r="D109" s="157"/>
      <c r="E109" s="64"/>
      <c r="F109" s="158"/>
      <c r="G109" s="64"/>
      <c r="H109" s="158"/>
      <c r="I109" s="159"/>
      <c r="J109" s="64"/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57"/>
      <c r="X109" s="57"/>
      <c r="Y109" s="57"/>
    </row>
    <row r="110">
      <c r="B110" s="157" t="s">
        <v>124</v>
      </c>
      <c r="C110" s="157">
        <f>if(countif(F106:F109,F110)&gt;1,0,6)</f>
        <v>6</v>
      </c>
      <c r="D110" s="157"/>
      <c r="E110" s="64"/>
      <c r="F110" s="158"/>
      <c r="G110" s="64"/>
      <c r="H110" s="158"/>
      <c r="I110" s="159"/>
      <c r="J110" s="64"/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57"/>
      <c r="X110" s="57"/>
      <c r="Y110" s="57"/>
    </row>
    <row r="111">
      <c r="B111" s="157" t="s">
        <v>125</v>
      </c>
      <c r="C111" s="157">
        <f>if(countif(F106:F110,F111)&gt;1,0,5)</f>
        <v>5</v>
      </c>
      <c r="D111" s="157"/>
      <c r="E111" s="64"/>
      <c r="F111" s="158"/>
      <c r="G111" s="64"/>
      <c r="H111" s="158"/>
      <c r="I111" s="159"/>
      <c r="J111" s="64"/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57"/>
      <c r="X111" s="57"/>
      <c r="Y111" s="57"/>
    </row>
    <row r="112">
      <c r="B112" s="157" t="s">
        <v>126</v>
      </c>
      <c r="C112" s="157">
        <f>if(countif(F106:F111,F112)&gt;1,0,4)</f>
        <v>4</v>
      </c>
      <c r="D112" s="157"/>
      <c r="E112" s="64"/>
      <c r="F112" s="158"/>
      <c r="G112" s="64"/>
      <c r="H112" s="158"/>
      <c r="I112" s="159"/>
      <c r="J112" s="64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57"/>
      <c r="X112" s="57"/>
      <c r="Y112" s="57"/>
    </row>
    <row r="113">
      <c r="B113" s="157" t="s">
        <v>127</v>
      </c>
      <c r="C113" s="157">
        <f>if(countif(F106:F112,F113)&gt;1,0,3)</f>
        <v>3</v>
      </c>
      <c r="D113" s="157"/>
      <c r="E113" s="64"/>
      <c r="F113" s="158"/>
      <c r="G113" s="64"/>
      <c r="H113" s="158"/>
      <c r="I113" s="159"/>
      <c r="J113" s="64"/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57"/>
      <c r="X113" s="57"/>
      <c r="Y113" s="57"/>
    </row>
    <row r="114">
      <c r="B114" s="157" t="s">
        <v>128</v>
      </c>
      <c r="C114" s="157">
        <f>if(countif(F106:F113,F114)&gt;1,0,2)</f>
        <v>2</v>
      </c>
      <c r="D114" s="157"/>
      <c r="E114" s="64"/>
      <c r="F114" s="158"/>
      <c r="G114" s="64"/>
      <c r="H114" s="158"/>
      <c r="I114" s="159"/>
      <c r="J114" s="64"/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57"/>
      <c r="X114" s="57"/>
      <c r="Y114" s="57"/>
    </row>
    <row r="115">
      <c r="B115" s="157" t="s">
        <v>129</v>
      </c>
      <c r="C115" s="157">
        <f>if(countif(F106:F114,F115)&gt;1,0,1)</f>
        <v>1</v>
      </c>
      <c r="D115" s="157"/>
      <c r="E115" s="64"/>
      <c r="F115" s="158"/>
      <c r="G115" s="64"/>
      <c r="H115" s="158"/>
      <c r="I115" s="159"/>
      <c r="J115" s="64"/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57"/>
      <c r="X115" s="57"/>
      <c r="Y115" s="57"/>
    </row>
    <row r="116">
      <c r="A116" s="67">
        <v>145.0</v>
      </c>
      <c r="B116" s="68" t="s">
        <v>542</v>
      </c>
      <c r="C116" s="68">
        <v>0.0</v>
      </c>
      <c r="D116" s="68"/>
      <c r="E116" s="69"/>
      <c r="F116" s="70"/>
      <c r="G116" s="69"/>
      <c r="H116" s="70"/>
      <c r="I116" s="71"/>
      <c r="J116" s="69"/>
      <c r="K116" s="69"/>
      <c r="L116" s="69"/>
      <c r="M116" s="69"/>
      <c r="N116" s="69"/>
      <c r="O116" s="69"/>
      <c r="P116" s="69"/>
      <c r="Q116" s="69"/>
      <c r="R116" s="69"/>
      <c r="S116" s="69"/>
      <c r="T116" s="69"/>
      <c r="U116" s="69"/>
      <c r="V116" s="69"/>
      <c r="W116" s="156"/>
      <c r="X116" s="156"/>
      <c r="Y116" s="156"/>
    </row>
    <row r="117">
      <c r="B117" s="68" t="s">
        <v>543</v>
      </c>
      <c r="C117" s="68">
        <v>0.0</v>
      </c>
      <c r="D117" s="68"/>
      <c r="E117" s="69"/>
      <c r="F117" s="70"/>
      <c r="G117" s="69"/>
      <c r="H117" s="70"/>
      <c r="I117" s="71"/>
      <c r="J117" s="69"/>
      <c r="K117" s="69"/>
      <c r="L117" s="69"/>
      <c r="M117" s="69"/>
      <c r="N117" s="69"/>
      <c r="O117" s="69"/>
      <c r="P117" s="69"/>
      <c r="Q117" s="69"/>
      <c r="R117" s="69"/>
      <c r="S117" s="69"/>
      <c r="T117" s="69"/>
      <c r="U117" s="69"/>
      <c r="V117" s="69"/>
      <c r="W117" s="156"/>
      <c r="X117" s="156"/>
      <c r="Y117" s="156"/>
    </row>
    <row r="118">
      <c r="B118" s="68" t="s">
        <v>544</v>
      </c>
      <c r="C118" s="68">
        <v>0.0</v>
      </c>
      <c r="D118" s="68"/>
      <c r="E118" s="69"/>
      <c r="F118" s="70"/>
      <c r="G118" s="69"/>
      <c r="H118" s="70"/>
      <c r="I118" s="71"/>
      <c r="J118" s="69"/>
      <c r="K118" s="69"/>
      <c r="L118" s="69"/>
      <c r="M118" s="69"/>
      <c r="N118" s="69"/>
      <c r="O118" s="69"/>
      <c r="P118" s="69"/>
      <c r="Q118" s="69"/>
      <c r="R118" s="69"/>
      <c r="S118" s="69"/>
      <c r="T118" s="69"/>
      <c r="U118" s="69"/>
      <c r="V118" s="69"/>
      <c r="W118" s="156"/>
      <c r="X118" s="156"/>
      <c r="Y118" s="156"/>
    </row>
    <row r="119">
      <c r="B119" s="68" t="s">
        <v>545</v>
      </c>
      <c r="C119" s="68">
        <v>0.0</v>
      </c>
      <c r="D119" s="68"/>
      <c r="E119" s="69"/>
      <c r="F119" s="70"/>
      <c r="G119" s="69"/>
      <c r="H119" s="70"/>
      <c r="I119" s="71"/>
      <c r="J119" s="69"/>
      <c r="K119" s="69"/>
      <c r="L119" s="69"/>
      <c r="M119" s="69"/>
      <c r="N119" s="69"/>
      <c r="O119" s="69"/>
      <c r="P119" s="69"/>
      <c r="Q119" s="69"/>
      <c r="R119" s="69"/>
      <c r="S119" s="69"/>
      <c r="T119" s="69"/>
      <c r="U119" s="69"/>
      <c r="V119" s="69"/>
      <c r="W119" s="156"/>
      <c r="X119" s="156"/>
      <c r="Y119" s="156"/>
    </row>
    <row r="120">
      <c r="B120" s="68" t="s">
        <v>546</v>
      </c>
      <c r="C120" s="68">
        <v>0.0</v>
      </c>
      <c r="D120" s="68"/>
      <c r="E120" s="69"/>
      <c r="F120" s="70"/>
      <c r="G120" s="69"/>
      <c r="H120" s="70"/>
      <c r="I120" s="71"/>
      <c r="J120" s="69"/>
      <c r="K120" s="69"/>
      <c r="L120" s="69"/>
      <c r="M120" s="69"/>
      <c r="N120" s="69"/>
      <c r="O120" s="69"/>
      <c r="P120" s="69"/>
      <c r="Q120" s="69"/>
      <c r="R120" s="69"/>
      <c r="S120" s="69"/>
      <c r="T120" s="69"/>
      <c r="U120" s="69"/>
      <c r="V120" s="69"/>
      <c r="W120" s="156"/>
      <c r="X120" s="156"/>
      <c r="Y120" s="156"/>
    </row>
    <row r="121">
      <c r="B121" s="68" t="s">
        <v>547</v>
      </c>
      <c r="C121" s="68">
        <v>0.0</v>
      </c>
      <c r="D121" s="68"/>
      <c r="E121" s="69"/>
      <c r="F121" s="70"/>
      <c r="G121" s="69"/>
      <c r="H121" s="70"/>
      <c r="I121" s="71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156"/>
      <c r="X121" s="156"/>
      <c r="Y121" s="156"/>
    </row>
    <row r="122">
      <c r="B122" s="68" t="s">
        <v>548</v>
      </c>
      <c r="C122" s="68">
        <v>0.0</v>
      </c>
      <c r="D122" s="68"/>
      <c r="E122" s="69"/>
      <c r="F122" s="70"/>
      <c r="G122" s="69"/>
      <c r="H122" s="70"/>
      <c r="I122" s="71"/>
      <c r="J122" s="69"/>
      <c r="K122" s="69"/>
      <c r="L122" s="69"/>
      <c r="M122" s="69"/>
      <c r="N122" s="69"/>
      <c r="O122" s="69"/>
      <c r="P122" s="69"/>
      <c r="Q122" s="69"/>
      <c r="R122" s="69"/>
      <c r="S122" s="69"/>
      <c r="T122" s="69"/>
      <c r="U122" s="69"/>
      <c r="V122" s="69"/>
      <c r="W122" s="156"/>
      <c r="X122" s="156"/>
      <c r="Y122" s="156"/>
    </row>
    <row r="123">
      <c r="B123" s="68" t="s">
        <v>549</v>
      </c>
      <c r="C123" s="68">
        <v>0.0</v>
      </c>
      <c r="D123" s="68"/>
      <c r="E123" s="69"/>
      <c r="F123" s="70"/>
      <c r="G123" s="69"/>
      <c r="H123" s="70"/>
      <c r="I123" s="71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156"/>
      <c r="X123" s="156"/>
      <c r="Y123" s="156"/>
    </row>
    <row r="124">
      <c r="B124" s="68" t="s">
        <v>550</v>
      </c>
      <c r="C124" s="68">
        <v>0.0</v>
      </c>
      <c r="D124" s="68"/>
      <c r="E124" s="69"/>
      <c r="F124" s="70"/>
      <c r="G124" s="69"/>
      <c r="H124" s="70"/>
      <c r="I124" s="71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156"/>
      <c r="X124" s="156"/>
      <c r="Y124" s="156"/>
    </row>
    <row r="125">
      <c r="B125" s="68" t="s">
        <v>551</v>
      </c>
      <c r="C125" s="68">
        <v>0.0</v>
      </c>
      <c r="D125" s="68"/>
      <c r="E125" s="69"/>
      <c r="F125" s="70"/>
      <c r="G125" s="69"/>
      <c r="H125" s="70"/>
      <c r="I125" s="71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156"/>
      <c r="X125" s="156"/>
      <c r="Y125" s="156"/>
    </row>
    <row r="126">
      <c r="A126" s="58">
        <v>155.0</v>
      </c>
      <c r="B126" s="157" t="s">
        <v>120</v>
      </c>
      <c r="C126" s="157">
        <v>12.0</v>
      </c>
      <c r="D126" s="157" t="str">
        <f>IFERROR(__xludf.DUMMYFUNCTION("ARRAY_CONSTRAIN(filter('All Platforms'!A3:T1802,'All Platforms'!A3:A1802=""155 W""),20,20)"),"#N/A")</f>
        <v>#N/A</v>
      </c>
      <c r="E126" s="57"/>
      <c r="F126" s="158"/>
      <c r="G126" s="64"/>
      <c r="H126" s="158"/>
      <c r="I126" s="159"/>
      <c r="J126" s="64"/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57"/>
      <c r="X126" s="57"/>
      <c r="Y126" s="57"/>
    </row>
    <row r="127">
      <c r="B127" s="157" t="s">
        <v>121</v>
      </c>
      <c r="C127" s="157">
        <v>9.0</v>
      </c>
      <c r="D127" s="157"/>
      <c r="E127" s="64"/>
      <c r="F127" s="158"/>
      <c r="G127" s="64"/>
      <c r="H127" s="158"/>
      <c r="I127" s="159"/>
      <c r="J127" s="64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57"/>
      <c r="X127" s="57"/>
      <c r="Y127" s="57"/>
    </row>
    <row r="128">
      <c r="B128" s="157" t="s">
        <v>122</v>
      </c>
      <c r="C128" s="157">
        <f>if(countif(F126:F127,F128)&gt;1,0,8)</f>
        <v>8</v>
      </c>
      <c r="D128" s="157"/>
      <c r="E128" s="64"/>
      <c r="F128" s="158"/>
      <c r="G128" s="64"/>
      <c r="H128" s="158"/>
      <c r="I128" s="159"/>
      <c r="J128" s="64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57"/>
      <c r="X128" s="57"/>
      <c r="Y128" s="57"/>
    </row>
    <row r="129">
      <c r="B129" s="157" t="s">
        <v>123</v>
      </c>
      <c r="C129" s="157">
        <f>if(countif(F126:F128,F129)&gt;1,0,7)</f>
        <v>7</v>
      </c>
      <c r="D129" s="157"/>
      <c r="E129" s="64"/>
      <c r="F129" s="158"/>
      <c r="G129" s="64"/>
      <c r="H129" s="158"/>
      <c r="I129" s="159"/>
      <c r="J129" s="64"/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57"/>
      <c r="X129" s="57"/>
      <c r="Y129" s="57"/>
    </row>
    <row r="130">
      <c r="B130" s="157" t="s">
        <v>124</v>
      </c>
      <c r="C130" s="157">
        <f>if(countif(F126:F129,F130)&gt;1,0,6)</f>
        <v>6</v>
      </c>
      <c r="D130" s="157"/>
      <c r="E130" s="64"/>
      <c r="F130" s="158"/>
      <c r="G130" s="64"/>
      <c r="H130" s="158"/>
      <c r="I130" s="159"/>
      <c r="J130" s="64"/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57"/>
      <c r="X130" s="57"/>
      <c r="Y130" s="57"/>
    </row>
    <row r="131">
      <c r="B131" s="157" t="s">
        <v>125</v>
      </c>
      <c r="C131" s="157">
        <f>if(countif(F126:F130,F131)&gt;1,0,5)</f>
        <v>5</v>
      </c>
      <c r="D131" s="157"/>
      <c r="E131" s="64"/>
      <c r="F131" s="158"/>
      <c r="G131" s="64"/>
      <c r="H131" s="158"/>
      <c r="I131" s="159"/>
      <c r="J131" s="64"/>
      <c r="K131" s="64"/>
      <c r="L131" s="64"/>
      <c r="M131" s="64"/>
      <c r="N131" s="64"/>
      <c r="O131" s="64"/>
      <c r="P131" s="64"/>
      <c r="Q131" s="64"/>
      <c r="R131" s="64"/>
      <c r="S131" s="64"/>
      <c r="T131" s="64"/>
      <c r="U131" s="64"/>
      <c r="V131" s="64"/>
      <c r="W131" s="57"/>
      <c r="X131" s="57"/>
      <c r="Y131" s="57"/>
    </row>
    <row r="132">
      <c r="B132" s="157" t="s">
        <v>126</v>
      </c>
      <c r="C132" s="157">
        <f>if(countif(F126:F131,F132)&gt;1,0,4)</f>
        <v>4</v>
      </c>
      <c r="D132" s="157"/>
      <c r="E132" s="64"/>
      <c r="F132" s="158"/>
      <c r="G132" s="64"/>
      <c r="H132" s="158"/>
      <c r="I132" s="159"/>
      <c r="J132" s="64"/>
      <c r="K132" s="64"/>
      <c r="L132" s="64"/>
      <c r="M132" s="64"/>
      <c r="N132" s="64"/>
      <c r="O132" s="64"/>
      <c r="P132" s="64"/>
      <c r="Q132" s="64"/>
      <c r="R132" s="64"/>
      <c r="S132" s="64"/>
      <c r="T132" s="64"/>
      <c r="U132" s="64"/>
      <c r="V132" s="64"/>
      <c r="W132" s="57"/>
      <c r="X132" s="57"/>
      <c r="Y132" s="57"/>
    </row>
    <row r="133">
      <c r="B133" s="157" t="s">
        <v>127</v>
      </c>
      <c r="C133" s="157">
        <f>if(countif(F126:F132,F133)&gt;1,0,3)</f>
        <v>3</v>
      </c>
      <c r="D133" s="157"/>
      <c r="E133" s="64"/>
      <c r="F133" s="158"/>
      <c r="G133" s="64"/>
      <c r="H133" s="158"/>
      <c r="I133" s="159"/>
      <c r="J133" s="64"/>
      <c r="K133" s="64"/>
      <c r="L133" s="64"/>
      <c r="M133" s="64"/>
      <c r="N133" s="64"/>
      <c r="O133" s="64"/>
      <c r="P133" s="64"/>
      <c r="Q133" s="64"/>
      <c r="R133" s="64"/>
      <c r="S133" s="64"/>
      <c r="T133" s="64"/>
      <c r="U133" s="64"/>
      <c r="V133" s="64"/>
      <c r="W133" s="57"/>
      <c r="X133" s="57"/>
      <c r="Y133" s="57"/>
    </row>
    <row r="134">
      <c r="B134" s="157" t="s">
        <v>128</v>
      </c>
      <c r="C134" s="157">
        <f>if(countif(F126:F133,F134)&gt;1,0,2)</f>
        <v>2</v>
      </c>
      <c r="D134" s="157"/>
      <c r="E134" s="64"/>
      <c r="F134" s="158"/>
      <c r="G134" s="64"/>
      <c r="H134" s="158"/>
      <c r="I134" s="159"/>
      <c r="J134" s="64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57"/>
      <c r="X134" s="57"/>
      <c r="Y134" s="57"/>
    </row>
    <row r="135">
      <c r="B135" s="157" t="s">
        <v>129</v>
      </c>
      <c r="C135" s="157">
        <f>if(countif(F126:F134,F135)&gt;1,0,1)</f>
        <v>1</v>
      </c>
      <c r="D135" s="157"/>
      <c r="E135" s="64"/>
      <c r="F135" s="158"/>
      <c r="G135" s="64"/>
      <c r="H135" s="158"/>
      <c r="I135" s="159"/>
      <c r="J135" s="64"/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57"/>
      <c r="X135" s="57"/>
      <c r="Y135" s="57"/>
    </row>
    <row r="136">
      <c r="A136" s="67">
        <v>155.0</v>
      </c>
      <c r="B136" s="68" t="s">
        <v>542</v>
      </c>
      <c r="C136" s="68">
        <v>0.0</v>
      </c>
      <c r="D136" s="68"/>
      <c r="E136" s="69"/>
      <c r="F136" s="70"/>
      <c r="G136" s="69"/>
      <c r="H136" s="70"/>
      <c r="I136" s="71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156"/>
      <c r="X136" s="156"/>
      <c r="Y136" s="156"/>
    </row>
    <row r="137">
      <c r="B137" s="68" t="s">
        <v>543</v>
      </c>
      <c r="C137" s="68">
        <v>0.0</v>
      </c>
      <c r="D137" s="68"/>
      <c r="E137" s="69"/>
      <c r="F137" s="70"/>
      <c r="G137" s="69"/>
      <c r="H137" s="70"/>
      <c r="I137" s="71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156"/>
      <c r="X137" s="156"/>
      <c r="Y137" s="156"/>
    </row>
    <row r="138">
      <c r="B138" s="68" t="s">
        <v>544</v>
      </c>
      <c r="C138" s="68">
        <v>0.0</v>
      </c>
      <c r="D138" s="68"/>
      <c r="E138" s="69"/>
      <c r="F138" s="70"/>
      <c r="G138" s="69"/>
      <c r="H138" s="70"/>
      <c r="I138" s="71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156"/>
      <c r="X138" s="156"/>
      <c r="Y138" s="156"/>
    </row>
    <row r="139">
      <c r="B139" s="68" t="s">
        <v>545</v>
      </c>
      <c r="C139" s="68">
        <v>0.0</v>
      </c>
      <c r="D139" s="68"/>
      <c r="E139" s="69"/>
      <c r="F139" s="70"/>
      <c r="G139" s="69"/>
      <c r="H139" s="70"/>
      <c r="I139" s="71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156"/>
      <c r="X139" s="156"/>
      <c r="Y139" s="156"/>
    </row>
    <row r="140">
      <c r="B140" s="68" t="s">
        <v>546</v>
      </c>
      <c r="C140" s="68">
        <v>0.0</v>
      </c>
      <c r="D140" s="68"/>
      <c r="E140" s="69"/>
      <c r="F140" s="70"/>
      <c r="G140" s="69"/>
      <c r="H140" s="70"/>
      <c r="I140" s="71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156"/>
      <c r="X140" s="156"/>
      <c r="Y140" s="156"/>
    </row>
    <row r="141">
      <c r="B141" s="68" t="s">
        <v>547</v>
      </c>
      <c r="C141" s="68">
        <v>0.0</v>
      </c>
      <c r="D141" s="68"/>
      <c r="E141" s="69"/>
      <c r="F141" s="70"/>
      <c r="G141" s="69"/>
      <c r="H141" s="70"/>
      <c r="I141" s="71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156"/>
      <c r="X141" s="156"/>
      <c r="Y141" s="156"/>
    </row>
    <row r="142">
      <c r="B142" s="68" t="s">
        <v>548</v>
      </c>
      <c r="C142" s="68">
        <v>0.0</v>
      </c>
      <c r="D142" s="68"/>
      <c r="E142" s="69"/>
      <c r="F142" s="70"/>
      <c r="G142" s="69"/>
      <c r="H142" s="70"/>
      <c r="I142" s="71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156"/>
      <c r="X142" s="156"/>
      <c r="Y142" s="156"/>
    </row>
    <row r="143">
      <c r="B143" s="68" t="s">
        <v>549</v>
      </c>
      <c r="C143" s="68">
        <v>0.0</v>
      </c>
      <c r="D143" s="68"/>
      <c r="E143" s="69"/>
      <c r="F143" s="70"/>
      <c r="G143" s="69"/>
      <c r="H143" s="70"/>
      <c r="I143" s="71"/>
      <c r="J143" s="69"/>
      <c r="K143" s="69"/>
      <c r="L143" s="69"/>
      <c r="M143" s="69"/>
      <c r="N143" s="69"/>
      <c r="O143" s="69"/>
      <c r="P143" s="69"/>
      <c r="Q143" s="69"/>
      <c r="R143" s="69"/>
      <c r="S143" s="69"/>
      <c r="T143" s="69"/>
      <c r="U143" s="69"/>
      <c r="V143" s="69"/>
      <c r="W143" s="156"/>
      <c r="X143" s="156"/>
      <c r="Y143" s="156"/>
    </row>
    <row r="144">
      <c r="B144" s="68" t="s">
        <v>550</v>
      </c>
      <c r="C144" s="68">
        <v>0.0</v>
      </c>
      <c r="D144" s="68"/>
      <c r="E144" s="69"/>
      <c r="F144" s="70"/>
      <c r="G144" s="69"/>
      <c r="H144" s="70"/>
      <c r="I144" s="71"/>
      <c r="J144" s="69"/>
      <c r="K144" s="69"/>
      <c r="L144" s="69"/>
      <c r="M144" s="69"/>
      <c r="N144" s="69"/>
      <c r="O144" s="69"/>
      <c r="P144" s="69"/>
      <c r="Q144" s="69"/>
      <c r="R144" s="69"/>
      <c r="S144" s="69"/>
      <c r="T144" s="69"/>
      <c r="U144" s="69"/>
      <c r="V144" s="69"/>
      <c r="W144" s="156"/>
      <c r="X144" s="156"/>
      <c r="Y144" s="156"/>
    </row>
    <row r="145">
      <c r="B145" s="68" t="s">
        <v>551</v>
      </c>
      <c r="C145" s="68">
        <v>0.0</v>
      </c>
      <c r="D145" s="68"/>
      <c r="E145" s="69"/>
      <c r="F145" s="70"/>
      <c r="G145" s="69"/>
      <c r="H145" s="70"/>
      <c r="I145" s="71"/>
      <c r="J145" s="69"/>
      <c r="K145" s="69"/>
      <c r="L145" s="69"/>
      <c r="M145" s="69"/>
      <c r="N145" s="69"/>
      <c r="O145" s="69"/>
      <c r="P145" s="69"/>
      <c r="Q145" s="69"/>
      <c r="R145" s="69"/>
      <c r="S145" s="69"/>
      <c r="T145" s="69"/>
      <c r="U145" s="69"/>
      <c r="V145" s="69"/>
      <c r="W145" s="156"/>
      <c r="X145" s="156"/>
      <c r="Y145" s="156"/>
    </row>
    <row r="146">
      <c r="A146" s="58">
        <v>165.0</v>
      </c>
      <c r="B146" s="157" t="s">
        <v>120</v>
      </c>
      <c r="C146" s="157">
        <v>12.0</v>
      </c>
      <c r="D146" s="157" t="str">
        <f>IFERROR(__xludf.DUMMYFUNCTION("ARRAY_CONSTRAIN(filter('All Platforms'!A3:T1802,'All Platforms'!A3:A1802=""165 W""),20,20)"),"#N/A")</f>
        <v>#N/A</v>
      </c>
      <c r="E146" s="64"/>
      <c r="F146" s="158"/>
      <c r="G146" s="64"/>
      <c r="H146" s="158"/>
      <c r="I146" s="159"/>
      <c r="J146" s="64"/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57"/>
      <c r="X146" s="57"/>
      <c r="Y146" s="57"/>
    </row>
    <row r="147">
      <c r="B147" s="157" t="s">
        <v>121</v>
      </c>
      <c r="C147" s="157">
        <v>9.0</v>
      </c>
      <c r="D147" s="157"/>
      <c r="E147" s="64"/>
      <c r="F147" s="158"/>
      <c r="G147" s="64"/>
      <c r="H147" s="158"/>
      <c r="I147" s="159"/>
      <c r="J147" s="64"/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57"/>
      <c r="X147" s="57"/>
      <c r="Y147" s="57"/>
    </row>
    <row r="148">
      <c r="B148" s="157" t="s">
        <v>122</v>
      </c>
      <c r="C148" s="157">
        <f>if(countif(F146:F147,F148)&gt;1,0,8)</f>
        <v>8</v>
      </c>
      <c r="D148" s="157"/>
      <c r="E148" s="64"/>
      <c r="F148" s="158"/>
      <c r="G148" s="64"/>
      <c r="H148" s="158"/>
      <c r="I148" s="159"/>
      <c r="J148" s="64"/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57"/>
      <c r="X148" s="57"/>
      <c r="Y148" s="57"/>
    </row>
    <row r="149">
      <c r="B149" s="157" t="s">
        <v>123</v>
      </c>
      <c r="C149" s="157">
        <f>if(countif(F146:F148,F149)&gt;1,0,7)</f>
        <v>7</v>
      </c>
      <c r="D149" s="157"/>
      <c r="E149" s="64"/>
      <c r="F149" s="158"/>
      <c r="G149" s="64"/>
      <c r="H149" s="158"/>
      <c r="I149" s="159"/>
      <c r="J149" s="64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57"/>
      <c r="X149" s="57"/>
      <c r="Y149" s="57"/>
    </row>
    <row r="150">
      <c r="B150" s="157" t="s">
        <v>124</v>
      </c>
      <c r="C150" s="157">
        <f>if(countif(F146:F149,F150)&gt;1,0,6)</f>
        <v>6</v>
      </c>
      <c r="D150" s="157"/>
      <c r="E150" s="64"/>
      <c r="F150" s="158"/>
      <c r="G150" s="64"/>
      <c r="H150" s="158"/>
      <c r="I150" s="159"/>
      <c r="J150" s="64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57"/>
      <c r="X150" s="57"/>
      <c r="Y150" s="57"/>
    </row>
    <row r="151">
      <c r="B151" s="157" t="s">
        <v>125</v>
      </c>
      <c r="C151" s="157">
        <f>if(countif(F146:F150,F151)&gt;1,0,5)</f>
        <v>5</v>
      </c>
      <c r="D151" s="157"/>
      <c r="E151" s="64"/>
      <c r="F151" s="158"/>
      <c r="G151" s="64"/>
      <c r="H151" s="158"/>
      <c r="I151" s="159"/>
      <c r="J151" s="64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57"/>
      <c r="X151" s="57"/>
      <c r="Y151" s="57"/>
    </row>
    <row r="152">
      <c r="B152" s="157" t="s">
        <v>126</v>
      </c>
      <c r="C152" s="157">
        <f>if(countif(F146:F151,F152)&gt;1,0,4)</f>
        <v>4</v>
      </c>
      <c r="D152" s="157"/>
      <c r="E152" s="64"/>
      <c r="F152" s="158"/>
      <c r="G152" s="64"/>
      <c r="H152" s="158"/>
      <c r="I152" s="159"/>
      <c r="J152" s="64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57"/>
      <c r="X152" s="57"/>
      <c r="Y152" s="57"/>
    </row>
    <row r="153">
      <c r="B153" s="157" t="s">
        <v>127</v>
      </c>
      <c r="C153" s="157">
        <f>if(countif(F146:F152,F153)&gt;1,0,3)</f>
        <v>3</v>
      </c>
      <c r="D153" s="157"/>
      <c r="E153" s="64"/>
      <c r="F153" s="158"/>
      <c r="G153" s="64"/>
      <c r="H153" s="158"/>
      <c r="I153" s="159"/>
      <c r="J153" s="64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57"/>
      <c r="X153" s="57"/>
      <c r="Y153" s="57"/>
    </row>
    <row r="154">
      <c r="B154" s="157" t="s">
        <v>128</v>
      </c>
      <c r="C154" s="157">
        <f>if(countif(F146:F153,F154)&gt;1,0,2)</f>
        <v>2</v>
      </c>
      <c r="D154" s="157"/>
      <c r="E154" s="64"/>
      <c r="F154" s="158"/>
      <c r="G154" s="64"/>
      <c r="H154" s="158"/>
      <c r="I154" s="159"/>
      <c r="J154" s="64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57"/>
      <c r="X154" s="57"/>
      <c r="Y154" s="57"/>
    </row>
    <row r="155">
      <c r="B155" s="157" t="s">
        <v>129</v>
      </c>
      <c r="C155" s="157">
        <f>if(countif(F146:F154,F155)&gt;1,0,1)</f>
        <v>1</v>
      </c>
      <c r="D155" s="157"/>
      <c r="E155" s="64"/>
      <c r="F155" s="158"/>
      <c r="G155" s="64"/>
      <c r="H155" s="158"/>
      <c r="I155" s="159"/>
      <c r="J155" s="64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57"/>
      <c r="X155" s="57"/>
      <c r="Y155" s="57"/>
    </row>
    <row r="156">
      <c r="A156" s="67">
        <v>165.0</v>
      </c>
      <c r="B156" s="68" t="s">
        <v>542</v>
      </c>
      <c r="C156" s="68">
        <v>0.0</v>
      </c>
      <c r="D156" s="68"/>
      <c r="E156" s="69"/>
      <c r="F156" s="70"/>
      <c r="G156" s="69"/>
      <c r="H156" s="70"/>
      <c r="I156" s="71"/>
      <c r="J156" s="69"/>
      <c r="K156" s="69"/>
      <c r="L156" s="69"/>
      <c r="M156" s="69"/>
      <c r="N156" s="69"/>
      <c r="O156" s="69"/>
      <c r="P156" s="69"/>
      <c r="Q156" s="69"/>
      <c r="R156" s="69"/>
      <c r="S156" s="69"/>
      <c r="T156" s="69"/>
      <c r="U156" s="69"/>
      <c r="V156" s="69"/>
      <c r="W156" s="156"/>
      <c r="X156" s="156"/>
      <c r="Y156" s="156"/>
    </row>
    <row r="157">
      <c r="B157" s="68" t="s">
        <v>543</v>
      </c>
      <c r="C157" s="68">
        <v>0.0</v>
      </c>
      <c r="D157" s="68"/>
      <c r="E157" s="69"/>
      <c r="F157" s="70"/>
      <c r="G157" s="69"/>
      <c r="H157" s="70"/>
      <c r="I157" s="71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156"/>
      <c r="X157" s="156"/>
      <c r="Y157" s="156"/>
    </row>
    <row r="158">
      <c r="B158" s="68" t="s">
        <v>544</v>
      </c>
      <c r="C158" s="68">
        <v>0.0</v>
      </c>
      <c r="D158" s="68"/>
      <c r="E158" s="69"/>
      <c r="F158" s="70"/>
      <c r="G158" s="69"/>
      <c r="H158" s="70"/>
      <c r="I158" s="71"/>
      <c r="J158" s="69"/>
      <c r="K158" s="69"/>
      <c r="L158" s="69"/>
      <c r="M158" s="69"/>
      <c r="N158" s="69"/>
      <c r="O158" s="69"/>
      <c r="P158" s="69"/>
      <c r="Q158" s="69"/>
      <c r="R158" s="69"/>
      <c r="S158" s="69"/>
      <c r="T158" s="69"/>
      <c r="U158" s="69"/>
      <c r="V158" s="69"/>
      <c r="W158" s="156"/>
      <c r="X158" s="156"/>
      <c r="Y158" s="156"/>
    </row>
    <row r="159">
      <c r="B159" s="68" t="s">
        <v>545</v>
      </c>
      <c r="C159" s="68">
        <v>0.0</v>
      </c>
      <c r="D159" s="68"/>
      <c r="E159" s="69"/>
      <c r="F159" s="70"/>
      <c r="G159" s="69"/>
      <c r="H159" s="70"/>
      <c r="I159" s="71"/>
      <c r="J159" s="69"/>
      <c r="K159" s="69"/>
      <c r="L159" s="69"/>
      <c r="M159" s="69"/>
      <c r="N159" s="69"/>
      <c r="O159" s="69"/>
      <c r="P159" s="69"/>
      <c r="Q159" s="69"/>
      <c r="R159" s="69"/>
      <c r="S159" s="69"/>
      <c r="T159" s="69"/>
      <c r="U159" s="69"/>
      <c r="V159" s="69"/>
      <c r="W159" s="156"/>
      <c r="X159" s="156"/>
      <c r="Y159" s="156"/>
    </row>
    <row r="160">
      <c r="B160" s="68" t="s">
        <v>546</v>
      </c>
      <c r="C160" s="68">
        <v>0.0</v>
      </c>
      <c r="D160" s="68"/>
      <c r="E160" s="69"/>
      <c r="F160" s="70"/>
      <c r="G160" s="69"/>
      <c r="H160" s="70"/>
      <c r="I160" s="71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156"/>
      <c r="X160" s="156"/>
      <c r="Y160" s="156"/>
    </row>
    <row r="161">
      <c r="B161" s="68" t="s">
        <v>547</v>
      </c>
      <c r="C161" s="68">
        <v>0.0</v>
      </c>
      <c r="D161" s="68"/>
      <c r="E161" s="69"/>
      <c r="F161" s="70"/>
      <c r="G161" s="69"/>
      <c r="H161" s="70"/>
      <c r="I161" s="71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156"/>
      <c r="X161" s="156"/>
      <c r="Y161" s="156"/>
    </row>
    <row r="162">
      <c r="B162" s="68" t="s">
        <v>548</v>
      </c>
      <c r="C162" s="68">
        <v>0.0</v>
      </c>
      <c r="D162" s="68"/>
      <c r="E162" s="69"/>
      <c r="F162" s="70"/>
      <c r="G162" s="69"/>
      <c r="H162" s="70"/>
      <c r="I162" s="71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156"/>
      <c r="X162" s="156"/>
      <c r="Y162" s="156"/>
    </row>
    <row r="163">
      <c r="B163" s="68" t="s">
        <v>549</v>
      </c>
      <c r="C163" s="68">
        <v>0.0</v>
      </c>
      <c r="D163" s="68"/>
      <c r="E163" s="69"/>
      <c r="F163" s="70"/>
      <c r="G163" s="69"/>
      <c r="H163" s="70"/>
      <c r="I163" s="71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156"/>
      <c r="X163" s="156"/>
      <c r="Y163" s="156"/>
    </row>
    <row r="164">
      <c r="B164" s="68" t="s">
        <v>550</v>
      </c>
      <c r="C164" s="68">
        <v>0.0</v>
      </c>
      <c r="D164" s="68"/>
      <c r="E164" s="69"/>
      <c r="F164" s="70"/>
      <c r="G164" s="69"/>
      <c r="H164" s="70"/>
      <c r="I164" s="71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156"/>
      <c r="X164" s="156"/>
      <c r="Y164" s="156"/>
    </row>
    <row r="165">
      <c r="B165" s="68" t="s">
        <v>551</v>
      </c>
      <c r="C165" s="68">
        <v>0.0</v>
      </c>
      <c r="D165" s="68"/>
      <c r="E165" s="69"/>
      <c r="F165" s="70"/>
      <c r="G165" s="69"/>
      <c r="H165" s="70"/>
      <c r="I165" s="71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156"/>
      <c r="X165" s="156"/>
      <c r="Y165" s="156"/>
    </row>
    <row r="166">
      <c r="A166" s="58">
        <v>181.0</v>
      </c>
      <c r="B166" s="157" t="s">
        <v>120</v>
      </c>
      <c r="C166" s="157">
        <v>12.0</v>
      </c>
      <c r="D166" s="157" t="str">
        <f>IFERROR(__xludf.DUMMYFUNCTION("ARRAY_CONSTRAIN(filter('All Platforms'!A3:T1802,'All Platforms'!A3:A1802=""181 W""),20,20)"),"#N/A")</f>
        <v>#N/A</v>
      </c>
      <c r="E166" s="64"/>
      <c r="F166" s="158"/>
      <c r="G166" s="64"/>
      <c r="H166" s="158"/>
      <c r="I166" s="159"/>
      <c r="J166" s="64"/>
      <c r="K166" s="64"/>
      <c r="L166" s="64"/>
      <c r="M166" s="64"/>
      <c r="N166" s="64"/>
      <c r="O166" s="64"/>
      <c r="P166" s="64"/>
      <c r="Q166" s="64"/>
      <c r="R166" s="64"/>
      <c r="S166" s="64"/>
      <c r="T166" s="64"/>
      <c r="U166" s="64"/>
      <c r="V166" s="64"/>
      <c r="W166" s="57"/>
      <c r="X166" s="57"/>
      <c r="Y166" s="57"/>
    </row>
    <row r="167">
      <c r="B167" s="157" t="s">
        <v>121</v>
      </c>
      <c r="C167" s="157">
        <v>9.0</v>
      </c>
      <c r="D167" s="157"/>
      <c r="E167" s="64"/>
      <c r="F167" s="158"/>
      <c r="G167" s="64"/>
      <c r="H167" s="158"/>
      <c r="I167" s="159"/>
      <c r="J167" s="64"/>
      <c r="K167" s="64"/>
      <c r="L167" s="64"/>
      <c r="M167" s="64"/>
      <c r="N167" s="64"/>
      <c r="O167" s="64"/>
      <c r="P167" s="64"/>
      <c r="Q167" s="64"/>
      <c r="R167" s="64"/>
      <c r="S167" s="64"/>
      <c r="T167" s="64"/>
      <c r="U167" s="64"/>
      <c r="V167" s="64"/>
      <c r="W167" s="57"/>
      <c r="X167" s="57"/>
      <c r="Y167" s="57"/>
    </row>
    <row r="168">
      <c r="B168" s="157" t="s">
        <v>122</v>
      </c>
      <c r="C168" s="157">
        <f>if(countif(F166:F167,F168)&gt;1,0,8)</f>
        <v>8</v>
      </c>
      <c r="D168" s="157"/>
      <c r="E168" s="64"/>
      <c r="F168" s="158"/>
      <c r="G168" s="64"/>
      <c r="H168" s="158"/>
      <c r="I168" s="159"/>
      <c r="J168" s="64"/>
      <c r="K168" s="64"/>
      <c r="L168" s="64"/>
      <c r="M168" s="64"/>
      <c r="N168" s="64"/>
      <c r="O168" s="64"/>
      <c r="P168" s="64"/>
      <c r="Q168" s="64"/>
      <c r="R168" s="64"/>
      <c r="S168" s="64"/>
      <c r="T168" s="64"/>
      <c r="U168" s="64"/>
      <c r="V168" s="64"/>
      <c r="W168" s="57"/>
      <c r="X168" s="57"/>
      <c r="Y168" s="57"/>
    </row>
    <row r="169">
      <c r="B169" s="157" t="s">
        <v>123</v>
      </c>
      <c r="C169" s="157">
        <f>if(countif(F166:F168,F169)&gt;1,0,7)</f>
        <v>7</v>
      </c>
      <c r="D169" s="157"/>
      <c r="E169" s="64"/>
      <c r="F169" s="158"/>
      <c r="G169" s="64"/>
      <c r="H169" s="158"/>
      <c r="I169" s="159"/>
      <c r="J169" s="64"/>
      <c r="K169" s="64"/>
      <c r="L169" s="64"/>
      <c r="M169" s="64"/>
      <c r="N169" s="64"/>
      <c r="O169" s="64"/>
      <c r="P169" s="64"/>
      <c r="Q169" s="64"/>
      <c r="R169" s="64"/>
      <c r="S169" s="64"/>
      <c r="T169" s="64"/>
      <c r="U169" s="64"/>
      <c r="V169" s="64"/>
      <c r="W169" s="57"/>
      <c r="X169" s="57"/>
      <c r="Y169" s="57"/>
    </row>
    <row r="170">
      <c r="B170" s="157" t="s">
        <v>124</v>
      </c>
      <c r="C170" s="157">
        <f>if(countif(F166:F169,F170)&gt;1,0,6)</f>
        <v>6</v>
      </c>
      <c r="D170" s="157"/>
      <c r="E170" s="64"/>
      <c r="F170" s="158"/>
      <c r="G170" s="64"/>
      <c r="H170" s="158"/>
      <c r="I170" s="159"/>
      <c r="J170" s="64"/>
      <c r="K170" s="64"/>
      <c r="L170" s="64"/>
      <c r="M170" s="64"/>
      <c r="N170" s="64"/>
      <c r="O170" s="64"/>
      <c r="P170" s="64"/>
      <c r="Q170" s="64"/>
      <c r="R170" s="64"/>
      <c r="S170" s="64"/>
      <c r="T170" s="64"/>
      <c r="U170" s="64"/>
      <c r="V170" s="64"/>
      <c r="W170" s="57"/>
      <c r="X170" s="57"/>
      <c r="Y170" s="57"/>
    </row>
    <row r="171">
      <c r="B171" s="157" t="s">
        <v>125</v>
      </c>
      <c r="C171" s="157">
        <f>if(countif(F166:F170,F171)&gt;1,0,5)</f>
        <v>5</v>
      </c>
      <c r="D171" s="157"/>
      <c r="E171" s="64"/>
      <c r="F171" s="158"/>
      <c r="G171" s="64"/>
      <c r="H171" s="158"/>
      <c r="I171" s="159"/>
      <c r="J171" s="64"/>
      <c r="K171" s="64"/>
      <c r="L171" s="64"/>
      <c r="M171" s="64"/>
      <c r="N171" s="64"/>
      <c r="O171" s="64"/>
      <c r="P171" s="64"/>
      <c r="Q171" s="64"/>
      <c r="R171" s="64"/>
      <c r="S171" s="64"/>
      <c r="T171" s="64"/>
      <c r="U171" s="64"/>
      <c r="V171" s="64"/>
      <c r="W171" s="57"/>
      <c r="X171" s="57"/>
      <c r="Y171" s="57"/>
    </row>
    <row r="172">
      <c r="B172" s="157" t="s">
        <v>126</v>
      </c>
      <c r="C172" s="157">
        <f>if(countif(F166:F171,F172)&gt;1,0,4)</f>
        <v>4</v>
      </c>
      <c r="D172" s="157"/>
      <c r="E172" s="64"/>
      <c r="F172" s="158"/>
      <c r="G172" s="64"/>
      <c r="H172" s="158"/>
      <c r="I172" s="159"/>
      <c r="J172" s="64"/>
      <c r="K172" s="64"/>
      <c r="L172" s="64"/>
      <c r="M172" s="64"/>
      <c r="N172" s="64"/>
      <c r="O172" s="64"/>
      <c r="P172" s="64"/>
      <c r="Q172" s="64"/>
      <c r="R172" s="64"/>
      <c r="S172" s="64"/>
      <c r="T172" s="64"/>
      <c r="U172" s="64"/>
      <c r="V172" s="64"/>
      <c r="W172" s="57"/>
      <c r="X172" s="57"/>
      <c r="Y172" s="57"/>
    </row>
    <row r="173">
      <c r="B173" s="157" t="s">
        <v>127</v>
      </c>
      <c r="C173" s="157">
        <f>if(countif(F166:F172,F173)&gt;1,0,3)</f>
        <v>3</v>
      </c>
      <c r="D173" s="157"/>
      <c r="E173" s="64"/>
      <c r="F173" s="158"/>
      <c r="G173" s="64"/>
      <c r="H173" s="158"/>
      <c r="I173" s="159"/>
      <c r="J173" s="64"/>
      <c r="K173" s="64"/>
      <c r="L173" s="64"/>
      <c r="M173" s="64"/>
      <c r="N173" s="64"/>
      <c r="O173" s="64"/>
      <c r="P173" s="64"/>
      <c r="Q173" s="64"/>
      <c r="R173" s="64"/>
      <c r="S173" s="64"/>
      <c r="T173" s="64"/>
      <c r="U173" s="64"/>
      <c r="V173" s="64"/>
      <c r="W173" s="57"/>
      <c r="X173" s="57"/>
      <c r="Y173" s="57"/>
    </row>
    <row r="174">
      <c r="B174" s="157" t="s">
        <v>128</v>
      </c>
      <c r="C174" s="157">
        <f>if(countif(F166:F173,F174)&gt;1,0,2)</f>
        <v>2</v>
      </c>
      <c r="D174" s="157"/>
      <c r="E174" s="64"/>
      <c r="F174" s="158"/>
      <c r="G174" s="64"/>
      <c r="H174" s="158"/>
      <c r="I174" s="159"/>
      <c r="J174" s="64"/>
      <c r="K174" s="64"/>
      <c r="L174" s="64"/>
      <c r="M174" s="64"/>
      <c r="N174" s="64"/>
      <c r="O174" s="64"/>
      <c r="P174" s="64"/>
      <c r="Q174" s="64"/>
      <c r="R174" s="64"/>
      <c r="S174" s="64"/>
      <c r="T174" s="64"/>
      <c r="U174" s="64"/>
      <c r="V174" s="64"/>
      <c r="W174" s="57"/>
      <c r="X174" s="57"/>
      <c r="Y174" s="57"/>
    </row>
    <row r="175">
      <c r="B175" s="157" t="s">
        <v>129</v>
      </c>
      <c r="C175" s="157">
        <f>if(countif(F166:F174,F175)&gt;1,0,1)</f>
        <v>1</v>
      </c>
      <c r="D175" s="157"/>
      <c r="E175" s="64"/>
      <c r="F175" s="158"/>
      <c r="G175" s="64"/>
      <c r="H175" s="158"/>
      <c r="I175" s="159"/>
      <c r="J175" s="64"/>
      <c r="K175" s="64"/>
      <c r="L175" s="64"/>
      <c r="M175" s="64"/>
      <c r="N175" s="64"/>
      <c r="O175" s="64"/>
      <c r="P175" s="64"/>
      <c r="Q175" s="64"/>
      <c r="R175" s="64"/>
      <c r="S175" s="64"/>
      <c r="T175" s="64"/>
      <c r="U175" s="64"/>
      <c r="V175" s="64"/>
      <c r="W175" s="57"/>
      <c r="X175" s="57"/>
      <c r="Y175" s="57"/>
    </row>
    <row r="176">
      <c r="A176" s="67">
        <v>181.0</v>
      </c>
      <c r="B176" s="68" t="s">
        <v>542</v>
      </c>
      <c r="C176" s="68">
        <v>0.0</v>
      </c>
      <c r="D176" s="68"/>
      <c r="E176" s="69"/>
      <c r="F176" s="70"/>
      <c r="G176" s="69"/>
      <c r="H176" s="70"/>
      <c r="I176" s="71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156"/>
      <c r="X176" s="156"/>
      <c r="Y176" s="156"/>
    </row>
    <row r="177">
      <c r="B177" s="68" t="s">
        <v>543</v>
      </c>
      <c r="C177" s="68">
        <v>0.0</v>
      </c>
      <c r="D177" s="68"/>
      <c r="E177" s="69"/>
      <c r="F177" s="70"/>
      <c r="G177" s="69"/>
      <c r="H177" s="70"/>
      <c r="I177" s="71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156"/>
      <c r="X177" s="156"/>
      <c r="Y177" s="156"/>
    </row>
    <row r="178">
      <c r="B178" s="68" t="s">
        <v>544</v>
      </c>
      <c r="C178" s="68">
        <v>0.0</v>
      </c>
      <c r="D178" s="68"/>
      <c r="E178" s="69"/>
      <c r="F178" s="70"/>
      <c r="G178" s="69"/>
      <c r="H178" s="70"/>
      <c r="I178" s="71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156"/>
      <c r="X178" s="156"/>
      <c r="Y178" s="156"/>
    </row>
    <row r="179">
      <c r="B179" s="68" t="s">
        <v>545</v>
      </c>
      <c r="C179" s="68">
        <v>0.0</v>
      </c>
      <c r="D179" s="68"/>
      <c r="E179" s="69"/>
      <c r="F179" s="70"/>
      <c r="G179" s="69"/>
      <c r="H179" s="70"/>
      <c r="I179" s="71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156"/>
      <c r="X179" s="156"/>
      <c r="Y179" s="156"/>
    </row>
    <row r="180">
      <c r="B180" s="68" t="s">
        <v>546</v>
      </c>
      <c r="C180" s="68">
        <v>0.0</v>
      </c>
      <c r="D180" s="68"/>
      <c r="E180" s="69"/>
      <c r="F180" s="70"/>
      <c r="G180" s="69"/>
      <c r="H180" s="70"/>
      <c r="I180" s="71"/>
      <c r="J180" s="69"/>
      <c r="K180" s="69"/>
      <c r="L180" s="69"/>
      <c r="M180" s="69"/>
      <c r="N180" s="69"/>
      <c r="O180" s="69"/>
      <c r="P180" s="69"/>
      <c r="Q180" s="69"/>
      <c r="R180" s="69"/>
      <c r="S180" s="69"/>
      <c r="T180" s="69"/>
      <c r="U180" s="69"/>
      <c r="V180" s="69"/>
      <c r="W180" s="156"/>
      <c r="X180" s="156"/>
      <c r="Y180" s="156"/>
    </row>
    <row r="181">
      <c r="B181" s="68" t="s">
        <v>547</v>
      </c>
      <c r="C181" s="68">
        <v>0.0</v>
      </c>
      <c r="D181" s="68"/>
      <c r="E181" s="69"/>
      <c r="F181" s="70"/>
      <c r="G181" s="69"/>
      <c r="H181" s="70"/>
      <c r="I181" s="71"/>
      <c r="J181" s="69"/>
      <c r="K181" s="69"/>
      <c r="L181" s="69"/>
      <c r="M181" s="69"/>
      <c r="N181" s="69"/>
      <c r="O181" s="69"/>
      <c r="P181" s="69"/>
      <c r="Q181" s="69"/>
      <c r="R181" s="69"/>
      <c r="S181" s="69"/>
      <c r="T181" s="69"/>
      <c r="U181" s="69"/>
      <c r="V181" s="69"/>
      <c r="W181" s="156"/>
      <c r="X181" s="156"/>
      <c r="Y181" s="156"/>
    </row>
    <row r="182">
      <c r="B182" s="68" t="s">
        <v>548</v>
      </c>
      <c r="C182" s="68">
        <v>0.0</v>
      </c>
      <c r="D182" s="68"/>
      <c r="E182" s="69"/>
      <c r="F182" s="70"/>
      <c r="G182" s="69"/>
      <c r="H182" s="70"/>
      <c r="I182" s="71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156"/>
      <c r="X182" s="156"/>
      <c r="Y182" s="156"/>
    </row>
    <row r="183">
      <c r="B183" s="68" t="s">
        <v>549</v>
      </c>
      <c r="C183" s="68">
        <v>0.0</v>
      </c>
      <c r="D183" s="68"/>
      <c r="E183" s="69"/>
      <c r="F183" s="70"/>
      <c r="G183" s="69"/>
      <c r="H183" s="70"/>
      <c r="I183" s="71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156"/>
      <c r="X183" s="156"/>
      <c r="Y183" s="156"/>
    </row>
    <row r="184">
      <c r="B184" s="68" t="s">
        <v>550</v>
      </c>
      <c r="C184" s="68">
        <v>0.0</v>
      </c>
      <c r="D184" s="68"/>
      <c r="E184" s="69"/>
      <c r="F184" s="70"/>
      <c r="G184" s="69"/>
      <c r="H184" s="70"/>
      <c r="I184" s="71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156"/>
      <c r="X184" s="156"/>
      <c r="Y184" s="156"/>
    </row>
    <row r="185">
      <c r="B185" s="68" t="s">
        <v>551</v>
      </c>
      <c r="C185" s="68">
        <v>0.0</v>
      </c>
      <c r="D185" s="68"/>
      <c r="E185" s="69"/>
      <c r="F185" s="70"/>
      <c r="G185" s="69"/>
      <c r="H185" s="70"/>
      <c r="I185" s="71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156"/>
      <c r="X185" s="156"/>
      <c r="Y185" s="156"/>
    </row>
    <row r="186">
      <c r="A186" s="58">
        <v>198.0</v>
      </c>
      <c r="B186" s="157" t="s">
        <v>120</v>
      </c>
      <c r="C186" s="157">
        <v>12.0</v>
      </c>
      <c r="D186" s="157" t="str">
        <f>IFERROR(__xludf.DUMMYFUNCTION("ARRAY_CONSTRAIN(filter('All Platforms'!A3:T1802,'All Platforms'!A3:A1802=""198 W""),20,20)"),"#N/A")</f>
        <v>#N/A</v>
      </c>
      <c r="E186" s="64"/>
      <c r="F186" s="158"/>
      <c r="G186" s="64"/>
      <c r="H186" s="158"/>
      <c r="I186" s="159"/>
      <c r="J186" s="64"/>
      <c r="K186" s="64"/>
      <c r="L186" s="64"/>
      <c r="M186" s="64"/>
      <c r="N186" s="64"/>
      <c r="O186" s="64"/>
      <c r="P186" s="64"/>
      <c r="Q186" s="64"/>
      <c r="R186" s="64"/>
      <c r="S186" s="64"/>
      <c r="T186" s="64"/>
      <c r="U186" s="64"/>
      <c r="V186" s="64"/>
      <c r="W186" s="57"/>
      <c r="X186" s="160"/>
      <c r="Y186" s="57"/>
    </row>
    <row r="187">
      <c r="B187" s="157" t="s">
        <v>121</v>
      </c>
      <c r="C187" s="157">
        <v>9.0</v>
      </c>
      <c r="D187" s="157"/>
      <c r="E187" s="64"/>
      <c r="F187" s="158"/>
      <c r="G187" s="64"/>
      <c r="H187" s="158"/>
      <c r="I187" s="159"/>
      <c r="J187" s="64"/>
      <c r="K187" s="64"/>
      <c r="L187" s="64"/>
      <c r="M187" s="64"/>
      <c r="N187" s="64"/>
      <c r="O187" s="64"/>
      <c r="P187" s="64"/>
      <c r="Q187" s="64"/>
      <c r="R187" s="64"/>
      <c r="S187" s="64"/>
      <c r="T187" s="64"/>
      <c r="U187" s="64"/>
      <c r="V187" s="64"/>
      <c r="W187" s="57"/>
      <c r="X187" s="160"/>
      <c r="Y187" s="57"/>
    </row>
    <row r="188">
      <c r="B188" s="157" t="s">
        <v>122</v>
      </c>
      <c r="C188" s="157">
        <f>if(countif(F186:F187,F188)&gt;1,0,8)</f>
        <v>8</v>
      </c>
      <c r="D188" s="157"/>
      <c r="E188" s="64"/>
      <c r="F188" s="158"/>
      <c r="G188" s="64"/>
      <c r="H188" s="158"/>
      <c r="I188" s="159"/>
      <c r="J188" s="64"/>
      <c r="K188" s="64"/>
      <c r="L188" s="64"/>
      <c r="M188" s="64"/>
      <c r="N188" s="64"/>
      <c r="O188" s="64"/>
      <c r="P188" s="64"/>
      <c r="Q188" s="64"/>
      <c r="R188" s="64"/>
      <c r="S188" s="64"/>
      <c r="T188" s="64"/>
      <c r="U188" s="64"/>
      <c r="V188" s="64"/>
      <c r="W188" s="57"/>
      <c r="X188" s="57"/>
      <c r="Y188" s="57"/>
    </row>
    <row r="189">
      <c r="B189" s="157" t="s">
        <v>123</v>
      </c>
      <c r="C189" s="157">
        <f>if(countif(F186:F188,F189)&gt;1,0,7)</f>
        <v>7</v>
      </c>
      <c r="D189" s="157"/>
      <c r="E189" s="64"/>
      <c r="F189" s="158"/>
      <c r="G189" s="64"/>
      <c r="H189" s="158"/>
      <c r="I189" s="159"/>
      <c r="J189" s="64"/>
      <c r="K189" s="64"/>
      <c r="L189" s="64"/>
      <c r="M189" s="64"/>
      <c r="N189" s="64"/>
      <c r="O189" s="64"/>
      <c r="P189" s="64"/>
      <c r="Q189" s="64"/>
      <c r="R189" s="64"/>
      <c r="S189" s="64"/>
      <c r="T189" s="64"/>
      <c r="U189" s="64"/>
      <c r="V189" s="64"/>
      <c r="W189" s="57"/>
      <c r="X189" s="57"/>
      <c r="Y189" s="57"/>
    </row>
    <row r="190">
      <c r="B190" s="157" t="s">
        <v>124</v>
      </c>
      <c r="C190" s="157">
        <f>if(countif(F186:F189,F190)&gt;1,0,6)</f>
        <v>6</v>
      </c>
      <c r="D190" s="157"/>
      <c r="E190" s="64"/>
      <c r="F190" s="158"/>
      <c r="G190" s="64"/>
      <c r="H190" s="158"/>
      <c r="I190" s="159"/>
      <c r="J190" s="64"/>
      <c r="K190" s="64"/>
      <c r="L190" s="64"/>
      <c r="M190" s="64"/>
      <c r="N190" s="64"/>
      <c r="O190" s="64"/>
      <c r="P190" s="64"/>
      <c r="Q190" s="64"/>
      <c r="R190" s="64"/>
      <c r="S190" s="64"/>
      <c r="T190" s="64"/>
      <c r="U190" s="64"/>
      <c r="V190" s="64"/>
      <c r="W190" s="57"/>
      <c r="X190" s="57"/>
      <c r="Y190" s="57"/>
    </row>
    <row r="191">
      <c r="B191" s="157" t="s">
        <v>125</v>
      </c>
      <c r="C191" s="157">
        <f>if(countif(F186:F190,F191)&gt;1,0,5)</f>
        <v>5</v>
      </c>
      <c r="D191" s="157"/>
      <c r="E191" s="64"/>
      <c r="F191" s="158"/>
      <c r="G191" s="64"/>
      <c r="H191" s="158"/>
      <c r="I191" s="159"/>
      <c r="J191" s="64"/>
      <c r="K191" s="64"/>
      <c r="L191" s="64"/>
      <c r="M191" s="64"/>
      <c r="N191" s="64"/>
      <c r="O191" s="64"/>
      <c r="P191" s="64"/>
      <c r="Q191" s="64"/>
      <c r="R191" s="64"/>
      <c r="S191" s="64"/>
      <c r="T191" s="64"/>
      <c r="U191" s="64"/>
      <c r="V191" s="64"/>
      <c r="W191" s="57"/>
      <c r="X191" s="57"/>
      <c r="Y191" s="57"/>
    </row>
    <row r="192">
      <c r="B192" s="157" t="s">
        <v>126</v>
      </c>
      <c r="C192" s="157">
        <f>if(countif(F186:F191,F192)&gt;1,0,4)</f>
        <v>4</v>
      </c>
      <c r="D192" s="157"/>
      <c r="E192" s="64"/>
      <c r="F192" s="158"/>
      <c r="G192" s="64"/>
      <c r="H192" s="158"/>
      <c r="I192" s="159"/>
      <c r="J192" s="64"/>
      <c r="K192" s="64"/>
      <c r="L192" s="64"/>
      <c r="M192" s="64"/>
      <c r="N192" s="64"/>
      <c r="O192" s="64"/>
      <c r="P192" s="64"/>
      <c r="Q192" s="64"/>
      <c r="R192" s="64"/>
      <c r="S192" s="64"/>
      <c r="T192" s="64"/>
      <c r="U192" s="64"/>
      <c r="V192" s="64"/>
      <c r="W192" s="57"/>
      <c r="X192" s="57"/>
      <c r="Y192" s="57"/>
    </row>
    <row r="193">
      <c r="B193" s="157" t="s">
        <v>127</v>
      </c>
      <c r="C193" s="157">
        <f>if(countif(F186:F192,F193)&gt;1,0,3)</f>
        <v>3</v>
      </c>
      <c r="D193" s="157"/>
      <c r="E193" s="64"/>
      <c r="F193" s="158"/>
      <c r="G193" s="64"/>
      <c r="H193" s="158"/>
      <c r="I193" s="159"/>
      <c r="J193" s="64"/>
      <c r="K193" s="64"/>
      <c r="L193" s="64"/>
      <c r="M193" s="64"/>
      <c r="N193" s="64"/>
      <c r="O193" s="64"/>
      <c r="P193" s="64"/>
      <c r="Q193" s="64"/>
      <c r="R193" s="64"/>
      <c r="S193" s="64"/>
      <c r="T193" s="64"/>
      <c r="U193" s="64"/>
      <c r="V193" s="64"/>
      <c r="W193" s="57"/>
      <c r="X193" s="57"/>
      <c r="Y193" s="57"/>
    </row>
    <row r="194">
      <c r="B194" s="157" t="s">
        <v>128</v>
      </c>
      <c r="C194" s="157">
        <f>if(countif(F186:F193,F194)&gt;1,0,2)</f>
        <v>2</v>
      </c>
      <c r="D194" s="157"/>
      <c r="E194" s="64"/>
      <c r="F194" s="158"/>
      <c r="G194" s="64"/>
      <c r="H194" s="158"/>
      <c r="I194" s="159"/>
      <c r="J194" s="64"/>
      <c r="K194" s="64"/>
      <c r="L194" s="64"/>
      <c r="M194" s="64"/>
      <c r="N194" s="64"/>
      <c r="O194" s="64"/>
      <c r="P194" s="64"/>
      <c r="Q194" s="64"/>
      <c r="R194" s="64"/>
      <c r="S194" s="64"/>
      <c r="T194" s="64"/>
      <c r="U194" s="64"/>
      <c r="V194" s="64"/>
      <c r="W194" s="57"/>
      <c r="X194" s="57"/>
      <c r="Y194" s="57"/>
    </row>
    <row r="195">
      <c r="B195" s="157" t="s">
        <v>129</v>
      </c>
      <c r="C195" s="157">
        <f>if(countif(F186:F194,F195)&gt;1,0,1)</f>
        <v>1</v>
      </c>
      <c r="D195" s="157"/>
      <c r="E195" s="64"/>
      <c r="F195" s="158"/>
      <c r="G195" s="64"/>
      <c r="H195" s="158"/>
      <c r="I195" s="159"/>
      <c r="J195" s="64"/>
      <c r="K195" s="64"/>
      <c r="L195" s="64"/>
      <c r="M195" s="64"/>
      <c r="N195" s="64"/>
      <c r="O195" s="64"/>
      <c r="P195" s="64"/>
      <c r="Q195" s="64"/>
      <c r="R195" s="64"/>
      <c r="S195" s="64"/>
      <c r="T195" s="64"/>
      <c r="U195" s="64"/>
      <c r="V195" s="64"/>
      <c r="W195" s="57"/>
      <c r="X195" s="160">
        <v>1.0</v>
      </c>
      <c r="Y195" s="57"/>
    </row>
    <row r="196">
      <c r="A196" s="67">
        <v>198.0</v>
      </c>
      <c r="B196" s="68" t="s">
        <v>542</v>
      </c>
      <c r="C196" s="68">
        <v>0.0</v>
      </c>
      <c r="D196" s="68"/>
      <c r="E196" s="69"/>
      <c r="F196" s="70"/>
      <c r="G196" s="69"/>
      <c r="H196" s="70"/>
      <c r="I196" s="71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156"/>
      <c r="X196" s="161">
        <v>2.0</v>
      </c>
      <c r="Y196" s="156"/>
    </row>
    <row r="197">
      <c r="B197" s="68" t="s">
        <v>543</v>
      </c>
      <c r="C197" s="68">
        <v>0.0</v>
      </c>
      <c r="D197" s="68"/>
      <c r="E197" s="69"/>
      <c r="F197" s="70"/>
      <c r="G197" s="69"/>
      <c r="H197" s="70"/>
      <c r="I197" s="71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156"/>
      <c r="X197" s="156"/>
      <c r="Y197" s="156"/>
    </row>
    <row r="198">
      <c r="B198" s="68" t="s">
        <v>544</v>
      </c>
      <c r="C198" s="68">
        <v>0.0</v>
      </c>
      <c r="D198" s="68"/>
      <c r="E198" s="69"/>
      <c r="F198" s="70"/>
      <c r="G198" s="69"/>
      <c r="H198" s="70"/>
      <c r="I198" s="71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156"/>
      <c r="X198" s="156"/>
      <c r="Y198" s="156"/>
    </row>
    <row r="199">
      <c r="B199" s="68" t="s">
        <v>545</v>
      </c>
      <c r="C199" s="68">
        <v>0.0</v>
      </c>
      <c r="D199" s="68"/>
      <c r="E199" s="69"/>
      <c r="F199" s="70"/>
      <c r="G199" s="69"/>
      <c r="H199" s="70"/>
      <c r="I199" s="71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156"/>
      <c r="X199" s="156"/>
      <c r="Y199" s="156"/>
    </row>
    <row r="200">
      <c r="B200" s="68" t="s">
        <v>546</v>
      </c>
      <c r="C200" s="68">
        <v>0.0</v>
      </c>
      <c r="D200" s="68"/>
      <c r="E200" s="69"/>
      <c r="F200" s="70"/>
      <c r="G200" s="69"/>
      <c r="H200" s="70"/>
      <c r="I200" s="71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156"/>
      <c r="X200" s="156"/>
      <c r="Y200" s="156"/>
    </row>
    <row r="201">
      <c r="B201" s="68" t="s">
        <v>547</v>
      </c>
      <c r="C201" s="68">
        <v>0.0</v>
      </c>
      <c r="D201" s="68"/>
      <c r="E201" s="69"/>
      <c r="F201" s="70"/>
      <c r="G201" s="69"/>
      <c r="H201" s="70"/>
      <c r="I201" s="71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156"/>
      <c r="X201" s="156"/>
      <c r="Y201" s="156"/>
    </row>
    <row r="202">
      <c r="B202" s="68" t="s">
        <v>548</v>
      </c>
      <c r="C202" s="68">
        <v>0.0</v>
      </c>
      <c r="D202" s="68"/>
      <c r="E202" s="69"/>
      <c r="F202" s="70"/>
      <c r="G202" s="69"/>
      <c r="H202" s="70"/>
      <c r="I202" s="71"/>
      <c r="J202" s="69"/>
      <c r="K202" s="69"/>
      <c r="L202" s="69"/>
      <c r="M202" s="69"/>
      <c r="N202" s="69"/>
      <c r="O202" s="69"/>
      <c r="P202" s="69"/>
      <c r="Q202" s="69"/>
      <c r="R202" s="69"/>
      <c r="S202" s="69"/>
      <c r="T202" s="69"/>
      <c r="U202" s="69"/>
      <c r="V202" s="69"/>
      <c r="W202" s="156"/>
      <c r="X202" s="156"/>
      <c r="Y202" s="156"/>
    </row>
    <row r="203">
      <c r="B203" s="68" t="s">
        <v>549</v>
      </c>
      <c r="C203" s="68">
        <v>0.0</v>
      </c>
      <c r="D203" s="68"/>
      <c r="E203" s="69"/>
      <c r="F203" s="70"/>
      <c r="G203" s="69"/>
      <c r="H203" s="70"/>
      <c r="I203" s="71"/>
      <c r="J203" s="69"/>
      <c r="K203" s="69"/>
      <c r="L203" s="69"/>
      <c r="M203" s="69"/>
      <c r="N203" s="69"/>
      <c r="O203" s="69"/>
      <c r="P203" s="69"/>
      <c r="Q203" s="69"/>
      <c r="R203" s="69"/>
      <c r="S203" s="69"/>
      <c r="T203" s="69"/>
      <c r="U203" s="69"/>
      <c r="V203" s="69"/>
      <c r="W203" s="156"/>
      <c r="X203" s="156"/>
      <c r="Y203" s="156"/>
    </row>
    <row r="204">
      <c r="B204" s="68" t="s">
        <v>550</v>
      </c>
      <c r="C204" s="68">
        <v>0.0</v>
      </c>
      <c r="D204" s="68"/>
      <c r="E204" s="69"/>
      <c r="F204" s="70"/>
      <c r="G204" s="69"/>
      <c r="H204" s="70"/>
      <c r="I204" s="71"/>
      <c r="J204" s="69"/>
      <c r="K204" s="69"/>
      <c r="L204" s="69"/>
      <c r="M204" s="69"/>
      <c r="N204" s="69"/>
      <c r="O204" s="69"/>
      <c r="P204" s="69"/>
      <c r="Q204" s="69"/>
      <c r="R204" s="69"/>
      <c r="S204" s="69"/>
      <c r="T204" s="69"/>
      <c r="U204" s="69"/>
      <c r="V204" s="69"/>
      <c r="W204" s="156"/>
      <c r="X204" s="156"/>
      <c r="Y204" s="156"/>
    </row>
    <row r="205">
      <c r="B205" s="68" t="s">
        <v>551</v>
      </c>
      <c r="C205" s="68">
        <v>0.0</v>
      </c>
      <c r="D205" s="68"/>
      <c r="E205" s="69"/>
      <c r="F205" s="70"/>
      <c r="G205" s="69"/>
      <c r="H205" s="70"/>
      <c r="I205" s="71"/>
      <c r="J205" s="69"/>
      <c r="K205" s="69"/>
      <c r="L205" s="69"/>
      <c r="M205" s="69"/>
      <c r="N205" s="69"/>
      <c r="O205" s="69"/>
      <c r="P205" s="69"/>
      <c r="Q205" s="69"/>
      <c r="R205" s="69"/>
      <c r="S205" s="69"/>
      <c r="T205" s="69"/>
      <c r="U205" s="69"/>
      <c r="V205" s="69"/>
      <c r="W205" s="156"/>
      <c r="X205" s="156"/>
      <c r="Y205" s="156"/>
    </row>
    <row r="206">
      <c r="A206" s="58">
        <v>220.0</v>
      </c>
      <c r="B206" s="157" t="s">
        <v>120</v>
      </c>
      <c r="C206" s="157">
        <v>12.0</v>
      </c>
      <c r="D206" s="157" t="str">
        <f>IFERROR(__xludf.DUMMYFUNCTION("ARRAY_CONSTRAIN(filter('All Platforms'!A3:T1802,'All Platforms'!A3:A1802=""220 W""),20,20)"),"#N/A")</f>
        <v>#N/A</v>
      </c>
      <c r="E206" s="64"/>
      <c r="F206" s="158"/>
      <c r="G206" s="64"/>
      <c r="H206" s="158"/>
      <c r="I206" s="159"/>
      <c r="J206" s="64"/>
      <c r="K206" s="64"/>
      <c r="L206" s="64"/>
      <c r="M206" s="64"/>
      <c r="N206" s="64"/>
      <c r="O206" s="64"/>
      <c r="P206" s="64"/>
      <c r="Q206" s="64"/>
      <c r="R206" s="64"/>
      <c r="S206" s="64"/>
      <c r="T206" s="64"/>
      <c r="U206" s="64"/>
      <c r="V206" s="64"/>
      <c r="W206" s="57"/>
      <c r="X206" s="57"/>
      <c r="Y206" s="57"/>
    </row>
    <row r="207">
      <c r="B207" s="157" t="s">
        <v>121</v>
      </c>
      <c r="C207" s="157">
        <v>9.0</v>
      </c>
      <c r="D207" s="157"/>
      <c r="E207" s="64"/>
      <c r="F207" s="158"/>
      <c r="G207" s="64"/>
      <c r="H207" s="158"/>
      <c r="I207" s="159"/>
      <c r="J207" s="64"/>
      <c r="K207" s="64"/>
      <c r="L207" s="64"/>
      <c r="M207" s="64"/>
      <c r="N207" s="64"/>
      <c r="O207" s="64"/>
      <c r="P207" s="64"/>
      <c r="Q207" s="64"/>
      <c r="R207" s="64"/>
      <c r="S207" s="64"/>
      <c r="T207" s="64"/>
      <c r="U207" s="64"/>
      <c r="V207" s="64"/>
      <c r="W207" s="57"/>
      <c r="X207" s="57"/>
      <c r="Y207" s="57"/>
    </row>
    <row r="208">
      <c r="B208" s="157" t="s">
        <v>122</v>
      </c>
      <c r="C208" s="157">
        <f>if(countif(F206:F207,F208)&gt;1,0,8)</f>
        <v>8</v>
      </c>
      <c r="D208" s="157"/>
      <c r="E208" s="64"/>
      <c r="F208" s="158"/>
      <c r="G208" s="64"/>
      <c r="H208" s="158"/>
      <c r="I208" s="159"/>
      <c r="J208" s="64"/>
      <c r="K208" s="64"/>
      <c r="L208" s="64"/>
      <c r="M208" s="64"/>
      <c r="N208" s="64"/>
      <c r="O208" s="64"/>
      <c r="P208" s="64"/>
      <c r="Q208" s="64"/>
      <c r="R208" s="64"/>
      <c r="S208" s="64"/>
      <c r="T208" s="64"/>
      <c r="U208" s="64"/>
      <c r="V208" s="64"/>
      <c r="W208" s="57"/>
      <c r="X208" s="57"/>
      <c r="Y208" s="57"/>
    </row>
    <row r="209">
      <c r="B209" s="157" t="s">
        <v>123</v>
      </c>
      <c r="C209" s="157">
        <f>if(countif(F206:F208,F209)&gt;1,0,7)</f>
        <v>7</v>
      </c>
      <c r="D209" s="157"/>
      <c r="E209" s="64"/>
      <c r="F209" s="158"/>
      <c r="G209" s="64"/>
      <c r="H209" s="158"/>
      <c r="I209" s="159"/>
      <c r="J209" s="64"/>
      <c r="K209" s="64"/>
      <c r="L209" s="64"/>
      <c r="M209" s="64"/>
      <c r="N209" s="64"/>
      <c r="O209" s="64"/>
      <c r="P209" s="64"/>
      <c r="Q209" s="64"/>
      <c r="R209" s="64"/>
      <c r="S209" s="64"/>
      <c r="T209" s="64"/>
      <c r="U209" s="64"/>
      <c r="V209" s="64"/>
      <c r="W209" s="57"/>
      <c r="X209" s="57"/>
      <c r="Y209" s="57"/>
    </row>
    <row r="210">
      <c r="B210" s="157" t="s">
        <v>124</v>
      </c>
      <c r="C210" s="157">
        <f>if(countif(F206:F209,F210)&gt;1,0,6)</f>
        <v>6</v>
      </c>
      <c r="D210" s="157"/>
      <c r="E210" s="64"/>
      <c r="F210" s="158"/>
      <c r="G210" s="64"/>
      <c r="H210" s="158"/>
      <c r="I210" s="159"/>
      <c r="J210" s="64"/>
      <c r="K210" s="64"/>
      <c r="L210" s="64"/>
      <c r="M210" s="64"/>
      <c r="N210" s="64"/>
      <c r="O210" s="64"/>
      <c r="P210" s="64"/>
      <c r="Q210" s="64"/>
      <c r="R210" s="64"/>
      <c r="S210" s="64"/>
      <c r="T210" s="64"/>
      <c r="U210" s="64"/>
      <c r="V210" s="64"/>
      <c r="W210" s="57"/>
      <c r="X210" s="57"/>
      <c r="Y210" s="57"/>
    </row>
    <row r="211">
      <c r="B211" s="157" t="s">
        <v>125</v>
      </c>
      <c r="C211" s="157">
        <f>if(countif(F206:F210,F211)&gt;1,0,5)</f>
        <v>5</v>
      </c>
      <c r="D211" s="157"/>
      <c r="E211" s="64"/>
      <c r="F211" s="158"/>
      <c r="G211" s="64"/>
      <c r="H211" s="158"/>
      <c r="I211" s="159"/>
      <c r="J211" s="64"/>
      <c r="K211" s="64"/>
      <c r="L211" s="64"/>
      <c r="M211" s="64"/>
      <c r="N211" s="64"/>
      <c r="O211" s="64"/>
      <c r="P211" s="64"/>
      <c r="Q211" s="64"/>
      <c r="R211" s="64"/>
      <c r="S211" s="64"/>
      <c r="T211" s="64"/>
      <c r="U211" s="64"/>
      <c r="V211" s="64"/>
      <c r="W211" s="57"/>
      <c r="X211" s="57"/>
      <c r="Y211" s="57"/>
    </row>
    <row r="212">
      <c r="B212" s="157" t="s">
        <v>126</v>
      </c>
      <c r="C212" s="157">
        <f>if(countif(F206:F211,F212)&gt;1,0,4)</f>
        <v>4</v>
      </c>
      <c r="D212" s="157"/>
      <c r="E212" s="64"/>
      <c r="F212" s="158"/>
      <c r="G212" s="64"/>
      <c r="H212" s="158"/>
      <c r="I212" s="159"/>
      <c r="J212" s="64"/>
      <c r="K212" s="64"/>
      <c r="L212" s="64"/>
      <c r="M212" s="64"/>
      <c r="N212" s="64"/>
      <c r="O212" s="64"/>
      <c r="P212" s="64"/>
      <c r="Q212" s="64"/>
      <c r="R212" s="64"/>
      <c r="S212" s="64"/>
      <c r="T212" s="64"/>
      <c r="U212" s="64"/>
      <c r="V212" s="64"/>
      <c r="W212" s="57"/>
      <c r="X212" s="57"/>
      <c r="Y212" s="57"/>
    </row>
    <row r="213">
      <c r="B213" s="157" t="s">
        <v>127</v>
      </c>
      <c r="C213" s="157">
        <f>if(countif(F206:F212,F213)&gt;1,0,3)</f>
        <v>3</v>
      </c>
      <c r="D213" s="157"/>
      <c r="E213" s="64"/>
      <c r="F213" s="158"/>
      <c r="G213" s="64"/>
      <c r="H213" s="158"/>
      <c r="I213" s="159"/>
      <c r="J213" s="64"/>
      <c r="K213" s="64"/>
      <c r="L213" s="64"/>
      <c r="M213" s="64"/>
      <c r="N213" s="64"/>
      <c r="O213" s="64"/>
      <c r="P213" s="64"/>
      <c r="Q213" s="64"/>
      <c r="R213" s="64"/>
      <c r="S213" s="64"/>
      <c r="T213" s="64"/>
      <c r="U213" s="64"/>
      <c r="V213" s="64"/>
      <c r="W213" s="57"/>
      <c r="X213" s="57"/>
      <c r="Y213" s="57"/>
    </row>
    <row r="214">
      <c r="B214" s="157" t="s">
        <v>128</v>
      </c>
      <c r="C214" s="157">
        <f>if(countif(F206:F213,F214)&gt;1,0,2)</f>
        <v>2</v>
      </c>
      <c r="D214" s="157"/>
      <c r="E214" s="64"/>
      <c r="F214" s="158"/>
      <c r="G214" s="64"/>
      <c r="H214" s="158"/>
      <c r="I214" s="159"/>
      <c r="J214" s="64"/>
      <c r="K214" s="64"/>
      <c r="L214" s="64"/>
      <c r="M214" s="64"/>
      <c r="N214" s="64"/>
      <c r="O214" s="64"/>
      <c r="P214" s="64"/>
      <c r="Q214" s="64"/>
      <c r="R214" s="64"/>
      <c r="S214" s="64"/>
      <c r="T214" s="64"/>
      <c r="U214" s="64"/>
      <c r="V214" s="64"/>
      <c r="W214" s="57"/>
      <c r="X214" s="57"/>
      <c r="Y214" s="57"/>
    </row>
    <row r="215">
      <c r="B215" s="157" t="s">
        <v>129</v>
      </c>
      <c r="C215" s="157">
        <f>if(countif(F206:F214,F215)&gt;1,0,1)</f>
        <v>1</v>
      </c>
      <c r="D215" s="157"/>
      <c r="E215" s="64"/>
      <c r="F215" s="158"/>
      <c r="G215" s="64"/>
      <c r="H215" s="158"/>
      <c r="I215" s="159"/>
      <c r="J215" s="64"/>
      <c r="K215" s="64"/>
      <c r="L215" s="64"/>
      <c r="M215" s="64"/>
      <c r="N215" s="64"/>
      <c r="O215" s="64"/>
      <c r="P215" s="64"/>
      <c r="Q215" s="64"/>
      <c r="R215" s="64"/>
      <c r="S215" s="64"/>
      <c r="T215" s="64"/>
      <c r="U215" s="64"/>
      <c r="V215" s="64"/>
      <c r="W215" s="57"/>
      <c r="X215" s="57"/>
      <c r="Y215" s="57"/>
    </row>
    <row r="216">
      <c r="A216" s="67">
        <v>220.0</v>
      </c>
      <c r="B216" s="68" t="s">
        <v>542</v>
      </c>
      <c r="C216" s="68">
        <v>0.0</v>
      </c>
      <c r="D216" s="68"/>
      <c r="E216" s="69"/>
      <c r="F216" s="70"/>
      <c r="G216" s="69"/>
      <c r="H216" s="70"/>
      <c r="I216" s="71"/>
      <c r="J216" s="69"/>
      <c r="K216" s="69"/>
      <c r="L216" s="69"/>
      <c r="M216" s="69"/>
      <c r="N216" s="69"/>
      <c r="O216" s="69"/>
      <c r="P216" s="69"/>
      <c r="Q216" s="69"/>
      <c r="R216" s="69"/>
      <c r="S216" s="69"/>
      <c r="T216" s="69"/>
      <c r="U216" s="69"/>
      <c r="V216" s="69"/>
      <c r="W216" s="156"/>
      <c r="X216" s="156"/>
      <c r="Y216" s="156"/>
    </row>
    <row r="217">
      <c r="B217" s="68" t="s">
        <v>543</v>
      </c>
      <c r="C217" s="68">
        <v>0.0</v>
      </c>
      <c r="D217" s="68"/>
      <c r="E217" s="69"/>
      <c r="F217" s="70"/>
      <c r="G217" s="69"/>
      <c r="H217" s="70"/>
      <c r="I217" s="71"/>
      <c r="J217" s="69"/>
      <c r="K217" s="69"/>
      <c r="L217" s="69"/>
      <c r="M217" s="69"/>
      <c r="N217" s="69"/>
      <c r="O217" s="69"/>
      <c r="P217" s="69"/>
      <c r="Q217" s="69"/>
      <c r="R217" s="69"/>
      <c r="S217" s="69"/>
      <c r="T217" s="69"/>
      <c r="U217" s="69"/>
      <c r="V217" s="69"/>
      <c r="W217" s="156"/>
      <c r="X217" s="156"/>
      <c r="Y217" s="156"/>
    </row>
    <row r="218">
      <c r="B218" s="68" t="s">
        <v>544</v>
      </c>
      <c r="C218" s="68">
        <v>0.0</v>
      </c>
      <c r="D218" s="68"/>
      <c r="E218" s="69"/>
      <c r="F218" s="70"/>
      <c r="G218" s="69"/>
      <c r="H218" s="70"/>
      <c r="I218" s="71"/>
      <c r="J218" s="69"/>
      <c r="K218" s="69"/>
      <c r="L218" s="69"/>
      <c r="M218" s="69"/>
      <c r="N218" s="69"/>
      <c r="O218" s="69"/>
      <c r="P218" s="69"/>
      <c r="Q218" s="69"/>
      <c r="R218" s="69"/>
      <c r="S218" s="69"/>
      <c r="T218" s="69"/>
      <c r="U218" s="69"/>
      <c r="V218" s="69"/>
      <c r="W218" s="156"/>
      <c r="X218" s="156"/>
      <c r="Y218" s="156"/>
    </row>
    <row r="219">
      <c r="B219" s="68" t="s">
        <v>545</v>
      </c>
      <c r="C219" s="68">
        <v>0.0</v>
      </c>
      <c r="D219" s="68"/>
      <c r="E219" s="69"/>
      <c r="F219" s="70"/>
      <c r="G219" s="69"/>
      <c r="H219" s="70"/>
      <c r="I219" s="71"/>
      <c r="J219" s="69"/>
      <c r="K219" s="69"/>
      <c r="L219" s="69"/>
      <c r="M219" s="69"/>
      <c r="N219" s="69"/>
      <c r="O219" s="69"/>
      <c r="P219" s="69"/>
      <c r="Q219" s="69"/>
      <c r="R219" s="69"/>
      <c r="S219" s="69"/>
      <c r="T219" s="69"/>
      <c r="U219" s="69"/>
      <c r="V219" s="69"/>
      <c r="W219" s="156"/>
      <c r="X219" s="156"/>
      <c r="Y219" s="156"/>
    </row>
    <row r="220">
      <c r="B220" s="68" t="s">
        <v>546</v>
      </c>
      <c r="C220" s="68">
        <v>0.0</v>
      </c>
      <c r="D220" s="68"/>
      <c r="E220" s="69"/>
      <c r="F220" s="70"/>
      <c r="G220" s="69"/>
      <c r="H220" s="70"/>
      <c r="I220" s="71"/>
      <c r="J220" s="69"/>
      <c r="K220" s="69"/>
      <c r="L220" s="69"/>
      <c r="M220" s="69"/>
      <c r="N220" s="69"/>
      <c r="O220" s="69"/>
      <c r="P220" s="69"/>
      <c r="Q220" s="69"/>
      <c r="R220" s="69"/>
      <c r="S220" s="69"/>
      <c r="T220" s="69"/>
      <c r="U220" s="69"/>
      <c r="V220" s="69"/>
      <c r="W220" s="156"/>
      <c r="X220" s="156"/>
      <c r="Y220" s="156"/>
    </row>
    <row r="221">
      <c r="B221" s="68" t="s">
        <v>547</v>
      </c>
      <c r="C221" s="68">
        <v>0.0</v>
      </c>
      <c r="D221" s="68"/>
      <c r="E221" s="69"/>
      <c r="F221" s="70"/>
      <c r="G221" s="69"/>
      <c r="H221" s="70"/>
      <c r="I221" s="71"/>
      <c r="J221" s="69"/>
      <c r="K221" s="69"/>
      <c r="L221" s="69"/>
      <c r="M221" s="69"/>
      <c r="N221" s="69"/>
      <c r="O221" s="69"/>
      <c r="P221" s="69"/>
      <c r="Q221" s="69"/>
      <c r="R221" s="69"/>
      <c r="S221" s="69"/>
      <c r="T221" s="69"/>
      <c r="U221" s="69"/>
      <c r="V221" s="69"/>
      <c r="W221" s="156"/>
      <c r="X221" s="156"/>
      <c r="Y221" s="156"/>
    </row>
    <row r="222">
      <c r="B222" s="68" t="s">
        <v>548</v>
      </c>
      <c r="C222" s="68">
        <v>0.0</v>
      </c>
      <c r="D222" s="68"/>
      <c r="E222" s="69"/>
      <c r="F222" s="70"/>
      <c r="G222" s="69"/>
      <c r="H222" s="70"/>
      <c r="I222" s="71"/>
      <c r="J222" s="69"/>
      <c r="K222" s="69"/>
      <c r="L222" s="69"/>
      <c r="M222" s="69"/>
      <c r="N222" s="69"/>
      <c r="O222" s="69"/>
      <c r="P222" s="69"/>
      <c r="Q222" s="69"/>
      <c r="R222" s="69"/>
      <c r="S222" s="69"/>
      <c r="T222" s="69"/>
      <c r="U222" s="69"/>
      <c r="V222" s="69"/>
      <c r="W222" s="156"/>
      <c r="X222" s="156"/>
      <c r="Y222" s="156"/>
    </row>
    <row r="223">
      <c r="B223" s="68" t="s">
        <v>549</v>
      </c>
      <c r="C223" s="68">
        <v>0.0</v>
      </c>
      <c r="D223" s="68"/>
      <c r="E223" s="69"/>
      <c r="F223" s="70"/>
      <c r="G223" s="69"/>
      <c r="H223" s="70"/>
      <c r="I223" s="71"/>
      <c r="J223" s="69"/>
      <c r="K223" s="69"/>
      <c r="L223" s="69"/>
      <c r="M223" s="69"/>
      <c r="N223" s="69"/>
      <c r="O223" s="69"/>
      <c r="P223" s="69"/>
      <c r="Q223" s="69"/>
      <c r="R223" s="69"/>
      <c r="S223" s="69"/>
      <c r="T223" s="69"/>
      <c r="U223" s="69"/>
      <c r="V223" s="69"/>
      <c r="W223" s="156"/>
      <c r="X223" s="156"/>
      <c r="Y223" s="156"/>
    </row>
    <row r="224">
      <c r="B224" s="68" t="s">
        <v>550</v>
      </c>
      <c r="C224" s="68">
        <v>0.0</v>
      </c>
      <c r="D224" s="68"/>
      <c r="E224" s="69"/>
      <c r="F224" s="70"/>
      <c r="G224" s="69"/>
      <c r="H224" s="70"/>
      <c r="I224" s="71"/>
      <c r="J224" s="69"/>
      <c r="K224" s="69"/>
      <c r="L224" s="69"/>
      <c r="M224" s="69"/>
      <c r="N224" s="69"/>
      <c r="O224" s="69"/>
      <c r="P224" s="69"/>
      <c r="Q224" s="69"/>
      <c r="R224" s="69"/>
      <c r="S224" s="69"/>
      <c r="T224" s="69"/>
      <c r="U224" s="69"/>
      <c r="V224" s="69"/>
      <c r="W224" s="156"/>
      <c r="X224" s="156"/>
      <c r="Y224" s="156"/>
    </row>
    <row r="225">
      <c r="B225" s="68" t="s">
        <v>551</v>
      </c>
      <c r="C225" s="68">
        <v>0.0</v>
      </c>
      <c r="D225" s="68"/>
      <c r="E225" s="69"/>
      <c r="F225" s="70"/>
      <c r="G225" s="69"/>
      <c r="H225" s="70"/>
      <c r="I225" s="71"/>
      <c r="J225" s="69"/>
      <c r="K225" s="69"/>
      <c r="L225" s="69"/>
      <c r="M225" s="69"/>
      <c r="N225" s="69"/>
      <c r="O225" s="69"/>
      <c r="P225" s="69"/>
      <c r="Q225" s="69"/>
      <c r="R225" s="69"/>
      <c r="S225" s="69"/>
      <c r="T225" s="69"/>
      <c r="U225" s="69"/>
      <c r="V225" s="69"/>
      <c r="W225" s="156"/>
      <c r="X225" s="156"/>
      <c r="Y225" s="156"/>
    </row>
    <row r="226">
      <c r="A226" s="58">
        <v>242.0</v>
      </c>
      <c r="B226" s="157" t="s">
        <v>120</v>
      </c>
      <c r="C226" s="157">
        <v>12.0</v>
      </c>
      <c r="D226" s="157" t="str">
        <f>IFERROR(__xludf.DUMMYFUNCTION("ARRAY_CONSTRAIN(filter('All Platforms'!A3:T1802,'All Platforms'!A3:A1802=""242 W""),20,20)"),"#N/A")</f>
        <v>#N/A</v>
      </c>
      <c r="E226" s="64"/>
      <c r="F226" s="158"/>
      <c r="G226" s="64"/>
      <c r="H226" s="158"/>
      <c r="I226" s="159"/>
      <c r="J226" s="64"/>
      <c r="K226" s="64"/>
      <c r="L226" s="64"/>
      <c r="M226" s="64"/>
      <c r="N226" s="64"/>
      <c r="O226" s="64"/>
      <c r="P226" s="64"/>
      <c r="Q226" s="64"/>
      <c r="R226" s="64"/>
      <c r="S226" s="64"/>
      <c r="T226" s="64"/>
      <c r="U226" s="64"/>
      <c r="V226" s="64"/>
      <c r="W226" s="57"/>
      <c r="X226" s="57"/>
      <c r="Y226" s="57"/>
    </row>
    <row r="227">
      <c r="B227" s="157" t="s">
        <v>121</v>
      </c>
      <c r="C227" s="157">
        <v>9.0</v>
      </c>
      <c r="D227" s="157"/>
      <c r="E227" s="64"/>
      <c r="F227" s="158"/>
      <c r="G227" s="64"/>
      <c r="H227" s="158"/>
      <c r="I227" s="159"/>
      <c r="J227" s="64"/>
      <c r="K227" s="64"/>
      <c r="L227" s="64"/>
      <c r="M227" s="64"/>
      <c r="N227" s="64"/>
      <c r="O227" s="64"/>
      <c r="P227" s="64"/>
      <c r="Q227" s="64"/>
      <c r="R227" s="64"/>
      <c r="S227" s="64"/>
      <c r="T227" s="64"/>
      <c r="U227" s="64"/>
      <c r="V227" s="64"/>
      <c r="W227" s="57"/>
      <c r="X227" s="57"/>
      <c r="Y227" s="57"/>
    </row>
    <row r="228">
      <c r="B228" s="157" t="s">
        <v>122</v>
      </c>
      <c r="C228" s="157">
        <f>if(countif(F226:F227,F228)&gt;1,0,8)</f>
        <v>8</v>
      </c>
      <c r="D228" s="157"/>
      <c r="E228" s="64"/>
      <c r="F228" s="158"/>
      <c r="G228" s="64"/>
      <c r="H228" s="158"/>
      <c r="I228" s="159"/>
      <c r="J228" s="64"/>
      <c r="K228" s="64"/>
      <c r="L228" s="64"/>
      <c r="M228" s="64"/>
      <c r="N228" s="64"/>
      <c r="O228" s="64"/>
      <c r="P228" s="64"/>
      <c r="Q228" s="64"/>
      <c r="R228" s="64"/>
      <c r="S228" s="64"/>
      <c r="T228" s="64"/>
      <c r="U228" s="64"/>
      <c r="V228" s="64"/>
      <c r="W228" s="57"/>
      <c r="X228" s="57"/>
      <c r="Y228" s="57"/>
    </row>
    <row r="229">
      <c r="B229" s="157" t="s">
        <v>123</v>
      </c>
      <c r="C229" s="157">
        <f>if(countif(F226:F228,F229)&gt;1,0,7)</f>
        <v>7</v>
      </c>
      <c r="D229" s="157"/>
      <c r="E229" s="64"/>
      <c r="F229" s="158"/>
      <c r="G229" s="64"/>
      <c r="H229" s="158"/>
      <c r="I229" s="159"/>
      <c r="J229" s="64"/>
      <c r="K229" s="64"/>
      <c r="L229" s="64"/>
      <c r="M229" s="64"/>
      <c r="N229" s="64"/>
      <c r="O229" s="64"/>
      <c r="P229" s="64"/>
      <c r="Q229" s="64"/>
      <c r="R229" s="64"/>
      <c r="S229" s="64"/>
      <c r="T229" s="64"/>
      <c r="U229" s="64"/>
      <c r="V229" s="64"/>
      <c r="W229" s="57"/>
      <c r="X229" s="57"/>
      <c r="Y229" s="57"/>
    </row>
    <row r="230">
      <c r="B230" s="157" t="s">
        <v>124</v>
      </c>
      <c r="C230" s="157">
        <f>if(countif(F226:F229,F230)&gt;1,0,6)</f>
        <v>6</v>
      </c>
      <c r="D230" s="157"/>
      <c r="E230" s="64"/>
      <c r="F230" s="158"/>
      <c r="G230" s="64"/>
      <c r="H230" s="158"/>
      <c r="I230" s="159"/>
      <c r="J230" s="64"/>
      <c r="K230" s="64"/>
      <c r="L230" s="64"/>
      <c r="M230" s="64"/>
      <c r="N230" s="64"/>
      <c r="O230" s="64"/>
      <c r="P230" s="64"/>
      <c r="Q230" s="64"/>
      <c r="R230" s="64"/>
      <c r="S230" s="64"/>
      <c r="T230" s="64"/>
      <c r="U230" s="64"/>
      <c r="V230" s="64"/>
      <c r="W230" s="57"/>
      <c r="X230" s="57"/>
      <c r="Y230" s="57"/>
    </row>
    <row r="231">
      <c r="B231" s="157" t="s">
        <v>125</v>
      </c>
      <c r="C231" s="157">
        <f>if(countif(F226:F230,F231)&gt;1,0,5)</f>
        <v>5</v>
      </c>
      <c r="D231" s="157"/>
      <c r="E231" s="64"/>
      <c r="F231" s="158"/>
      <c r="G231" s="64"/>
      <c r="H231" s="158"/>
      <c r="I231" s="159"/>
      <c r="J231" s="64"/>
      <c r="K231" s="64"/>
      <c r="L231" s="64"/>
      <c r="M231" s="64"/>
      <c r="N231" s="64"/>
      <c r="O231" s="64"/>
      <c r="P231" s="64"/>
      <c r="Q231" s="64"/>
      <c r="R231" s="64"/>
      <c r="S231" s="64"/>
      <c r="T231" s="64"/>
      <c r="U231" s="64"/>
      <c r="V231" s="64"/>
      <c r="W231" s="57"/>
      <c r="X231" s="57"/>
      <c r="Y231" s="57"/>
    </row>
    <row r="232">
      <c r="B232" s="157" t="s">
        <v>126</v>
      </c>
      <c r="C232" s="157">
        <f>if(countif(F226:F231,F232)&gt;1,0,4)</f>
        <v>4</v>
      </c>
      <c r="D232" s="157"/>
      <c r="E232" s="64"/>
      <c r="F232" s="158"/>
      <c r="G232" s="64"/>
      <c r="H232" s="158"/>
      <c r="I232" s="159"/>
      <c r="J232" s="64"/>
      <c r="K232" s="64"/>
      <c r="L232" s="64"/>
      <c r="M232" s="64"/>
      <c r="N232" s="64"/>
      <c r="O232" s="64"/>
      <c r="P232" s="64"/>
      <c r="Q232" s="64"/>
      <c r="R232" s="64"/>
      <c r="S232" s="64"/>
      <c r="T232" s="64"/>
      <c r="U232" s="64"/>
      <c r="V232" s="64"/>
      <c r="W232" s="57"/>
      <c r="X232" s="57"/>
      <c r="Y232" s="57"/>
    </row>
    <row r="233">
      <c r="B233" s="157" t="s">
        <v>127</v>
      </c>
      <c r="C233" s="157">
        <f>if(countif(F226:F232,F233)&gt;1,0,3)</f>
        <v>3</v>
      </c>
      <c r="D233" s="157"/>
      <c r="E233" s="64"/>
      <c r="F233" s="158"/>
      <c r="G233" s="64"/>
      <c r="H233" s="158"/>
      <c r="I233" s="159"/>
      <c r="J233" s="64"/>
      <c r="K233" s="64"/>
      <c r="L233" s="64"/>
      <c r="M233" s="64"/>
      <c r="N233" s="64"/>
      <c r="O233" s="64"/>
      <c r="P233" s="64"/>
      <c r="Q233" s="64"/>
      <c r="R233" s="64"/>
      <c r="S233" s="64"/>
      <c r="T233" s="64"/>
      <c r="U233" s="64"/>
      <c r="V233" s="64"/>
      <c r="W233" s="57"/>
      <c r="X233" s="57"/>
      <c r="Y233" s="57"/>
    </row>
    <row r="234">
      <c r="B234" s="157" t="s">
        <v>128</v>
      </c>
      <c r="C234" s="157">
        <f>if(countif(F226:F233,F234)&gt;1,0,2)</f>
        <v>2</v>
      </c>
      <c r="D234" s="157"/>
      <c r="E234" s="64"/>
      <c r="F234" s="158"/>
      <c r="G234" s="64"/>
      <c r="H234" s="158"/>
      <c r="I234" s="159"/>
      <c r="J234" s="64"/>
      <c r="K234" s="64"/>
      <c r="L234" s="64"/>
      <c r="M234" s="64"/>
      <c r="N234" s="64"/>
      <c r="O234" s="64"/>
      <c r="P234" s="64"/>
      <c r="Q234" s="64"/>
      <c r="R234" s="64"/>
      <c r="S234" s="64"/>
      <c r="T234" s="64"/>
      <c r="U234" s="64"/>
      <c r="V234" s="64"/>
      <c r="W234" s="57"/>
      <c r="X234" s="57"/>
      <c r="Y234" s="57"/>
    </row>
    <row r="235">
      <c r="B235" s="157" t="s">
        <v>129</v>
      </c>
      <c r="C235" s="157">
        <f>if(countif(F226:F234,F235)&gt;1,0,1)</f>
        <v>1</v>
      </c>
      <c r="D235" s="157"/>
      <c r="E235" s="64"/>
      <c r="F235" s="158"/>
      <c r="G235" s="64"/>
      <c r="H235" s="158"/>
      <c r="I235" s="159"/>
      <c r="J235" s="64"/>
      <c r="K235" s="64"/>
      <c r="L235" s="64"/>
      <c r="M235" s="64"/>
      <c r="N235" s="64"/>
      <c r="O235" s="64"/>
      <c r="P235" s="64"/>
      <c r="Q235" s="64"/>
      <c r="R235" s="64"/>
      <c r="S235" s="64"/>
      <c r="T235" s="64"/>
      <c r="U235" s="64"/>
      <c r="V235" s="64"/>
      <c r="W235" s="57"/>
      <c r="X235" s="57"/>
      <c r="Y235" s="57"/>
    </row>
    <row r="236">
      <c r="A236" s="67">
        <v>242.0</v>
      </c>
      <c r="B236" s="68" t="s">
        <v>542</v>
      </c>
      <c r="C236" s="68">
        <v>0.0</v>
      </c>
      <c r="D236" s="68"/>
      <c r="E236" s="69"/>
      <c r="F236" s="70"/>
      <c r="G236" s="69"/>
      <c r="H236" s="70"/>
      <c r="I236" s="71"/>
      <c r="J236" s="69"/>
      <c r="K236" s="69"/>
      <c r="L236" s="69"/>
      <c r="M236" s="69"/>
      <c r="N236" s="69"/>
      <c r="O236" s="69"/>
      <c r="P236" s="69"/>
      <c r="Q236" s="69"/>
      <c r="R236" s="69"/>
      <c r="S236" s="69"/>
      <c r="T236" s="69"/>
      <c r="U236" s="69"/>
      <c r="V236" s="69"/>
      <c r="W236" s="156"/>
      <c r="X236" s="156"/>
      <c r="Y236" s="156"/>
    </row>
    <row r="237">
      <c r="B237" s="68" t="s">
        <v>543</v>
      </c>
      <c r="C237" s="68">
        <v>0.0</v>
      </c>
      <c r="D237" s="68"/>
      <c r="E237" s="69"/>
      <c r="F237" s="70"/>
      <c r="G237" s="69"/>
      <c r="H237" s="70"/>
      <c r="I237" s="71"/>
      <c r="J237" s="69"/>
      <c r="K237" s="69"/>
      <c r="L237" s="69"/>
      <c r="M237" s="69"/>
      <c r="N237" s="69"/>
      <c r="O237" s="69"/>
      <c r="P237" s="69"/>
      <c r="Q237" s="69"/>
      <c r="R237" s="69"/>
      <c r="S237" s="69"/>
      <c r="T237" s="69"/>
      <c r="U237" s="69"/>
      <c r="V237" s="69"/>
      <c r="W237" s="156"/>
      <c r="X237" s="156"/>
      <c r="Y237" s="156"/>
    </row>
    <row r="238">
      <c r="B238" s="68" t="s">
        <v>544</v>
      </c>
      <c r="C238" s="68">
        <v>0.0</v>
      </c>
      <c r="D238" s="68"/>
      <c r="E238" s="69"/>
      <c r="F238" s="70"/>
      <c r="G238" s="69"/>
      <c r="H238" s="70"/>
      <c r="I238" s="71"/>
      <c r="J238" s="69"/>
      <c r="K238" s="69"/>
      <c r="L238" s="69"/>
      <c r="M238" s="69"/>
      <c r="N238" s="69"/>
      <c r="O238" s="69"/>
      <c r="P238" s="69"/>
      <c r="Q238" s="69"/>
      <c r="R238" s="69"/>
      <c r="S238" s="69"/>
      <c r="T238" s="69"/>
      <c r="U238" s="69"/>
      <c r="V238" s="69"/>
      <c r="W238" s="156"/>
      <c r="X238" s="156"/>
      <c r="Y238" s="156"/>
    </row>
    <row r="239">
      <c r="B239" s="68" t="s">
        <v>545</v>
      </c>
      <c r="C239" s="68">
        <v>0.0</v>
      </c>
      <c r="D239" s="68"/>
      <c r="E239" s="69"/>
      <c r="F239" s="70"/>
      <c r="G239" s="69"/>
      <c r="H239" s="70"/>
      <c r="I239" s="71"/>
      <c r="J239" s="69"/>
      <c r="K239" s="69"/>
      <c r="L239" s="69"/>
      <c r="M239" s="69"/>
      <c r="N239" s="69"/>
      <c r="O239" s="69"/>
      <c r="P239" s="69"/>
      <c r="Q239" s="69"/>
      <c r="R239" s="69"/>
      <c r="S239" s="69"/>
      <c r="T239" s="69"/>
      <c r="U239" s="69"/>
      <c r="V239" s="69"/>
      <c r="W239" s="156"/>
      <c r="X239" s="156"/>
      <c r="Y239" s="156"/>
    </row>
    <row r="240">
      <c r="B240" s="68" t="s">
        <v>546</v>
      </c>
      <c r="C240" s="68">
        <v>0.0</v>
      </c>
      <c r="D240" s="68"/>
      <c r="E240" s="69"/>
      <c r="F240" s="70"/>
      <c r="G240" s="69"/>
      <c r="H240" s="70"/>
      <c r="I240" s="71"/>
      <c r="J240" s="69"/>
      <c r="K240" s="69"/>
      <c r="L240" s="69"/>
      <c r="M240" s="69"/>
      <c r="N240" s="69"/>
      <c r="O240" s="69"/>
      <c r="P240" s="69"/>
      <c r="Q240" s="69"/>
      <c r="R240" s="69"/>
      <c r="S240" s="69"/>
      <c r="T240" s="69"/>
      <c r="U240" s="69"/>
      <c r="V240" s="69"/>
      <c r="W240" s="156"/>
      <c r="X240" s="156"/>
      <c r="Y240" s="156"/>
    </row>
    <row r="241">
      <c r="B241" s="68" t="s">
        <v>547</v>
      </c>
      <c r="C241" s="68">
        <v>0.0</v>
      </c>
      <c r="D241" s="68"/>
      <c r="E241" s="69"/>
      <c r="F241" s="70"/>
      <c r="G241" s="69"/>
      <c r="H241" s="70"/>
      <c r="I241" s="71"/>
      <c r="J241" s="69"/>
      <c r="K241" s="69"/>
      <c r="L241" s="69"/>
      <c r="M241" s="69"/>
      <c r="N241" s="69"/>
      <c r="O241" s="69"/>
      <c r="P241" s="69"/>
      <c r="Q241" s="69"/>
      <c r="R241" s="69"/>
      <c r="S241" s="69"/>
      <c r="T241" s="69"/>
      <c r="U241" s="69"/>
      <c r="V241" s="69"/>
      <c r="W241" s="156"/>
      <c r="X241" s="156"/>
      <c r="Y241" s="156"/>
    </row>
    <row r="242">
      <c r="B242" s="68" t="s">
        <v>548</v>
      </c>
      <c r="C242" s="68">
        <v>0.0</v>
      </c>
      <c r="D242" s="68"/>
      <c r="E242" s="69"/>
      <c r="F242" s="70"/>
      <c r="G242" s="69"/>
      <c r="H242" s="70"/>
      <c r="I242" s="71"/>
      <c r="J242" s="69"/>
      <c r="K242" s="69"/>
      <c r="L242" s="69"/>
      <c r="M242" s="69"/>
      <c r="N242" s="69"/>
      <c r="O242" s="69"/>
      <c r="P242" s="69"/>
      <c r="Q242" s="69"/>
      <c r="R242" s="69"/>
      <c r="S242" s="69"/>
      <c r="T242" s="69"/>
      <c r="U242" s="69"/>
      <c r="V242" s="69"/>
      <c r="W242" s="156"/>
      <c r="X242" s="156"/>
      <c r="Y242" s="156"/>
    </row>
    <row r="243">
      <c r="B243" s="68" t="s">
        <v>549</v>
      </c>
      <c r="C243" s="68">
        <v>0.0</v>
      </c>
      <c r="D243" s="68"/>
      <c r="E243" s="69"/>
      <c r="F243" s="70"/>
      <c r="G243" s="69"/>
      <c r="H243" s="70"/>
      <c r="I243" s="71"/>
      <c r="J243" s="69"/>
      <c r="K243" s="69"/>
      <c r="L243" s="69"/>
      <c r="M243" s="69"/>
      <c r="N243" s="69"/>
      <c r="O243" s="69"/>
      <c r="P243" s="69"/>
      <c r="Q243" s="69"/>
      <c r="R243" s="69"/>
      <c r="S243" s="69"/>
      <c r="T243" s="69"/>
      <c r="U243" s="69"/>
      <c r="V243" s="69"/>
      <c r="W243" s="156"/>
      <c r="X243" s="156"/>
      <c r="Y243" s="156"/>
    </row>
    <row r="244">
      <c r="B244" s="68" t="s">
        <v>550</v>
      </c>
      <c r="C244" s="68">
        <v>0.0</v>
      </c>
      <c r="D244" s="68"/>
      <c r="E244" s="69"/>
      <c r="F244" s="70"/>
      <c r="G244" s="69"/>
      <c r="H244" s="70"/>
      <c r="I244" s="71"/>
      <c r="J244" s="69"/>
      <c r="K244" s="69"/>
      <c r="L244" s="69"/>
      <c r="M244" s="69"/>
      <c r="N244" s="69"/>
      <c r="O244" s="69"/>
      <c r="P244" s="69"/>
      <c r="Q244" s="69"/>
      <c r="R244" s="69"/>
      <c r="S244" s="69"/>
      <c r="T244" s="69"/>
      <c r="U244" s="69"/>
      <c r="V244" s="69"/>
      <c r="W244" s="156"/>
      <c r="X244" s="156"/>
      <c r="Y244" s="156"/>
    </row>
    <row r="245">
      <c r="B245" s="68" t="s">
        <v>551</v>
      </c>
      <c r="C245" s="68">
        <v>0.0</v>
      </c>
      <c r="D245" s="68"/>
      <c r="E245" s="69"/>
      <c r="F245" s="70"/>
      <c r="G245" s="69"/>
      <c r="H245" s="70"/>
      <c r="I245" s="71"/>
      <c r="J245" s="69"/>
      <c r="K245" s="69"/>
      <c r="L245" s="69"/>
      <c r="M245" s="69"/>
      <c r="N245" s="69"/>
      <c r="O245" s="69"/>
      <c r="P245" s="69"/>
      <c r="Q245" s="69"/>
      <c r="R245" s="69"/>
      <c r="S245" s="69"/>
      <c r="T245" s="69"/>
      <c r="U245" s="69"/>
      <c r="V245" s="69"/>
      <c r="W245" s="156"/>
      <c r="X245" s="156"/>
      <c r="Y245" s="156"/>
    </row>
    <row r="246">
      <c r="A246" s="162" t="s">
        <v>130</v>
      </c>
      <c r="B246" s="163" t="s">
        <v>120</v>
      </c>
      <c r="C246" s="163">
        <v>12.0</v>
      </c>
      <c r="D246" s="163" t="str">
        <f>IFERROR(__xludf.DUMMYFUNCTION("ARRAY_CONSTRAIN(filter('All Platforms'!A3:T1802,'All Platforms'!A3:A1802=""SHW W""),20,20)"),"#N/A")</f>
        <v>#N/A</v>
      </c>
      <c r="E246" s="22"/>
      <c r="F246" s="22"/>
      <c r="G246" s="22"/>
      <c r="H246" s="164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</row>
    <row r="247">
      <c r="B247" s="163" t="s">
        <v>121</v>
      </c>
      <c r="C247" s="163">
        <v>9.0</v>
      </c>
      <c r="D247" s="99"/>
      <c r="E247" s="22"/>
      <c r="F247" s="22"/>
      <c r="G247" s="22"/>
      <c r="H247" s="164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</row>
    <row r="248">
      <c r="B248" s="163" t="s">
        <v>122</v>
      </c>
      <c r="C248" s="163">
        <f>if(countif(F246:F247,F248)&gt;1,0,8)</f>
        <v>8</v>
      </c>
      <c r="D248" s="99"/>
      <c r="E248" s="22"/>
      <c r="F248" s="22"/>
      <c r="G248" s="22"/>
      <c r="H248" s="164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</row>
    <row r="249">
      <c r="B249" s="163" t="s">
        <v>123</v>
      </c>
      <c r="C249" s="163">
        <f>if(countif(F246:F248,F249)&gt;1,0,7)</f>
        <v>7</v>
      </c>
      <c r="D249" s="99"/>
      <c r="E249" s="22"/>
      <c r="F249" s="22"/>
      <c r="G249" s="22"/>
      <c r="H249" s="164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</row>
    <row r="250">
      <c r="B250" s="163" t="s">
        <v>124</v>
      </c>
      <c r="C250" s="163">
        <f>if(countif(F246:F249,F250)&gt;1,0,6)</f>
        <v>6</v>
      </c>
      <c r="D250" s="99"/>
      <c r="E250" s="22"/>
      <c r="F250" s="22"/>
      <c r="G250" s="22"/>
      <c r="H250" s="164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</row>
    <row r="251">
      <c r="B251" s="163" t="s">
        <v>125</v>
      </c>
      <c r="C251" s="163">
        <f>if(countif(F246:F250,F251)&gt;1,0,5)</f>
        <v>5</v>
      </c>
      <c r="D251" s="99"/>
      <c r="E251" s="22"/>
      <c r="F251" s="22"/>
      <c r="G251" s="22"/>
      <c r="H251" s="164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</row>
    <row r="252">
      <c r="B252" s="163" t="s">
        <v>126</v>
      </c>
      <c r="C252" s="163">
        <f>if(countif(F246:F251,F252)&gt;1,0,4)</f>
        <v>4</v>
      </c>
      <c r="D252" s="99"/>
      <c r="E252" s="22"/>
      <c r="F252" s="22"/>
      <c r="G252" s="22"/>
      <c r="H252" s="164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</row>
    <row r="253">
      <c r="B253" s="163" t="s">
        <v>127</v>
      </c>
      <c r="C253" s="163">
        <f>if(countif(F246:F252,F253)&gt;1,0,3)</f>
        <v>3</v>
      </c>
      <c r="D253" s="99"/>
      <c r="E253" s="22"/>
      <c r="F253" s="22"/>
      <c r="G253" s="22"/>
      <c r="H253" s="164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</row>
    <row r="254">
      <c r="B254" s="163" t="s">
        <v>128</v>
      </c>
      <c r="C254" s="163">
        <f>if(countif(F246:F253,F254)&gt;1,0,2)</f>
        <v>2</v>
      </c>
      <c r="D254" s="99"/>
      <c r="E254" s="22"/>
      <c r="F254" s="22"/>
      <c r="G254" s="22"/>
      <c r="H254" s="164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</row>
    <row r="255">
      <c r="B255" s="163" t="s">
        <v>129</v>
      </c>
      <c r="C255" s="163">
        <f>if(countif(F246:F254,F255)&gt;1,0,1)</f>
        <v>1</v>
      </c>
      <c r="D255" s="99"/>
      <c r="E255" s="22"/>
      <c r="F255" s="22"/>
      <c r="G255" s="22"/>
      <c r="H255" s="164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</row>
    <row r="256">
      <c r="A256" s="176" t="s">
        <v>130</v>
      </c>
      <c r="B256" s="177" t="s">
        <v>542</v>
      </c>
      <c r="C256" s="177">
        <v>0.0</v>
      </c>
      <c r="D256" s="178"/>
      <c r="E256" s="179"/>
      <c r="F256" s="179"/>
      <c r="G256" s="179"/>
      <c r="H256" s="180"/>
      <c r="I256" s="179"/>
      <c r="J256" s="179"/>
      <c r="K256" s="179"/>
      <c r="L256" s="179"/>
      <c r="M256" s="179"/>
      <c r="N256" s="179"/>
      <c r="O256" s="179"/>
      <c r="P256" s="179"/>
      <c r="Q256" s="179"/>
      <c r="R256" s="179"/>
      <c r="S256" s="179"/>
      <c r="T256" s="179"/>
      <c r="U256" s="179"/>
      <c r="V256" s="179"/>
      <c r="W256" s="179"/>
      <c r="X256" s="179"/>
      <c r="Y256" s="179"/>
    </row>
    <row r="257">
      <c r="B257" s="177" t="s">
        <v>543</v>
      </c>
      <c r="C257" s="177">
        <v>0.0</v>
      </c>
      <c r="D257" s="178"/>
      <c r="E257" s="179"/>
      <c r="F257" s="179"/>
      <c r="G257" s="179"/>
      <c r="H257" s="180"/>
      <c r="I257" s="179"/>
      <c r="J257" s="179"/>
      <c r="K257" s="179"/>
      <c r="L257" s="179"/>
      <c r="M257" s="179"/>
      <c r="N257" s="179"/>
      <c r="O257" s="179"/>
      <c r="P257" s="179"/>
      <c r="Q257" s="179"/>
      <c r="R257" s="179"/>
      <c r="S257" s="179"/>
      <c r="T257" s="179"/>
      <c r="U257" s="179"/>
      <c r="V257" s="179"/>
      <c r="W257" s="179"/>
      <c r="X257" s="179"/>
      <c r="Y257" s="179"/>
    </row>
    <row r="258">
      <c r="B258" s="177" t="s">
        <v>544</v>
      </c>
      <c r="C258" s="177">
        <v>0.0</v>
      </c>
      <c r="D258" s="178"/>
      <c r="E258" s="179"/>
      <c r="F258" s="179"/>
      <c r="G258" s="179"/>
      <c r="H258" s="180"/>
      <c r="I258" s="179"/>
      <c r="J258" s="179"/>
      <c r="K258" s="179"/>
      <c r="L258" s="179"/>
      <c r="M258" s="179"/>
      <c r="N258" s="179"/>
      <c r="O258" s="179"/>
      <c r="P258" s="179"/>
      <c r="Q258" s="179"/>
      <c r="R258" s="179"/>
      <c r="S258" s="179"/>
      <c r="T258" s="179"/>
      <c r="U258" s="179"/>
      <c r="V258" s="179"/>
      <c r="W258" s="179"/>
      <c r="X258" s="179"/>
      <c r="Y258" s="179"/>
    </row>
    <row r="259">
      <c r="B259" s="177" t="s">
        <v>545</v>
      </c>
      <c r="C259" s="177">
        <v>0.0</v>
      </c>
      <c r="D259" s="178"/>
      <c r="E259" s="179"/>
      <c r="F259" s="179"/>
      <c r="G259" s="179"/>
      <c r="H259" s="180"/>
      <c r="I259" s="179"/>
      <c r="J259" s="179"/>
      <c r="K259" s="179"/>
      <c r="L259" s="179"/>
      <c r="M259" s="179"/>
      <c r="N259" s="179"/>
      <c r="O259" s="179"/>
      <c r="P259" s="179"/>
      <c r="Q259" s="179"/>
      <c r="R259" s="179"/>
      <c r="S259" s="179"/>
      <c r="T259" s="179"/>
      <c r="U259" s="179"/>
      <c r="V259" s="179"/>
      <c r="W259" s="179"/>
      <c r="X259" s="179"/>
      <c r="Y259" s="179"/>
    </row>
    <row r="260">
      <c r="B260" s="177" t="s">
        <v>546</v>
      </c>
      <c r="C260" s="177">
        <v>0.0</v>
      </c>
      <c r="D260" s="178"/>
      <c r="E260" s="179"/>
      <c r="F260" s="179"/>
      <c r="G260" s="179"/>
      <c r="H260" s="180"/>
      <c r="I260" s="179"/>
      <c r="J260" s="179"/>
      <c r="K260" s="179"/>
      <c r="L260" s="179"/>
      <c r="M260" s="179"/>
      <c r="N260" s="179"/>
      <c r="O260" s="179"/>
      <c r="P260" s="179"/>
      <c r="Q260" s="179"/>
      <c r="R260" s="179"/>
      <c r="S260" s="179"/>
      <c r="T260" s="179"/>
      <c r="U260" s="179"/>
      <c r="V260" s="179"/>
      <c r="W260" s="179"/>
      <c r="X260" s="179"/>
      <c r="Y260" s="179"/>
    </row>
    <row r="261">
      <c r="B261" s="177" t="s">
        <v>547</v>
      </c>
      <c r="C261" s="177">
        <v>0.0</v>
      </c>
      <c r="D261" s="178"/>
      <c r="E261" s="179"/>
      <c r="F261" s="179"/>
      <c r="G261" s="179"/>
      <c r="H261" s="180"/>
      <c r="I261" s="179"/>
      <c r="J261" s="179"/>
      <c r="K261" s="179"/>
      <c r="L261" s="179"/>
      <c r="M261" s="179"/>
      <c r="N261" s="179"/>
      <c r="O261" s="179"/>
      <c r="P261" s="179"/>
      <c r="Q261" s="179"/>
      <c r="R261" s="179"/>
      <c r="S261" s="179"/>
      <c r="T261" s="179"/>
      <c r="U261" s="179"/>
      <c r="V261" s="179"/>
      <c r="W261" s="179"/>
      <c r="X261" s="179"/>
      <c r="Y261" s="179"/>
    </row>
    <row r="262">
      <c r="B262" s="177" t="s">
        <v>548</v>
      </c>
      <c r="C262" s="177">
        <v>0.0</v>
      </c>
      <c r="D262" s="178"/>
      <c r="E262" s="179"/>
      <c r="F262" s="179"/>
      <c r="G262" s="179"/>
      <c r="H262" s="180"/>
      <c r="I262" s="179"/>
      <c r="J262" s="179"/>
      <c r="K262" s="179"/>
      <c r="L262" s="179"/>
      <c r="M262" s="179"/>
      <c r="N262" s="179"/>
      <c r="O262" s="179"/>
      <c r="P262" s="179"/>
      <c r="Q262" s="179"/>
      <c r="R262" s="179"/>
      <c r="S262" s="179"/>
      <c r="T262" s="179"/>
      <c r="U262" s="179"/>
      <c r="V262" s="179"/>
      <c r="W262" s="179"/>
      <c r="X262" s="179"/>
      <c r="Y262" s="179"/>
    </row>
    <row r="263">
      <c r="B263" s="177" t="s">
        <v>549</v>
      </c>
      <c r="C263" s="177">
        <v>0.0</v>
      </c>
      <c r="D263" s="178"/>
      <c r="E263" s="179"/>
      <c r="F263" s="179"/>
      <c r="G263" s="179"/>
      <c r="H263" s="180"/>
      <c r="I263" s="179"/>
      <c r="J263" s="179"/>
      <c r="K263" s="179"/>
      <c r="L263" s="179"/>
      <c r="M263" s="179"/>
      <c r="N263" s="179"/>
      <c r="O263" s="179"/>
      <c r="P263" s="179"/>
      <c r="Q263" s="179"/>
      <c r="R263" s="179"/>
      <c r="S263" s="179"/>
      <c r="T263" s="179"/>
      <c r="U263" s="179"/>
      <c r="V263" s="179"/>
      <c r="W263" s="179"/>
      <c r="X263" s="179"/>
      <c r="Y263" s="179"/>
    </row>
    <row r="264">
      <c r="B264" s="177" t="s">
        <v>550</v>
      </c>
      <c r="C264" s="177">
        <v>0.0</v>
      </c>
      <c r="D264" s="178"/>
      <c r="E264" s="179"/>
      <c r="F264" s="179"/>
      <c r="G264" s="179"/>
      <c r="H264" s="180"/>
      <c r="I264" s="179"/>
      <c r="J264" s="179"/>
      <c r="K264" s="179"/>
      <c r="L264" s="179"/>
      <c r="M264" s="179"/>
      <c r="N264" s="179"/>
      <c r="O264" s="179"/>
      <c r="P264" s="179"/>
      <c r="Q264" s="179"/>
      <c r="R264" s="179"/>
      <c r="S264" s="179"/>
      <c r="T264" s="179"/>
      <c r="U264" s="179"/>
      <c r="V264" s="179"/>
      <c r="W264" s="179"/>
      <c r="X264" s="179"/>
      <c r="Y264" s="179"/>
    </row>
    <row r="265">
      <c r="B265" s="177" t="s">
        <v>551</v>
      </c>
      <c r="C265" s="177">
        <v>0.0</v>
      </c>
      <c r="D265" s="178"/>
      <c r="E265" s="179"/>
      <c r="F265" s="179"/>
      <c r="G265" s="179"/>
      <c r="H265" s="180"/>
      <c r="I265" s="179"/>
      <c r="J265" s="179"/>
      <c r="K265" s="179"/>
      <c r="L265" s="179"/>
      <c r="M265" s="179"/>
      <c r="N265" s="179"/>
      <c r="O265" s="179"/>
      <c r="P265" s="179"/>
      <c r="Q265" s="179"/>
      <c r="R265" s="179"/>
      <c r="S265" s="179"/>
      <c r="T265" s="179"/>
      <c r="U265" s="179"/>
      <c r="V265" s="179"/>
      <c r="W265" s="179"/>
      <c r="X265" s="179"/>
      <c r="Y265" s="179"/>
    </row>
  </sheetData>
  <mergeCells count="31">
    <mergeCell ref="A16:A25"/>
    <mergeCell ref="A4:W4"/>
    <mergeCell ref="A1:W3"/>
    <mergeCell ref="Q5:S5"/>
    <mergeCell ref="M5:O5"/>
    <mergeCell ref="I5:K5"/>
    <mergeCell ref="A6:A15"/>
    <mergeCell ref="A56:A65"/>
    <mergeCell ref="A66:A75"/>
    <mergeCell ref="A36:A45"/>
    <mergeCell ref="A46:A55"/>
    <mergeCell ref="A106:A115"/>
    <mergeCell ref="A116:A125"/>
    <mergeCell ref="A86:A95"/>
    <mergeCell ref="A76:A85"/>
    <mergeCell ref="A26:A35"/>
    <mergeCell ref="A126:A135"/>
    <mergeCell ref="A96:A105"/>
    <mergeCell ref="A186:A195"/>
    <mergeCell ref="A176:A185"/>
    <mergeCell ref="A206:A215"/>
    <mergeCell ref="A196:A205"/>
    <mergeCell ref="A236:A245"/>
    <mergeCell ref="A226:A235"/>
    <mergeCell ref="A146:A155"/>
    <mergeCell ref="A136:A145"/>
    <mergeCell ref="A216:A225"/>
    <mergeCell ref="A246:A255"/>
    <mergeCell ref="A256:A265"/>
    <mergeCell ref="A156:A165"/>
    <mergeCell ref="A166:A175"/>
  </mergeCells>
  <conditionalFormatting sqref="U5">
    <cfRule type="containsText" dxfId="0" priority="1" operator="containsText" text="There are same totals">
      <formula>NOT(ISERROR(SEARCH(("There are same totals"),(U5))))</formula>
    </cfRule>
  </conditionalFormatting>
  <conditionalFormatting sqref="U6:U25">
    <cfRule type="expression" dxfId="1" priority="2">
      <formula>countif(U$6:U25,U6:U25)&gt;1</formula>
    </cfRule>
  </conditionalFormatting>
  <conditionalFormatting sqref="U26:U45">
    <cfRule type="expression" dxfId="1" priority="3">
      <formula>countif(U$26:U45,U26:U45)&gt;1</formula>
    </cfRule>
  </conditionalFormatting>
  <conditionalFormatting sqref="U46:U65">
    <cfRule type="expression" dxfId="1" priority="4">
      <formula>countif(U$46:U65,U46:U65)&gt;1</formula>
    </cfRule>
  </conditionalFormatting>
  <conditionalFormatting sqref="U66:U85">
    <cfRule type="expression" dxfId="1" priority="5">
      <formula>countif(U$66:U85,U66:U85)&gt;1</formula>
    </cfRule>
  </conditionalFormatting>
  <conditionalFormatting sqref="U86:U105">
    <cfRule type="expression" dxfId="1" priority="6">
      <formula>countif(U$86:U105,U86:U105)&gt;1</formula>
    </cfRule>
  </conditionalFormatting>
  <conditionalFormatting sqref="U106:U125">
    <cfRule type="expression" dxfId="1" priority="7">
      <formula>countif(U$106:U125,U106:U125)&gt;1</formula>
    </cfRule>
  </conditionalFormatting>
  <conditionalFormatting sqref="U126:U145">
    <cfRule type="expression" dxfId="1" priority="8">
      <formula>countif(U$126:U145,U126:U145)&gt;1</formula>
    </cfRule>
  </conditionalFormatting>
  <conditionalFormatting sqref="U146:U165">
    <cfRule type="expression" dxfId="1" priority="9">
      <formula>countif($U$146:$U$165,$U$146:$U$165)&gt;1</formula>
    </cfRule>
  </conditionalFormatting>
  <conditionalFormatting sqref="U166:U185">
    <cfRule type="expression" dxfId="1" priority="10">
      <formula>countif(U$166:U185,U166:U185)&gt;1</formula>
    </cfRule>
  </conditionalFormatting>
  <conditionalFormatting sqref="U186:U205">
    <cfRule type="expression" dxfId="1" priority="11">
      <formula>countif(U$186:U205,U186:U205)&gt;1</formula>
    </cfRule>
  </conditionalFormatting>
  <conditionalFormatting sqref="U206:U225">
    <cfRule type="expression" dxfId="1" priority="12">
      <formula>countif(U$206:U225,U206:U225)&gt;1</formula>
    </cfRule>
  </conditionalFormatting>
  <conditionalFormatting sqref="U226:U265">
    <cfRule type="expression" dxfId="1" priority="13">
      <formula>countif(U$226:U245,U226:U245)&gt;1</formula>
    </cfRule>
  </conditionalFormatting>
  <conditionalFormatting sqref="Q6:T265">
    <cfRule type="endsWith" dxfId="2" priority="14" operator="endsWith" text="g">
      <formula>RIGHT((Q6),LEN("g"))=("g")</formula>
    </cfRule>
  </conditionalFormatting>
  <conditionalFormatting sqref="Q6:T265">
    <cfRule type="endsWith" dxfId="1" priority="15" operator="endsWith" text="x">
      <formula>RIGHT((Q6),LEN("x"))=("x")</formula>
    </cfRule>
  </conditionalFormatting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5.0" topLeftCell="A6" activePane="bottomLeft" state="frozen"/>
      <selection activeCell="B7" sqref="B7" pane="bottomLeft"/>
    </sheetView>
  </sheetViews>
  <sheetFormatPr customHeight="1" defaultColWidth="14.43" defaultRowHeight="15.75"/>
  <cols>
    <col customWidth="1" min="1" max="1" width="5.43"/>
    <col customWidth="1" min="2" max="2" width="4.71"/>
    <col customWidth="1" min="3" max="3" width="5.71"/>
    <col customWidth="1" min="4" max="4" width="7.29"/>
    <col customWidth="1" min="5" max="5" width="7.86"/>
    <col customWidth="1" min="6" max="6" width="12.57"/>
    <col customWidth="1" min="7" max="7" width="8.0"/>
    <col customWidth="1" min="8" max="8" width="16.43"/>
    <col customWidth="1" min="9" max="20" width="6.0"/>
    <col customWidth="1" min="21" max="21" width="6.14"/>
    <col customWidth="1" min="22" max="22" width="9.29"/>
    <col customWidth="1" min="23" max="24" width="6.71"/>
    <col customWidth="1" hidden="1" min="25" max="25" width="4.14"/>
  </cols>
  <sheetData>
    <row r="1">
      <c r="A1" s="56" t="s">
        <v>553</v>
      </c>
      <c r="X1" s="56"/>
      <c r="Y1" s="56"/>
    </row>
    <row r="2">
      <c r="X2" s="56"/>
      <c r="Y2" s="56"/>
    </row>
    <row r="3">
      <c r="X3" s="56"/>
      <c r="Y3" s="56"/>
    </row>
    <row r="4" ht="3.0" customHeight="1">
      <c r="A4" s="4"/>
      <c r="X4" s="4"/>
      <c r="Y4" s="4"/>
    </row>
    <row r="5" ht="18.75" customHeight="1">
      <c r="A5" s="142"/>
      <c r="B5" s="142"/>
      <c r="C5" s="142"/>
      <c r="D5" s="142"/>
      <c r="E5" s="143"/>
      <c r="F5" s="144" t="s">
        <v>22</v>
      </c>
      <c r="G5" s="145" t="s">
        <v>23</v>
      </c>
      <c r="H5" s="144" t="s">
        <v>25</v>
      </c>
      <c r="I5" s="146" t="s">
        <v>115</v>
      </c>
      <c r="J5" s="147"/>
      <c r="K5" s="148"/>
      <c r="L5" s="145"/>
      <c r="M5" s="146" t="s">
        <v>116</v>
      </c>
      <c r="N5" s="147"/>
      <c r="O5" s="148"/>
      <c r="P5" s="145"/>
      <c r="Q5" s="146" t="s">
        <v>117</v>
      </c>
      <c r="R5" s="147"/>
      <c r="S5" s="148"/>
      <c r="T5" s="145"/>
      <c r="U5" s="145" t="s">
        <v>118</v>
      </c>
      <c r="V5" s="145" t="s">
        <v>119</v>
      </c>
      <c r="W5" s="149" t="s">
        <v>540</v>
      </c>
      <c r="X5" s="149" t="s">
        <v>541</v>
      </c>
      <c r="Y5" s="57"/>
    </row>
    <row r="6">
      <c r="A6" s="150">
        <v>114.0</v>
      </c>
      <c r="B6" s="151" t="s">
        <v>120</v>
      </c>
      <c r="C6" s="151">
        <v>12.0</v>
      </c>
      <c r="D6" s="145" t="str">
        <f>IFERROR(__xludf.DUMMYFUNCTION("ARRAY_CONSTRAIN(filter('All Platforms'!A3:T1802,'All Platforms'!A3:A1802=""114 JV""),20,20)"),"#N/A")</f>
        <v>#N/A</v>
      </c>
      <c r="E6" s="152"/>
      <c r="F6" s="153"/>
      <c r="G6" s="152"/>
      <c r="H6" s="153"/>
      <c r="I6" s="152"/>
      <c r="J6" s="152"/>
      <c r="K6" s="152"/>
      <c r="L6" s="152"/>
      <c r="M6" s="152"/>
      <c r="N6" s="152"/>
      <c r="O6" s="152"/>
      <c r="P6" s="152"/>
      <c r="Q6" s="152"/>
      <c r="R6" s="152"/>
      <c r="S6" s="152"/>
      <c r="T6" s="152"/>
      <c r="U6" s="152"/>
      <c r="V6" s="152"/>
      <c r="W6" s="145"/>
      <c r="X6" s="145"/>
      <c r="Y6" s="57"/>
    </row>
    <row r="7">
      <c r="A7" s="154"/>
      <c r="B7" s="151" t="s">
        <v>121</v>
      </c>
      <c r="C7" s="151">
        <v>9.0</v>
      </c>
      <c r="D7" s="151"/>
      <c r="E7" s="152"/>
      <c r="F7" s="153"/>
      <c r="G7" s="152"/>
      <c r="H7" s="153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45"/>
      <c r="X7" s="145"/>
      <c r="Y7" s="57"/>
    </row>
    <row r="8">
      <c r="A8" s="154"/>
      <c r="B8" s="151" t="s">
        <v>122</v>
      </c>
      <c r="C8" s="151">
        <f>if(countif(F6:F7,F8)&gt;1,0,8)</f>
        <v>8</v>
      </c>
      <c r="D8" s="151"/>
      <c r="E8" s="152"/>
      <c r="F8" s="153"/>
      <c r="G8" s="152"/>
      <c r="H8" s="153"/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152"/>
      <c r="T8" s="152"/>
      <c r="U8" s="152"/>
      <c r="V8" s="152"/>
      <c r="W8" s="145"/>
      <c r="X8" s="145"/>
      <c r="Y8" s="57"/>
    </row>
    <row r="9">
      <c r="A9" s="154"/>
      <c r="B9" s="151" t="s">
        <v>123</v>
      </c>
      <c r="C9" s="151">
        <f>if(countif(F6:F8,F9)&gt;1,0,7)</f>
        <v>7</v>
      </c>
      <c r="D9" s="151"/>
      <c r="E9" s="152"/>
      <c r="F9" s="153"/>
      <c r="G9" s="152"/>
      <c r="H9" s="153"/>
      <c r="I9" s="152"/>
      <c r="J9" s="152"/>
      <c r="K9" s="152"/>
      <c r="L9" s="152"/>
      <c r="M9" s="152"/>
      <c r="N9" s="152"/>
      <c r="O9" s="152"/>
      <c r="P9" s="152"/>
      <c r="Q9" s="152"/>
      <c r="R9" s="152"/>
      <c r="S9" s="152"/>
      <c r="T9" s="152"/>
      <c r="U9" s="152"/>
      <c r="V9" s="152"/>
      <c r="W9" s="145"/>
      <c r="X9" s="145"/>
      <c r="Y9" s="57"/>
    </row>
    <row r="10">
      <c r="A10" s="154"/>
      <c r="B10" s="151" t="s">
        <v>124</v>
      </c>
      <c r="C10" s="151">
        <f>if(countif(F6:F9,F10)&gt;1,0,6)</f>
        <v>6</v>
      </c>
      <c r="D10" s="151"/>
      <c r="E10" s="152"/>
      <c r="F10" s="153"/>
      <c r="G10" s="152"/>
      <c r="H10" s="153"/>
      <c r="I10" s="152"/>
      <c r="J10" s="152"/>
      <c r="K10" s="152"/>
      <c r="L10" s="152"/>
      <c r="M10" s="152"/>
      <c r="N10" s="152"/>
      <c r="O10" s="152"/>
      <c r="P10" s="152"/>
      <c r="Q10" s="152"/>
      <c r="R10" s="152"/>
      <c r="S10" s="152"/>
      <c r="T10" s="152"/>
      <c r="U10" s="152"/>
      <c r="V10" s="152"/>
      <c r="W10" s="145"/>
      <c r="X10" s="145"/>
      <c r="Y10" s="57"/>
    </row>
    <row r="11">
      <c r="A11" s="154"/>
      <c r="B11" s="151" t="s">
        <v>125</v>
      </c>
      <c r="C11" s="151">
        <f>if(countif(F6:F10,F11)&gt;1,0,5)</f>
        <v>5</v>
      </c>
      <c r="D11" s="151"/>
      <c r="E11" s="152"/>
      <c r="F11" s="153"/>
      <c r="G11" s="152"/>
      <c r="H11" s="153"/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152"/>
      <c r="U11" s="152"/>
      <c r="V11" s="152"/>
      <c r="W11" s="145"/>
      <c r="X11" s="145"/>
      <c r="Y11" s="57"/>
    </row>
    <row r="12">
      <c r="A12" s="154"/>
      <c r="B12" s="151" t="s">
        <v>126</v>
      </c>
      <c r="C12" s="151">
        <f>if(countif(F6:F11,F12)&gt;1,0,4)</f>
        <v>4</v>
      </c>
      <c r="D12" s="151"/>
      <c r="E12" s="152"/>
      <c r="F12" s="153"/>
      <c r="G12" s="152"/>
      <c r="H12" s="153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2"/>
      <c r="U12" s="152"/>
      <c r="V12" s="152"/>
      <c r="W12" s="145"/>
      <c r="X12" s="145"/>
      <c r="Y12" s="57"/>
    </row>
    <row r="13">
      <c r="A13" s="154"/>
      <c r="B13" s="151" t="s">
        <v>127</v>
      </c>
      <c r="C13" s="151">
        <f>if(countif(F6:F12,F13)&gt;1,0,3)</f>
        <v>3</v>
      </c>
      <c r="D13" s="151"/>
      <c r="E13" s="152"/>
      <c r="F13" s="153"/>
      <c r="G13" s="152"/>
      <c r="H13" s="153"/>
      <c r="I13" s="152"/>
      <c r="J13" s="152"/>
      <c r="K13" s="152"/>
      <c r="L13" s="152"/>
      <c r="M13" s="152"/>
      <c r="N13" s="152"/>
      <c r="O13" s="152"/>
      <c r="P13" s="152"/>
      <c r="Q13" s="152"/>
      <c r="R13" s="152"/>
      <c r="S13" s="152"/>
      <c r="T13" s="152"/>
      <c r="U13" s="152"/>
      <c r="V13" s="152"/>
      <c r="W13" s="145"/>
      <c r="X13" s="145"/>
      <c r="Y13" s="57"/>
    </row>
    <row r="14">
      <c r="A14" s="154"/>
      <c r="B14" s="151" t="s">
        <v>128</v>
      </c>
      <c r="C14" s="151">
        <f>if(countif(F6:F13,F14)&gt;1,0,2)</f>
        <v>2</v>
      </c>
      <c r="D14" s="151"/>
      <c r="E14" s="152"/>
      <c r="F14" s="153"/>
      <c r="G14" s="152"/>
      <c r="H14" s="153"/>
      <c r="I14" s="152"/>
      <c r="J14" s="152"/>
      <c r="K14" s="152"/>
      <c r="L14" s="152"/>
      <c r="M14" s="152"/>
      <c r="N14" s="152"/>
      <c r="O14" s="152"/>
      <c r="P14" s="152"/>
      <c r="Q14" s="152"/>
      <c r="R14" s="152"/>
      <c r="S14" s="152"/>
      <c r="T14" s="152"/>
      <c r="U14" s="152"/>
      <c r="V14" s="152"/>
      <c r="W14" s="145"/>
      <c r="X14" s="145"/>
      <c r="Y14" s="57"/>
    </row>
    <row r="15">
      <c r="A15" s="155"/>
      <c r="B15" s="151" t="s">
        <v>129</v>
      </c>
      <c r="C15" s="151">
        <f>if(countif(F6:F14,F15)&gt;1,0,1)</f>
        <v>1</v>
      </c>
      <c r="D15" s="151"/>
      <c r="E15" s="152"/>
      <c r="F15" s="153"/>
      <c r="G15" s="152"/>
      <c r="H15" s="153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  <c r="W15" s="145"/>
      <c r="X15" s="145"/>
      <c r="Y15" s="57"/>
    </row>
    <row r="16">
      <c r="A16" s="67">
        <v>114.0</v>
      </c>
      <c r="B16" s="68" t="s">
        <v>542</v>
      </c>
      <c r="C16" s="68">
        <v>0.0</v>
      </c>
      <c r="D16" s="68"/>
      <c r="E16" s="69"/>
      <c r="F16" s="70"/>
      <c r="G16" s="69"/>
      <c r="H16" s="70"/>
      <c r="I16" s="71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156"/>
      <c r="X16" s="156"/>
      <c r="Y16" s="156"/>
    </row>
    <row r="17">
      <c r="B17" s="68" t="s">
        <v>543</v>
      </c>
      <c r="C17" s="68">
        <v>0.0</v>
      </c>
      <c r="D17" s="68"/>
      <c r="E17" s="69"/>
      <c r="F17" s="70"/>
      <c r="G17" s="69"/>
      <c r="H17" s="70"/>
      <c r="I17" s="71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156"/>
      <c r="X17" s="156"/>
      <c r="Y17" s="156"/>
    </row>
    <row r="18">
      <c r="B18" s="68" t="s">
        <v>544</v>
      </c>
      <c r="C18" s="68">
        <v>0.0</v>
      </c>
      <c r="D18" s="68"/>
      <c r="E18" s="69"/>
      <c r="F18" s="70"/>
      <c r="G18" s="69"/>
      <c r="H18" s="70"/>
      <c r="I18" s="71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156"/>
      <c r="X18" s="156"/>
      <c r="Y18" s="156"/>
    </row>
    <row r="19">
      <c r="B19" s="68" t="s">
        <v>545</v>
      </c>
      <c r="C19" s="68">
        <v>0.0</v>
      </c>
      <c r="D19" s="68"/>
      <c r="E19" s="69"/>
      <c r="F19" s="70"/>
      <c r="G19" s="69"/>
      <c r="H19" s="70"/>
      <c r="I19" s="71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156"/>
      <c r="X19" s="156"/>
      <c r="Y19" s="156"/>
    </row>
    <row r="20">
      <c r="B20" s="68" t="s">
        <v>546</v>
      </c>
      <c r="C20" s="68">
        <v>0.0</v>
      </c>
      <c r="D20" s="68"/>
      <c r="E20" s="69"/>
      <c r="F20" s="70"/>
      <c r="G20" s="69"/>
      <c r="H20" s="70"/>
      <c r="I20" s="71"/>
      <c r="J20" s="69"/>
      <c r="K20" s="69"/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156"/>
      <c r="X20" s="156"/>
      <c r="Y20" s="156"/>
    </row>
    <row r="21">
      <c r="B21" s="68" t="s">
        <v>547</v>
      </c>
      <c r="C21" s="68">
        <v>0.0</v>
      </c>
      <c r="D21" s="68"/>
      <c r="E21" s="69"/>
      <c r="F21" s="70"/>
      <c r="G21" s="69"/>
      <c r="H21" s="70"/>
      <c r="I21" s="71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156"/>
      <c r="X21" s="156"/>
      <c r="Y21" s="156"/>
    </row>
    <row r="22">
      <c r="B22" s="68" t="s">
        <v>548</v>
      </c>
      <c r="C22" s="68">
        <v>0.0</v>
      </c>
      <c r="D22" s="68"/>
      <c r="E22" s="69"/>
      <c r="F22" s="70"/>
      <c r="G22" s="69"/>
      <c r="H22" s="70"/>
      <c r="I22" s="71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156"/>
      <c r="X22" s="156"/>
      <c r="Y22" s="156"/>
    </row>
    <row r="23">
      <c r="B23" s="68" t="s">
        <v>549</v>
      </c>
      <c r="C23" s="68">
        <v>0.0</v>
      </c>
      <c r="D23" s="68"/>
      <c r="E23" s="69"/>
      <c r="F23" s="70"/>
      <c r="G23" s="69"/>
      <c r="H23" s="70"/>
      <c r="I23" s="71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156"/>
      <c r="X23" s="156"/>
      <c r="Y23" s="156"/>
    </row>
    <row r="24">
      <c r="B24" s="68" t="s">
        <v>550</v>
      </c>
      <c r="C24" s="68">
        <v>0.0</v>
      </c>
      <c r="D24" s="68"/>
      <c r="E24" s="69"/>
      <c r="F24" s="70"/>
      <c r="G24" s="69"/>
      <c r="H24" s="70"/>
      <c r="I24" s="71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156"/>
      <c r="X24" s="156"/>
      <c r="Y24" s="156"/>
    </row>
    <row r="25">
      <c r="B25" s="68" t="s">
        <v>551</v>
      </c>
      <c r="C25" s="68">
        <v>0.0</v>
      </c>
      <c r="D25" s="68"/>
      <c r="E25" s="69"/>
      <c r="F25" s="70"/>
      <c r="G25" s="69"/>
      <c r="H25" s="70"/>
      <c r="I25" s="71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156"/>
      <c r="X25" s="156"/>
      <c r="Y25" s="156"/>
    </row>
    <row r="26">
      <c r="A26" s="58">
        <v>123.0</v>
      </c>
      <c r="B26" s="157" t="s">
        <v>120</v>
      </c>
      <c r="C26" s="157">
        <v>12.0</v>
      </c>
      <c r="D26" s="157" t="str">
        <f>IFERROR(__xludf.DUMMYFUNCTION("ARRAY_CONSTRAIN(filter('All Platforms'!A3:T1802,'All Platforms'!A3:A1802=""123 JV""),20,20)"),"#N/A")</f>
        <v>#N/A</v>
      </c>
      <c r="E26" s="64"/>
      <c r="F26" s="158"/>
      <c r="G26" s="64"/>
      <c r="H26" s="158"/>
      <c r="I26" s="159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57"/>
      <c r="X26" s="57"/>
      <c r="Y26" s="57"/>
    </row>
    <row r="27">
      <c r="B27" s="157" t="s">
        <v>121</v>
      </c>
      <c r="C27" s="157">
        <v>9.0</v>
      </c>
      <c r="D27" s="157"/>
      <c r="E27" s="64"/>
      <c r="F27" s="158"/>
      <c r="G27" s="64"/>
      <c r="H27" s="158"/>
      <c r="I27" s="159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57"/>
      <c r="X27" s="57"/>
      <c r="Y27" s="57"/>
    </row>
    <row r="28">
      <c r="B28" s="157" t="s">
        <v>122</v>
      </c>
      <c r="C28" s="157">
        <f>if(countif(F26:F27,F28)&gt;1,0,8)</f>
        <v>8</v>
      </c>
      <c r="D28" s="157"/>
      <c r="E28" s="64"/>
      <c r="F28" s="158"/>
      <c r="G28" s="64"/>
      <c r="H28" s="158"/>
      <c r="I28" s="159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57"/>
      <c r="X28" s="57"/>
      <c r="Y28" s="57"/>
    </row>
    <row r="29">
      <c r="B29" s="157" t="s">
        <v>123</v>
      </c>
      <c r="C29" s="157">
        <f>if(countif(F26:F28,F29)&gt;1,0,7)</f>
        <v>7</v>
      </c>
      <c r="D29" s="157"/>
      <c r="E29" s="64"/>
      <c r="F29" s="158"/>
      <c r="G29" s="64"/>
      <c r="H29" s="158"/>
      <c r="I29" s="159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57"/>
      <c r="X29" s="57"/>
      <c r="Y29" s="57"/>
    </row>
    <row r="30">
      <c r="B30" s="157" t="s">
        <v>124</v>
      </c>
      <c r="C30" s="157">
        <f>if(countif(F26:F29,F30)&gt;1,0,6)</f>
        <v>6</v>
      </c>
      <c r="D30" s="157"/>
      <c r="E30" s="64"/>
      <c r="F30" s="158"/>
      <c r="G30" s="64"/>
      <c r="H30" s="158"/>
      <c r="I30" s="159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57"/>
      <c r="X30" s="57"/>
      <c r="Y30" s="57"/>
    </row>
    <row r="31">
      <c r="B31" s="157" t="s">
        <v>125</v>
      </c>
      <c r="C31" s="157">
        <f>if(countif(F26:F30,F31)&gt;1,0,5)</f>
        <v>5</v>
      </c>
      <c r="D31" s="157"/>
      <c r="E31" s="64"/>
      <c r="F31" s="158"/>
      <c r="G31" s="64"/>
      <c r="H31" s="158"/>
      <c r="I31" s="159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57"/>
      <c r="X31" s="57"/>
      <c r="Y31" s="57"/>
    </row>
    <row r="32">
      <c r="B32" s="157" t="s">
        <v>126</v>
      </c>
      <c r="C32" s="157">
        <f>if(countif(F26:F31,F32)&gt;1,0,4)</f>
        <v>4</v>
      </c>
      <c r="D32" s="157"/>
      <c r="E32" s="64"/>
      <c r="F32" s="158"/>
      <c r="G32" s="64"/>
      <c r="H32" s="158"/>
      <c r="I32" s="159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57"/>
      <c r="X32" s="57"/>
      <c r="Y32" s="57"/>
    </row>
    <row r="33">
      <c r="B33" s="157" t="s">
        <v>127</v>
      </c>
      <c r="C33" s="157">
        <f>if(countif(F26:F32,F33)&gt;1,0,3)</f>
        <v>3</v>
      </c>
      <c r="D33" s="157"/>
      <c r="E33" s="64"/>
      <c r="F33" s="158"/>
      <c r="G33" s="64"/>
      <c r="H33" s="158"/>
      <c r="I33" s="159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57"/>
      <c r="X33" s="57"/>
      <c r="Y33" s="57"/>
    </row>
    <row r="34">
      <c r="B34" s="157" t="s">
        <v>128</v>
      </c>
      <c r="C34" s="157">
        <f>if(countif(F26:F33,F34)&gt;1,0,2)</f>
        <v>2</v>
      </c>
      <c r="D34" s="157"/>
      <c r="E34" s="64"/>
      <c r="F34" s="158"/>
      <c r="G34" s="64"/>
      <c r="H34" s="158"/>
      <c r="I34" s="159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57"/>
      <c r="X34" s="57"/>
      <c r="Y34" s="57"/>
    </row>
    <row r="35">
      <c r="B35" s="157" t="s">
        <v>129</v>
      </c>
      <c r="C35" s="157">
        <f>if(countif(F26:F34,F35)&gt;1,0,1)</f>
        <v>1</v>
      </c>
      <c r="D35" s="157"/>
      <c r="E35" s="64"/>
      <c r="F35" s="158"/>
      <c r="G35" s="64"/>
      <c r="H35" s="158"/>
      <c r="I35" s="159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57"/>
      <c r="X35" s="57"/>
      <c r="Y35" s="57"/>
    </row>
    <row r="36">
      <c r="A36" s="67">
        <v>123.0</v>
      </c>
      <c r="B36" s="68" t="s">
        <v>542</v>
      </c>
      <c r="C36" s="68">
        <v>0.0</v>
      </c>
      <c r="D36" s="68"/>
      <c r="E36" s="69"/>
      <c r="F36" s="70"/>
      <c r="G36" s="69"/>
      <c r="H36" s="70"/>
      <c r="I36" s="71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156"/>
      <c r="X36" s="156"/>
      <c r="Y36" s="156"/>
    </row>
    <row r="37">
      <c r="B37" s="68" t="s">
        <v>543</v>
      </c>
      <c r="C37" s="68">
        <v>0.0</v>
      </c>
      <c r="D37" s="68"/>
      <c r="E37" s="69"/>
      <c r="F37" s="70"/>
      <c r="G37" s="69"/>
      <c r="H37" s="70"/>
      <c r="I37" s="71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156"/>
      <c r="X37" s="156"/>
      <c r="Y37" s="156"/>
    </row>
    <row r="38">
      <c r="B38" s="68" t="s">
        <v>544</v>
      </c>
      <c r="C38" s="68">
        <v>0.0</v>
      </c>
      <c r="D38" s="68"/>
      <c r="E38" s="69"/>
      <c r="F38" s="70"/>
      <c r="G38" s="69"/>
      <c r="H38" s="70"/>
      <c r="I38" s="71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156"/>
      <c r="X38" s="156"/>
      <c r="Y38" s="156"/>
    </row>
    <row r="39">
      <c r="B39" s="68" t="s">
        <v>545</v>
      </c>
      <c r="C39" s="68">
        <v>0.0</v>
      </c>
      <c r="D39" s="68"/>
      <c r="E39" s="69"/>
      <c r="F39" s="70"/>
      <c r="G39" s="69"/>
      <c r="H39" s="70"/>
      <c r="I39" s="71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156"/>
      <c r="X39" s="156"/>
      <c r="Y39" s="156"/>
    </row>
    <row r="40">
      <c r="B40" s="68" t="s">
        <v>546</v>
      </c>
      <c r="C40" s="68">
        <v>0.0</v>
      </c>
      <c r="D40" s="68"/>
      <c r="E40" s="69"/>
      <c r="F40" s="70"/>
      <c r="G40" s="69"/>
      <c r="H40" s="70"/>
      <c r="I40" s="71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156"/>
      <c r="X40" s="156"/>
      <c r="Y40" s="156"/>
    </row>
    <row r="41">
      <c r="B41" s="68" t="s">
        <v>547</v>
      </c>
      <c r="C41" s="68">
        <v>0.0</v>
      </c>
      <c r="D41" s="68"/>
      <c r="E41" s="69"/>
      <c r="F41" s="70"/>
      <c r="G41" s="69"/>
      <c r="H41" s="70"/>
      <c r="I41" s="71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156"/>
      <c r="X41" s="156"/>
      <c r="Y41" s="156"/>
    </row>
    <row r="42">
      <c r="B42" s="68" t="s">
        <v>548</v>
      </c>
      <c r="C42" s="68">
        <v>0.0</v>
      </c>
      <c r="D42" s="68"/>
      <c r="E42" s="69"/>
      <c r="F42" s="70"/>
      <c r="G42" s="69"/>
      <c r="H42" s="70"/>
      <c r="I42" s="71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156"/>
      <c r="X42" s="156"/>
      <c r="Y42" s="156"/>
    </row>
    <row r="43">
      <c r="B43" s="68" t="s">
        <v>549</v>
      </c>
      <c r="C43" s="68">
        <v>0.0</v>
      </c>
      <c r="D43" s="68"/>
      <c r="E43" s="69"/>
      <c r="F43" s="70"/>
      <c r="G43" s="69"/>
      <c r="H43" s="70"/>
      <c r="I43" s="71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156"/>
      <c r="X43" s="156"/>
      <c r="Y43" s="156"/>
    </row>
    <row r="44">
      <c r="B44" s="68" t="s">
        <v>550</v>
      </c>
      <c r="C44" s="68">
        <v>0.0</v>
      </c>
      <c r="D44" s="68"/>
      <c r="E44" s="69"/>
      <c r="F44" s="70"/>
      <c r="G44" s="69"/>
      <c r="H44" s="70"/>
      <c r="I44" s="71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156"/>
      <c r="X44" s="156"/>
      <c r="Y44" s="156"/>
    </row>
    <row r="45">
      <c r="B45" s="68" t="s">
        <v>551</v>
      </c>
      <c r="C45" s="68">
        <v>0.0</v>
      </c>
      <c r="D45" s="68"/>
      <c r="E45" s="69"/>
      <c r="F45" s="70"/>
      <c r="G45" s="69"/>
      <c r="H45" s="70"/>
      <c r="I45" s="71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156"/>
      <c r="X45" s="156"/>
      <c r="Y45" s="156"/>
    </row>
    <row r="46">
      <c r="A46" s="58">
        <v>132.0</v>
      </c>
      <c r="B46" s="157" t="s">
        <v>120</v>
      </c>
      <c r="C46" s="157">
        <v>12.0</v>
      </c>
      <c r="D46" s="157" t="str">
        <f>IFERROR(__xludf.DUMMYFUNCTION("ARRAY_CONSTRAIN(filter('All Platforms'!A3:T1802,'All Platforms'!A3:A1802=""132 JV""),20,20)"),"#N/A")</f>
        <v>#N/A</v>
      </c>
      <c r="E46" s="64"/>
      <c r="F46" s="158"/>
      <c r="G46" s="64"/>
      <c r="H46" s="158"/>
      <c r="I46" s="159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57"/>
      <c r="X46" s="57"/>
      <c r="Y46" s="57"/>
    </row>
    <row r="47">
      <c r="B47" s="157" t="s">
        <v>121</v>
      </c>
      <c r="C47" s="157">
        <v>9.0</v>
      </c>
      <c r="D47" s="157"/>
      <c r="E47" s="64"/>
      <c r="F47" s="158"/>
      <c r="G47" s="64"/>
      <c r="H47" s="158"/>
      <c r="I47" s="159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57"/>
      <c r="X47" s="57"/>
      <c r="Y47" s="57"/>
    </row>
    <row r="48">
      <c r="B48" s="157" t="s">
        <v>122</v>
      </c>
      <c r="C48" s="157">
        <f>if(countif(F46:F47,F48)&gt;1,0,8)</f>
        <v>8</v>
      </c>
      <c r="D48" s="157"/>
      <c r="E48" s="64"/>
      <c r="F48" s="158"/>
      <c r="G48" s="64"/>
      <c r="H48" s="158"/>
      <c r="I48" s="159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57"/>
      <c r="X48" s="57"/>
      <c r="Y48" s="57"/>
    </row>
    <row r="49">
      <c r="B49" s="157" t="s">
        <v>123</v>
      </c>
      <c r="C49" s="157">
        <f>if(countif(F46:F48,F49)&gt;1,0,7)</f>
        <v>7</v>
      </c>
      <c r="D49" s="157"/>
      <c r="E49" s="64"/>
      <c r="F49" s="158"/>
      <c r="G49" s="64"/>
      <c r="H49" s="158"/>
      <c r="I49" s="159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57"/>
      <c r="X49" s="57"/>
      <c r="Y49" s="57"/>
    </row>
    <row r="50">
      <c r="B50" s="157" t="s">
        <v>124</v>
      </c>
      <c r="C50" s="157">
        <f>if(countif(F46:F49,F50)&gt;1,0,6)</f>
        <v>6</v>
      </c>
      <c r="D50" s="157"/>
      <c r="E50" s="64"/>
      <c r="F50" s="158"/>
      <c r="G50" s="64"/>
      <c r="H50" s="158"/>
      <c r="I50" s="159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57"/>
      <c r="X50" s="57"/>
      <c r="Y50" s="57"/>
    </row>
    <row r="51">
      <c r="B51" s="157" t="s">
        <v>125</v>
      </c>
      <c r="C51" s="157">
        <f>if(countif(F46:F50,F51)&gt;1,0,5)</f>
        <v>5</v>
      </c>
      <c r="D51" s="157"/>
      <c r="E51" s="64"/>
      <c r="F51" s="158"/>
      <c r="G51" s="64"/>
      <c r="H51" s="158"/>
      <c r="I51" s="159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57"/>
      <c r="X51" s="57"/>
      <c r="Y51" s="57"/>
    </row>
    <row r="52">
      <c r="B52" s="157" t="s">
        <v>126</v>
      </c>
      <c r="C52" s="157">
        <f>if(countif(F46:F51,F52)&gt;1,0,4)</f>
        <v>4</v>
      </c>
      <c r="D52" s="157"/>
      <c r="E52" s="64"/>
      <c r="F52" s="158"/>
      <c r="G52" s="64"/>
      <c r="H52" s="158"/>
      <c r="I52" s="159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57"/>
      <c r="X52" s="57"/>
      <c r="Y52" s="57"/>
    </row>
    <row r="53">
      <c r="B53" s="157" t="s">
        <v>127</v>
      </c>
      <c r="C53" s="157">
        <f>if(countif(F46:F52,F53)&gt;1,0,3)</f>
        <v>3</v>
      </c>
      <c r="D53" s="157"/>
      <c r="E53" s="64"/>
      <c r="F53" s="158"/>
      <c r="G53" s="64"/>
      <c r="H53" s="158"/>
      <c r="I53" s="159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57"/>
      <c r="X53" s="57"/>
      <c r="Y53" s="57"/>
    </row>
    <row r="54">
      <c r="B54" s="157" t="s">
        <v>128</v>
      </c>
      <c r="C54" s="157">
        <f>if(countif(F46:F53,F54)&gt;1,0,2)</f>
        <v>2</v>
      </c>
      <c r="D54" s="157"/>
      <c r="E54" s="64"/>
      <c r="F54" s="158"/>
      <c r="G54" s="64"/>
      <c r="H54" s="158"/>
      <c r="I54" s="159"/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57"/>
      <c r="X54" s="57"/>
      <c r="Y54" s="57"/>
    </row>
    <row r="55">
      <c r="B55" s="157" t="s">
        <v>129</v>
      </c>
      <c r="C55" s="157">
        <f>if(countif(F46:F54,F55)&gt;1,0,1)</f>
        <v>1</v>
      </c>
      <c r="D55" s="157"/>
      <c r="E55" s="64"/>
      <c r="F55" s="158"/>
      <c r="G55" s="64"/>
      <c r="H55" s="158"/>
      <c r="I55" s="159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57"/>
      <c r="X55" s="57"/>
      <c r="Y55" s="57"/>
    </row>
    <row r="56">
      <c r="A56" s="67">
        <v>132.0</v>
      </c>
      <c r="B56" s="68" t="s">
        <v>542</v>
      </c>
      <c r="C56" s="68">
        <v>0.0</v>
      </c>
      <c r="D56" s="68"/>
      <c r="E56" s="69"/>
      <c r="F56" s="70"/>
      <c r="G56" s="69"/>
      <c r="H56" s="70"/>
      <c r="I56" s="71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156"/>
      <c r="X56" s="156"/>
      <c r="Y56" s="156"/>
    </row>
    <row r="57">
      <c r="B57" s="68" t="s">
        <v>543</v>
      </c>
      <c r="C57" s="68">
        <v>0.0</v>
      </c>
      <c r="D57" s="68"/>
      <c r="E57" s="69"/>
      <c r="F57" s="70"/>
      <c r="G57" s="69"/>
      <c r="H57" s="70"/>
      <c r="I57" s="71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156"/>
      <c r="X57" s="156"/>
      <c r="Y57" s="156"/>
    </row>
    <row r="58">
      <c r="B58" s="68" t="s">
        <v>544</v>
      </c>
      <c r="C58" s="68">
        <v>0.0</v>
      </c>
      <c r="D58" s="68"/>
      <c r="E58" s="69"/>
      <c r="F58" s="70"/>
      <c r="G58" s="69"/>
      <c r="H58" s="70"/>
      <c r="I58" s="71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156"/>
      <c r="X58" s="156"/>
      <c r="Y58" s="156"/>
    </row>
    <row r="59">
      <c r="B59" s="68" t="s">
        <v>545</v>
      </c>
      <c r="C59" s="68">
        <v>0.0</v>
      </c>
      <c r="D59" s="68"/>
      <c r="E59" s="69"/>
      <c r="F59" s="70"/>
      <c r="G59" s="69"/>
      <c r="H59" s="70"/>
      <c r="I59" s="71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156"/>
      <c r="X59" s="156"/>
      <c r="Y59" s="156"/>
    </row>
    <row r="60">
      <c r="B60" s="68" t="s">
        <v>546</v>
      </c>
      <c r="C60" s="68">
        <v>0.0</v>
      </c>
      <c r="D60" s="68"/>
      <c r="E60" s="69"/>
      <c r="F60" s="70"/>
      <c r="G60" s="69"/>
      <c r="H60" s="70"/>
      <c r="I60" s="71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156"/>
      <c r="X60" s="156"/>
      <c r="Y60" s="156"/>
    </row>
    <row r="61">
      <c r="B61" s="68" t="s">
        <v>547</v>
      </c>
      <c r="C61" s="68">
        <v>0.0</v>
      </c>
      <c r="D61" s="68"/>
      <c r="E61" s="69"/>
      <c r="F61" s="70"/>
      <c r="G61" s="69"/>
      <c r="H61" s="70"/>
      <c r="I61" s="71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156"/>
      <c r="X61" s="156"/>
      <c r="Y61" s="156"/>
    </row>
    <row r="62">
      <c r="B62" s="68" t="s">
        <v>548</v>
      </c>
      <c r="C62" s="68">
        <v>0.0</v>
      </c>
      <c r="D62" s="68"/>
      <c r="E62" s="69"/>
      <c r="F62" s="70"/>
      <c r="G62" s="69"/>
      <c r="H62" s="70"/>
      <c r="I62" s="71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156"/>
      <c r="X62" s="156"/>
      <c r="Y62" s="156"/>
    </row>
    <row r="63">
      <c r="B63" s="68" t="s">
        <v>549</v>
      </c>
      <c r="C63" s="68">
        <v>0.0</v>
      </c>
      <c r="D63" s="68"/>
      <c r="E63" s="69"/>
      <c r="F63" s="70"/>
      <c r="G63" s="69"/>
      <c r="H63" s="70"/>
      <c r="I63" s="71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156"/>
      <c r="X63" s="156"/>
      <c r="Y63" s="156"/>
    </row>
    <row r="64">
      <c r="B64" s="68" t="s">
        <v>550</v>
      </c>
      <c r="C64" s="68">
        <v>0.0</v>
      </c>
      <c r="D64" s="68"/>
      <c r="E64" s="69"/>
      <c r="F64" s="70"/>
      <c r="G64" s="69"/>
      <c r="H64" s="70"/>
      <c r="I64" s="71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156"/>
      <c r="X64" s="156"/>
      <c r="Y64" s="156"/>
    </row>
    <row r="65">
      <c r="B65" s="68" t="s">
        <v>551</v>
      </c>
      <c r="C65" s="68">
        <v>0.0</v>
      </c>
      <c r="D65" s="68"/>
      <c r="E65" s="69"/>
      <c r="F65" s="70"/>
      <c r="G65" s="69"/>
      <c r="H65" s="70"/>
      <c r="I65" s="71"/>
      <c r="J65" s="69"/>
      <c r="K65" s="69"/>
      <c r="L65" s="69"/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156"/>
      <c r="X65" s="156"/>
      <c r="Y65" s="156"/>
    </row>
    <row r="66">
      <c r="A66" s="58">
        <v>145.0</v>
      </c>
      <c r="B66" s="157" t="s">
        <v>120</v>
      </c>
      <c r="C66" s="157">
        <v>12.0</v>
      </c>
      <c r="D66" s="157" t="str">
        <f>IFERROR(__xludf.DUMMYFUNCTION("ARRAY_CONSTRAIN(filter('All Platforms'!A3:T1802,'All Platforms'!A3:A1802=""145 JV""),20,20)"),"#N/A")</f>
        <v>#N/A</v>
      </c>
      <c r="E66" s="64"/>
      <c r="F66" s="158"/>
      <c r="G66" s="64"/>
      <c r="H66" s="158"/>
      <c r="I66" s="159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57"/>
      <c r="X66" s="57"/>
      <c r="Y66" s="57"/>
    </row>
    <row r="67">
      <c r="B67" s="157" t="s">
        <v>121</v>
      </c>
      <c r="C67" s="157">
        <v>9.0</v>
      </c>
      <c r="D67" s="157"/>
      <c r="E67" s="64"/>
      <c r="F67" s="158"/>
      <c r="G67" s="64"/>
      <c r="H67" s="158"/>
      <c r="I67" s="159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57"/>
      <c r="X67" s="57"/>
      <c r="Y67" s="57"/>
    </row>
    <row r="68">
      <c r="B68" s="157" t="s">
        <v>122</v>
      </c>
      <c r="C68" s="157">
        <f>if(countif(F66:F67,F68)&gt;1,0,8)</f>
        <v>8</v>
      </c>
      <c r="D68" s="157"/>
      <c r="E68" s="64"/>
      <c r="F68" s="158"/>
      <c r="G68" s="64"/>
      <c r="H68" s="158"/>
      <c r="I68" s="159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57"/>
      <c r="X68" s="57"/>
      <c r="Y68" s="57"/>
    </row>
    <row r="69">
      <c r="B69" s="157" t="s">
        <v>123</v>
      </c>
      <c r="C69" s="157">
        <f>if(countif(F66:F68,F69)&gt;1,0,7)</f>
        <v>7</v>
      </c>
      <c r="D69" s="157"/>
      <c r="E69" s="64"/>
      <c r="F69" s="158"/>
      <c r="G69" s="64"/>
      <c r="H69" s="158"/>
      <c r="I69" s="159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57"/>
      <c r="X69" s="57"/>
      <c r="Y69" s="57"/>
    </row>
    <row r="70">
      <c r="B70" s="157" t="s">
        <v>124</v>
      </c>
      <c r="C70" s="157">
        <f>if(countif(F66:F69,F70)&gt;1,0,6)</f>
        <v>6</v>
      </c>
      <c r="D70" s="157"/>
      <c r="E70" s="64"/>
      <c r="F70" s="158"/>
      <c r="G70" s="64"/>
      <c r="H70" s="158"/>
      <c r="I70" s="159"/>
      <c r="J70" s="64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57"/>
      <c r="X70" s="57"/>
      <c r="Y70" s="57"/>
    </row>
    <row r="71">
      <c r="B71" s="157" t="s">
        <v>125</v>
      </c>
      <c r="C71" s="157">
        <f>if(countif(F66:F70,F71)&gt;1,0,5)</f>
        <v>5</v>
      </c>
      <c r="D71" s="157"/>
      <c r="E71" s="64"/>
      <c r="F71" s="158"/>
      <c r="G71" s="64"/>
      <c r="H71" s="158"/>
      <c r="I71" s="159"/>
      <c r="J71" s="64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57"/>
      <c r="X71" s="57"/>
      <c r="Y71" s="57"/>
    </row>
    <row r="72">
      <c r="B72" s="157" t="s">
        <v>126</v>
      </c>
      <c r="C72" s="157">
        <f>if(countif(F66:F71,F72)&gt;1,0,4)</f>
        <v>4</v>
      </c>
      <c r="D72" s="157"/>
      <c r="E72" s="64"/>
      <c r="F72" s="158"/>
      <c r="G72" s="64"/>
      <c r="H72" s="158"/>
      <c r="I72" s="159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57"/>
      <c r="X72" s="57"/>
      <c r="Y72" s="57"/>
    </row>
    <row r="73">
      <c r="B73" s="157" t="s">
        <v>127</v>
      </c>
      <c r="C73" s="157">
        <f>if(countif(F66:F72,F73)&gt;1,0,3)</f>
        <v>3</v>
      </c>
      <c r="D73" s="157"/>
      <c r="E73" s="64"/>
      <c r="F73" s="158"/>
      <c r="G73" s="64"/>
      <c r="H73" s="158"/>
      <c r="I73" s="159"/>
      <c r="J73" s="64"/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57"/>
      <c r="X73" s="57"/>
      <c r="Y73" s="57"/>
    </row>
    <row r="74">
      <c r="B74" s="157" t="s">
        <v>128</v>
      </c>
      <c r="C74" s="157">
        <f>if(countif(F66:F73,F74)&gt;1,0,2)</f>
        <v>2</v>
      </c>
      <c r="D74" s="157"/>
      <c r="E74" s="64"/>
      <c r="F74" s="158"/>
      <c r="G74" s="64"/>
      <c r="H74" s="158"/>
      <c r="I74" s="159"/>
      <c r="J74" s="64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57"/>
      <c r="X74" s="57"/>
      <c r="Y74" s="57"/>
    </row>
    <row r="75">
      <c r="B75" s="157" t="s">
        <v>129</v>
      </c>
      <c r="C75" s="157">
        <f>if(countif(F66:F74,F75)&gt;1,0,1)</f>
        <v>1</v>
      </c>
      <c r="D75" s="157"/>
      <c r="E75" s="64"/>
      <c r="F75" s="158"/>
      <c r="G75" s="64"/>
      <c r="H75" s="158"/>
      <c r="I75" s="159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57"/>
      <c r="X75" s="57"/>
      <c r="Y75" s="57"/>
    </row>
    <row r="76">
      <c r="A76" s="67">
        <v>145.0</v>
      </c>
      <c r="B76" s="68" t="s">
        <v>542</v>
      </c>
      <c r="C76" s="68">
        <v>0.0</v>
      </c>
      <c r="D76" s="68"/>
      <c r="E76" s="69"/>
      <c r="F76" s="70"/>
      <c r="G76" s="69"/>
      <c r="H76" s="70"/>
      <c r="I76" s="71"/>
      <c r="J76" s="69"/>
      <c r="K76" s="69"/>
      <c r="L76" s="69"/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156"/>
      <c r="X76" s="156"/>
      <c r="Y76" s="156"/>
    </row>
    <row r="77">
      <c r="B77" s="68" t="s">
        <v>543</v>
      </c>
      <c r="C77" s="68">
        <v>0.0</v>
      </c>
      <c r="D77" s="68"/>
      <c r="E77" s="69"/>
      <c r="F77" s="70"/>
      <c r="G77" s="69"/>
      <c r="H77" s="70"/>
      <c r="I77" s="71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156"/>
      <c r="X77" s="156"/>
      <c r="Y77" s="156"/>
    </row>
    <row r="78">
      <c r="B78" s="68" t="s">
        <v>544</v>
      </c>
      <c r="C78" s="68">
        <v>0.0</v>
      </c>
      <c r="D78" s="68"/>
      <c r="E78" s="69"/>
      <c r="F78" s="70"/>
      <c r="G78" s="69"/>
      <c r="H78" s="70"/>
      <c r="I78" s="71"/>
      <c r="J78" s="69"/>
      <c r="K78" s="69"/>
      <c r="L78" s="69"/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156"/>
      <c r="X78" s="156"/>
      <c r="Y78" s="156"/>
    </row>
    <row r="79">
      <c r="B79" s="68" t="s">
        <v>545</v>
      </c>
      <c r="C79" s="68">
        <v>0.0</v>
      </c>
      <c r="D79" s="68"/>
      <c r="E79" s="69"/>
      <c r="F79" s="70"/>
      <c r="G79" s="69"/>
      <c r="H79" s="70"/>
      <c r="I79" s="71"/>
      <c r="J79" s="69"/>
      <c r="K79" s="69"/>
      <c r="L79" s="69"/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156"/>
      <c r="X79" s="156"/>
      <c r="Y79" s="156"/>
    </row>
    <row r="80">
      <c r="B80" s="68" t="s">
        <v>546</v>
      </c>
      <c r="C80" s="68">
        <v>0.0</v>
      </c>
      <c r="D80" s="68"/>
      <c r="E80" s="69"/>
      <c r="F80" s="70"/>
      <c r="G80" s="69"/>
      <c r="H80" s="70"/>
      <c r="I80" s="71"/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156"/>
      <c r="X80" s="156"/>
      <c r="Y80" s="156"/>
    </row>
    <row r="81">
      <c r="B81" s="68" t="s">
        <v>547</v>
      </c>
      <c r="C81" s="68">
        <v>0.0</v>
      </c>
      <c r="D81" s="68"/>
      <c r="E81" s="69"/>
      <c r="F81" s="70"/>
      <c r="G81" s="69"/>
      <c r="H81" s="70"/>
      <c r="I81" s="71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156"/>
      <c r="X81" s="156"/>
      <c r="Y81" s="156"/>
    </row>
    <row r="82">
      <c r="B82" s="68" t="s">
        <v>548</v>
      </c>
      <c r="C82" s="68">
        <v>0.0</v>
      </c>
      <c r="D82" s="68"/>
      <c r="E82" s="69"/>
      <c r="F82" s="70"/>
      <c r="G82" s="69"/>
      <c r="H82" s="70"/>
      <c r="I82" s="71"/>
      <c r="J82" s="69"/>
      <c r="K82" s="69"/>
      <c r="L82" s="69"/>
      <c r="M82" s="69"/>
      <c r="N82" s="69"/>
      <c r="O82" s="69"/>
      <c r="P82" s="69"/>
      <c r="Q82" s="69"/>
      <c r="R82" s="69"/>
      <c r="S82" s="69"/>
      <c r="T82" s="69"/>
      <c r="U82" s="69"/>
      <c r="V82" s="69"/>
      <c r="W82" s="156"/>
      <c r="X82" s="156"/>
      <c r="Y82" s="156"/>
    </row>
    <row r="83">
      <c r="B83" s="68" t="s">
        <v>549</v>
      </c>
      <c r="C83" s="68">
        <v>0.0</v>
      </c>
      <c r="D83" s="68"/>
      <c r="E83" s="69"/>
      <c r="F83" s="70"/>
      <c r="G83" s="69"/>
      <c r="H83" s="70"/>
      <c r="I83" s="71"/>
      <c r="J83" s="69"/>
      <c r="K83" s="69"/>
      <c r="L83" s="69"/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156"/>
      <c r="X83" s="156"/>
      <c r="Y83" s="156"/>
    </row>
    <row r="84">
      <c r="B84" s="68" t="s">
        <v>550</v>
      </c>
      <c r="C84" s="68">
        <v>0.0</v>
      </c>
      <c r="D84" s="68"/>
      <c r="E84" s="69"/>
      <c r="F84" s="70"/>
      <c r="G84" s="69"/>
      <c r="H84" s="70"/>
      <c r="I84" s="71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156"/>
      <c r="X84" s="156"/>
      <c r="Y84" s="156"/>
    </row>
    <row r="85">
      <c r="B85" s="68" t="s">
        <v>551</v>
      </c>
      <c r="C85" s="68">
        <v>0.0</v>
      </c>
      <c r="D85" s="68"/>
      <c r="E85" s="69"/>
      <c r="F85" s="70"/>
      <c r="G85" s="69"/>
      <c r="H85" s="70"/>
      <c r="I85" s="71"/>
      <c r="J85" s="69"/>
      <c r="K85" s="69"/>
      <c r="L85" s="69"/>
      <c r="M85" s="69"/>
      <c r="N85" s="69"/>
      <c r="O85" s="69"/>
      <c r="P85" s="69"/>
      <c r="Q85" s="69"/>
      <c r="R85" s="69"/>
      <c r="S85" s="69"/>
      <c r="T85" s="69"/>
      <c r="U85" s="69"/>
      <c r="V85" s="69"/>
      <c r="W85" s="156"/>
      <c r="X85" s="156"/>
      <c r="Y85" s="156"/>
    </row>
    <row r="86">
      <c r="A86" s="58">
        <v>155.0</v>
      </c>
      <c r="B86" s="157" t="s">
        <v>120</v>
      </c>
      <c r="C86" s="157">
        <v>12.0</v>
      </c>
      <c r="D86" s="57" t="str">
        <f>IFERROR(__xludf.DUMMYFUNCTION("ARRAY_CONSTRAIN(filter('All Platforms'!A3:T1802,'All Platforms'!A3:A1802=""155 JV""),20,20)"),"#N/A")</f>
        <v>#N/A</v>
      </c>
      <c r="E86" s="64"/>
      <c r="F86" s="158"/>
      <c r="G86" s="64"/>
      <c r="H86" s="158"/>
      <c r="I86" s="159"/>
      <c r="J86" s="64"/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57"/>
      <c r="X86" s="57"/>
      <c r="Y86" s="57"/>
    </row>
    <row r="87">
      <c r="B87" s="157" t="s">
        <v>121</v>
      </c>
      <c r="C87" s="157">
        <v>9.0</v>
      </c>
      <c r="D87" s="157"/>
      <c r="E87" s="64"/>
      <c r="F87" s="158"/>
      <c r="G87" s="64"/>
      <c r="H87" s="158"/>
      <c r="I87" s="159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57"/>
      <c r="X87" s="57"/>
      <c r="Y87" s="57"/>
    </row>
    <row r="88">
      <c r="B88" s="157" t="s">
        <v>122</v>
      </c>
      <c r="C88" s="157">
        <f>if(countif(F86:F87,F88)&gt;1,0,8)</f>
        <v>8</v>
      </c>
      <c r="D88" s="157"/>
      <c r="E88" s="64"/>
      <c r="F88" s="158"/>
      <c r="G88" s="64"/>
      <c r="H88" s="158"/>
      <c r="I88" s="159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57"/>
      <c r="X88" s="57"/>
      <c r="Y88" s="57"/>
    </row>
    <row r="89">
      <c r="B89" s="157" t="s">
        <v>123</v>
      </c>
      <c r="C89" s="157">
        <f>if(countif(F86:F88,F89)&gt;1,0,7)</f>
        <v>7</v>
      </c>
      <c r="D89" s="157"/>
      <c r="E89" s="64"/>
      <c r="F89" s="158"/>
      <c r="G89" s="64"/>
      <c r="H89" s="158"/>
      <c r="I89" s="159"/>
      <c r="J89" s="64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57"/>
      <c r="X89" s="57"/>
      <c r="Y89" s="57"/>
    </row>
    <row r="90">
      <c r="B90" s="157" t="s">
        <v>124</v>
      </c>
      <c r="C90" s="157">
        <f>if(countif(F86:F89,F90)&gt;1,0,6)</f>
        <v>6</v>
      </c>
      <c r="D90" s="157"/>
      <c r="E90" s="64"/>
      <c r="F90" s="158"/>
      <c r="G90" s="64"/>
      <c r="H90" s="158"/>
      <c r="I90" s="159"/>
      <c r="J90" s="64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57"/>
      <c r="X90" s="57"/>
      <c r="Y90" s="57"/>
    </row>
    <row r="91">
      <c r="B91" s="157" t="s">
        <v>125</v>
      </c>
      <c r="C91" s="157">
        <f>if(countif(F86:F90,F91)&gt;1,0,5)</f>
        <v>5</v>
      </c>
      <c r="D91" s="157"/>
      <c r="E91" s="64"/>
      <c r="F91" s="158"/>
      <c r="G91" s="64"/>
      <c r="H91" s="158"/>
      <c r="I91" s="159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57"/>
      <c r="X91" s="57"/>
      <c r="Y91" s="57"/>
    </row>
    <row r="92">
      <c r="B92" s="157" t="s">
        <v>126</v>
      </c>
      <c r="C92" s="157">
        <f>if(countif(F86:F91,F92)&gt;1,0,4)</f>
        <v>4</v>
      </c>
      <c r="D92" s="157"/>
      <c r="E92" s="64"/>
      <c r="F92" s="158"/>
      <c r="G92" s="64"/>
      <c r="H92" s="158"/>
      <c r="I92" s="159"/>
      <c r="J92" s="6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57"/>
      <c r="X92" s="57"/>
      <c r="Y92" s="57"/>
    </row>
    <row r="93">
      <c r="B93" s="157" t="s">
        <v>127</v>
      </c>
      <c r="C93" s="157">
        <f>if(countif(F86:F92,F93)&gt;1,0,3)</f>
        <v>3</v>
      </c>
      <c r="D93" s="157"/>
      <c r="E93" s="64"/>
      <c r="F93" s="158"/>
      <c r="G93" s="64"/>
      <c r="H93" s="158"/>
      <c r="I93" s="159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57"/>
      <c r="X93" s="57"/>
      <c r="Y93" s="57"/>
    </row>
    <row r="94">
      <c r="B94" s="157" t="s">
        <v>128</v>
      </c>
      <c r="C94" s="157">
        <f>if(countif(F86:F93,F94)&gt;1,0,2)</f>
        <v>2</v>
      </c>
      <c r="D94" s="157"/>
      <c r="E94" s="64"/>
      <c r="F94" s="158"/>
      <c r="G94" s="64"/>
      <c r="H94" s="158"/>
      <c r="I94" s="159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57"/>
      <c r="X94" s="57"/>
      <c r="Y94" s="57"/>
    </row>
    <row r="95">
      <c r="B95" s="157" t="s">
        <v>129</v>
      </c>
      <c r="C95" s="157">
        <f>if(countif(F86:F94,F95)&gt;1,0,1)</f>
        <v>1</v>
      </c>
      <c r="D95" s="157"/>
      <c r="E95" s="64"/>
      <c r="F95" s="158"/>
      <c r="G95" s="64"/>
      <c r="H95" s="158"/>
      <c r="I95" s="159"/>
      <c r="J95" s="64"/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57"/>
      <c r="X95" s="57"/>
      <c r="Y95" s="57"/>
    </row>
    <row r="96">
      <c r="A96" s="67">
        <v>155.0</v>
      </c>
      <c r="B96" s="68" t="s">
        <v>542</v>
      </c>
      <c r="C96" s="68">
        <v>0.0</v>
      </c>
      <c r="D96" s="68"/>
      <c r="E96" s="69"/>
      <c r="F96" s="70"/>
      <c r="G96" s="69"/>
      <c r="H96" s="70"/>
      <c r="I96" s="71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156"/>
      <c r="X96" s="156"/>
      <c r="Y96" s="156"/>
    </row>
    <row r="97">
      <c r="B97" s="68" t="s">
        <v>543</v>
      </c>
      <c r="C97" s="68">
        <v>0.0</v>
      </c>
      <c r="D97" s="68"/>
      <c r="E97" s="69"/>
      <c r="F97" s="70"/>
      <c r="G97" s="69"/>
      <c r="H97" s="70"/>
      <c r="I97" s="71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156"/>
      <c r="X97" s="156"/>
      <c r="Y97" s="156"/>
    </row>
    <row r="98">
      <c r="B98" s="68" t="s">
        <v>544</v>
      </c>
      <c r="C98" s="68">
        <v>0.0</v>
      </c>
      <c r="D98" s="68"/>
      <c r="E98" s="69"/>
      <c r="F98" s="70"/>
      <c r="G98" s="69"/>
      <c r="H98" s="70"/>
      <c r="I98" s="71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156"/>
      <c r="X98" s="156"/>
      <c r="Y98" s="156"/>
    </row>
    <row r="99">
      <c r="B99" s="68" t="s">
        <v>545</v>
      </c>
      <c r="C99" s="68">
        <v>0.0</v>
      </c>
      <c r="D99" s="68"/>
      <c r="E99" s="69"/>
      <c r="F99" s="70"/>
      <c r="G99" s="69"/>
      <c r="H99" s="70"/>
      <c r="I99" s="71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156"/>
      <c r="X99" s="156"/>
      <c r="Y99" s="156"/>
    </row>
    <row r="100">
      <c r="B100" s="68" t="s">
        <v>546</v>
      </c>
      <c r="C100" s="68">
        <v>0.0</v>
      </c>
      <c r="D100" s="68"/>
      <c r="E100" s="69"/>
      <c r="F100" s="70"/>
      <c r="G100" s="69"/>
      <c r="H100" s="70"/>
      <c r="I100" s="71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156"/>
      <c r="X100" s="156"/>
      <c r="Y100" s="156"/>
    </row>
    <row r="101">
      <c r="B101" s="68" t="s">
        <v>547</v>
      </c>
      <c r="C101" s="68">
        <v>0.0</v>
      </c>
      <c r="D101" s="68"/>
      <c r="E101" s="69"/>
      <c r="F101" s="70"/>
      <c r="G101" s="69"/>
      <c r="H101" s="70"/>
      <c r="I101" s="71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156"/>
      <c r="X101" s="156"/>
      <c r="Y101" s="156"/>
    </row>
    <row r="102">
      <c r="B102" s="68" t="s">
        <v>548</v>
      </c>
      <c r="C102" s="68">
        <v>0.0</v>
      </c>
      <c r="D102" s="68"/>
      <c r="E102" s="69"/>
      <c r="F102" s="70"/>
      <c r="G102" s="69"/>
      <c r="H102" s="70"/>
      <c r="I102" s="71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156"/>
      <c r="X102" s="156"/>
      <c r="Y102" s="156"/>
    </row>
    <row r="103">
      <c r="B103" s="68" t="s">
        <v>549</v>
      </c>
      <c r="C103" s="68">
        <v>0.0</v>
      </c>
      <c r="D103" s="68"/>
      <c r="E103" s="69"/>
      <c r="F103" s="70"/>
      <c r="G103" s="69"/>
      <c r="H103" s="70"/>
      <c r="I103" s="71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156"/>
      <c r="X103" s="156"/>
      <c r="Y103" s="156"/>
    </row>
    <row r="104">
      <c r="B104" s="68" t="s">
        <v>550</v>
      </c>
      <c r="C104" s="68">
        <v>0.0</v>
      </c>
      <c r="D104" s="68"/>
      <c r="E104" s="69"/>
      <c r="F104" s="70"/>
      <c r="G104" s="69"/>
      <c r="H104" s="70"/>
      <c r="I104" s="71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156"/>
      <c r="X104" s="156"/>
      <c r="Y104" s="156"/>
    </row>
    <row r="105">
      <c r="B105" s="68" t="s">
        <v>551</v>
      </c>
      <c r="C105" s="68">
        <v>0.0</v>
      </c>
      <c r="D105" s="68"/>
      <c r="E105" s="69"/>
      <c r="F105" s="70"/>
      <c r="G105" s="69"/>
      <c r="H105" s="70"/>
      <c r="I105" s="71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156"/>
      <c r="X105" s="156"/>
      <c r="Y105" s="156"/>
    </row>
    <row r="106">
      <c r="A106" s="58">
        <v>165.0</v>
      </c>
      <c r="B106" s="157" t="s">
        <v>120</v>
      </c>
      <c r="C106" s="157">
        <v>12.0</v>
      </c>
      <c r="D106" s="157" t="str">
        <f>IFERROR(__xludf.DUMMYFUNCTION("ARRAY_CONSTRAIN(filter('All Platforms'!A3:T1802,'All Platforms'!A3:A1802=""165 JV""),20,20)"),"#N/A")</f>
        <v>#N/A</v>
      </c>
      <c r="E106" s="64"/>
      <c r="F106" s="158"/>
      <c r="G106" s="64"/>
      <c r="H106" s="158"/>
      <c r="I106" s="159"/>
      <c r="J106" s="64"/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57"/>
      <c r="X106" s="57"/>
      <c r="Y106" s="57"/>
    </row>
    <row r="107">
      <c r="B107" s="157" t="s">
        <v>121</v>
      </c>
      <c r="C107" s="157">
        <v>9.0</v>
      </c>
      <c r="D107" s="157"/>
      <c r="E107" s="64"/>
      <c r="F107" s="158"/>
      <c r="G107" s="64"/>
      <c r="H107" s="158"/>
      <c r="I107" s="159"/>
      <c r="J107" s="64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57"/>
      <c r="X107" s="57"/>
      <c r="Y107" s="57"/>
    </row>
    <row r="108">
      <c r="B108" s="157" t="s">
        <v>122</v>
      </c>
      <c r="C108" s="157">
        <f>if(countif(F106:F107,F108)&gt;1,0,8)</f>
        <v>8</v>
      </c>
      <c r="D108" s="157"/>
      <c r="E108" s="64"/>
      <c r="F108" s="158"/>
      <c r="G108" s="64"/>
      <c r="H108" s="158"/>
      <c r="I108" s="159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57"/>
      <c r="X108" s="57"/>
      <c r="Y108" s="57"/>
    </row>
    <row r="109">
      <c r="B109" s="157" t="s">
        <v>123</v>
      </c>
      <c r="C109" s="157">
        <f>if(countif(F106:F108,F109)&gt;1,0,7)</f>
        <v>7</v>
      </c>
      <c r="D109" s="157"/>
      <c r="E109" s="64"/>
      <c r="F109" s="158"/>
      <c r="G109" s="64"/>
      <c r="H109" s="158"/>
      <c r="I109" s="159"/>
      <c r="J109" s="64"/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57"/>
      <c r="X109" s="57"/>
      <c r="Y109" s="57"/>
    </row>
    <row r="110">
      <c r="B110" s="157" t="s">
        <v>124</v>
      </c>
      <c r="C110" s="157">
        <f>if(countif(F106:F109,F110)&gt;1,0,6)</f>
        <v>6</v>
      </c>
      <c r="D110" s="157"/>
      <c r="E110" s="64"/>
      <c r="F110" s="158"/>
      <c r="G110" s="64"/>
      <c r="H110" s="158"/>
      <c r="I110" s="159"/>
      <c r="J110" s="64"/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57"/>
      <c r="X110" s="57"/>
      <c r="Y110" s="57"/>
    </row>
    <row r="111">
      <c r="B111" s="157" t="s">
        <v>125</v>
      </c>
      <c r="C111" s="157">
        <f>if(countif(F106:F110,F111)&gt;1,0,5)</f>
        <v>5</v>
      </c>
      <c r="D111" s="157"/>
      <c r="E111" s="64"/>
      <c r="F111" s="158"/>
      <c r="G111" s="64"/>
      <c r="H111" s="158"/>
      <c r="I111" s="159"/>
      <c r="J111" s="64"/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57"/>
      <c r="X111" s="57"/>
      <c r="Y111" s="57"/>
    </row>
    <row r="112">
      <c r="B112" s="157" t="s">
        <v>126</v>
      </c>
      <c r="C112" s="157">
        <f>if(countif(F106:F111,F112)&gt;1,0,4)</f>
        <v>4</v>
      </c>
      <c r="D112" s="157"/>
      <c r="E112" s="64"/>
      <c r="F112" s="158"/>
      <c r="G112" s="64"/>
      <c r="H112" s="158"/>
      <c r="I112" s="159"/>
      <c r="J112" s="64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57"/>
      <c r="X112" s="57"/>
      <c r="Y112" s="57"/>
    </row>
    <row r="113">
      <c r="B113" s="157" t="s">
        <v>127</v>
      </c>
      <c r="C113" s="157">
        <f>if(countif(F106:F112,F113)&gt;1,0,3)</f>
        <v>3</v>
      </c>
      <c r="D113" s="157"/>
      <c r="E113" s="64"/>
      <c r="F113" s="158"/>
      <c r="G113" s="64"/>
      <c r="H113" s="158"/>
      <c r="I113" s="159"/>
      <c r="J113" s="64"/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57"/>
      <c r="X113" s="57"/>
      <c r="Y113" s="57"/>
    </row>
    <row r="114">
      <c r="B114" s="157" t="s">
        <v>128</v>
      </c>
      <c r="C114" s="157">
        <f>if(countif(F106:F113,F114)&gt;1,0,2)</f>
        <v>2</v>
      </c>
      <c r="D114" s="157"/>
      <c r="E114" s="64"/>
      <c r="F114" s="158"/>
      <c r="G114" s="64"/>
      <c r="H114" s="158"/>
      <c r="I114" s="159"/>
      <c r="J114" s="64"/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57"/>
      <c r="X114" s="57"/>
      <c r="Y114" s="57"/>
    </row>
    <row r="115">
      <c r="B115" s="157" t="s">
        <v>129</v>
      </c>
      <c r="C115" s="157">
        <f>if(countif(F106:F114,F115)&gt;1,0,1)</f>
        <v>1</v>
      </c>
      <c r="D115" s="157"/>
      <c r="E115" s="64"/>
      <c r="F115" s="158"/>
      <c r="G115" s="64"/>
      <c r="H115" s="158"/>
      <c r="I115" s="159"/>
      <c r="J115" s="64"/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57"/>
      <c r="X115" s="57"/>
      <c r="Y115" s="57"/>
    </row>
    <row r="116">
      <c r="A116" s="67">
        <v>165.0</v>
      </c>
      <c r="B116" s="68" t="s">
        <v>542</v>
      </c>
      <c r="C116" s="68">
        <v>0.0</v>
      </c>
      <c r="D116" s="68"/>
      <c r="E116" s="69"/>
      <c r="F116" s="70"/>
      <c r="G116" s="69"/>
      <c r="H116" s="70"/>
      <c r="I116" s="71"/>
      <c r="J116" s="69"/>
      <c r="K116" s="69"/>
      <c r="L116" s="69"/>
      <c r="M116" s="69"/>
      <c r="N116" s="69"/>
      <c r="O116" s="69"/>
      <c r="P116" s="69"/>
      <c r="Q116" s="69"/>
      <c r="R116" s="69"/>
      <c r="S116" s="69"/>
      <c r="T116" s="69"/>
      <c r="U116" s="69"/>
      <c r="V116" s="69"/>
      <c r="W116" s="156"/>
      <c r="X116" s="156"/>
      <c r="Y116" s="156"/>
    </row>
    <row r="117">
      <c r="B117" s="68" t="s">
        <v>543</v>
      </c>
      <c r="C117" s="68">
        <v>0.0</v>
      </c>
      <c r="D117" s="68"/>
      <c r="E117" s="69"/>
      <c r="F117" s="70"/>
      <c r="G117" s="69"/>
      <c r="H117" s="70"/>
      <c r="I117" s="71"/>
      <c r="J117" s="69"/>
      <c r="K117" s="69"/>
      <c r="L117" s="69"/>
      <c r="M117" s="69"/>
      <c r="N117" s="69"/>
      <c r="O117" s="69"/>
      <c r="P117" s="69"/>
      <c r="Q117" s="69"/>
      <c r="R117" s="69"/>
      <c r="S117" s="69"/>
      <c r="T117" s="69"/>
      <c r="U117" s="69"/>
      <c r="V117" s="69"/>
      <c r="W117" s="156"/>
      <c r="X117" s="156"/>
      <c r="Y117" s="156"/>
    </row>
    <row r="118">
      <c r="B118" s="68" t="s">
        <v>544</v>
      </c>
      <c r="C118" s="68">
        <v>0.0</v>
      </c>
      <c r="D118" s="68"/>
      <c r="E118" s="69"/>
      <c r="F118" s="70"/>
      <c r="G118" s="69"/>
      <c r="H118" s="70"/>
      <c r="I118" s="71"/>
      <c r="J118" s="69"/>
      <c r="K118" s="69"/>
      <c r="L118" s="69"/>
      <c r="M118" s="69"/>
      <c r="N118" s="69"/>
      <c r="O118" s="69"/>
      <c r="P118" s="69"/>
      <c r="Q118" s="69"/>
      <c r="R118" s="69"/>
      <c r="S118" s="69"/>
      <c r="T118" s="69"/>
      <c r="U118" s="69"/>
      <c r="V118" s="69"/>
      <c r="W118" s="156"/>
      <c r="X118" s="156"/>
      <c r="Y118" s="156"/>
    </row>
    <row r="119">
      <c r="B119" s="68" t="s">
        <v>545</v>
      </c>
      <c r="C119" s="68">
        <v>0.0</v>
      </c>
      <c r="D119" s="68"/>
      <c r="E119" s="69"/>
      <c r="F119" s="70"/>
      <c r="G119" s="69"/>
      <c r="H119" s="70"/>
      <c r="I119" s="71"/>
      <c r="J119" s="69"/>
      <c r="K119" s="69"/>
      <c r="L119" s="69"/>
      <c r="M119" s="69"/>
      <c r="N119" s="69"/>
      <c r="O119" s="69"/>
      <c r="P119" s="69"/>
      <c r="Q119" s="69"/>
      <c r="R119" s="69"/>
      <c r="S119" s="69"/>
      <c r="T119" s="69"/>
      <c r="U119" s="69"/>
      <c r="V119" s="69"/>
      <c r="W119" s="156"/>
      <c r="X119" s="156"/>
      <c r="Y119" s="156"/>
    </row>
    <row r="120">
      <c r="B120" s="68" t="s">
        <v>546</v>
      </c>
      <c r="C120" s="68">
        <v>0.0</v>
      </c>
      <c r="D120" s="68"/>
      <c r="E120" s="69"/>
      <c r="F120" s="70"/>
      <c r="G120" s="69"/>
      <c r="H120" s="70"/>
      <c r="I120" s="71"/>
      <c r="J120" s="69"/>
      <c r="K120" s="69"/>
      <c r="L120" s="69"/>
      <c r="M120" s="69"/>
      <c r="N120" s="69"/>
      <c r="O120" s="69"/>
      <c r="P120" s="69"/>
      <c r="Q120" s="69"/>
      <c r="R120" s="69"/>
      <c r="S120" s="69"/>
      <c r="T120" s="69"/>
      <c r="U120" s="69"/>
      <c r="V120" s="69"/>
      <c r="W120" s="156"/>
      <c r="X120" s="156"/>
      <c r="Y120" s="156"/>
    </row>
    <row r="121">
      <c r="B121" s="68" t="s">
        <v>547</v>
      </c>
      <c r="C121" s="68">
        <v>0.0</v>
      </c>
      <c r="D121" s="68"/>
      <c r="E121" s="69"/>
      <c r="F121" s="70"/>
      <c r="G121" s="69"/>
      <c r="H121" s="70"/>
      <c r="I121" s="71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156"/>
      <c r="X121" s="156"/>
      <c r="Y121" s="156"/>
    </row>
    <row r="122">
      <c r="B122" s="68" t="s">
        <v>548</v>
      </c>
      <c r="C122" s="68">
        <v>0.0</v>
      </c>
      <c r="D122" s="68"/>
      <c r="E122" s="69"/>
      <c r="F122" s="70"/>
      <c r="G122" s="69"/>
      <c r="H122" s="70"/>
      <c r="I122" s="71"/>
      <c r="J122" s="69"/>
      <c r="K122" s="69"/>
      <c r="L122" s="69"/>
      <c r="M122" s="69"/>
      <c r="N122" s="69"/>
      <c r="O122" s="69"/>
      <c r="P122" s="69"/>
      <c r="Q122" s="69"/>
      <c r="R122" s="69"/>
      <c r="S122" s="69"/>
      <c r="T122" s="69"/>
      <c r="U122" s="69"/>
      <c r="V122" s="69"/>
      <c r="W122" s="156"/>
      <c r="X122" s="156"/>
      <c r="Y122" s="156"/>
    </row>
    <row r="123">
      <c r="B123" s="68" t="s">
        <v>549</v>
      </c>
      <c r="C123" s="68">
        <v>0.0</v>
      </c>
      <c r="D123" s="68"/>
      <c r="E123" s="69"/>
      <c r="F123" s="70"/>
      <c r="G123" s="69"/>
      <c r="H123" s="70"/>
      <c r="I123" s="71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156"/>
      <c r="X123" s="156"/>
      <c r="Y123" s="156"/>
    </row>
    <row r="124">
      <c r="B124" s="68" t="s">
        <v>550</v>
      </c>
      <c r="C124" s="68">
        <v>0.0</v>
      </c>
      <c r="D124" s="68"/>
      <c r="E124" s="69"/>
      <c r="F124" s="70"/>
      <c r="G124" s="69"/>
      <c r="H124" s="70"/>
      <c r="I124" s="71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156"/>
      <c r="X124" s="156"/>
      <c r="Y124" s="156"/>
    </row>
    <row r="125">
      <c r="B125" s="68" t="s">
        <v>551</v>
      </c>
      <c r="C125" s="68">
        <v>0.0</v>
      </c>
      <c r="D125" s="68"/>
      <c r="E125" s="69"/>
      <c r="F125" s="70"/>
      <c r="G125" s="69"/>
      <c r="H125" s="70"/>
      <c r="I125" s="71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156"/>
      <c r="X125" s="156"/>
      <c r="Y125" s="156"/>
    </row>
    <row r="126">
      <c r="A126" s="58">
        <v>181.0</v>
      </c>
      <c r="B126" s="157" t="s">
        <v>120</v>
      </c>
      <c r="C126" s="157">
        <v>12.0</v>
      </c>
      <c r="D126" s="157" t="str">
        <f>IFERROR(__xludf.DUMMYFUNCTION("ARRAY_CONSTRAIN(filter('All Platforms'!A3:T1802,'All Platforms'!A3:A1802=""181 JV""),20,20)"),"#N/A")</f>
        <v>#N/A</v>
      </c>
      <c r="E126" s="57"/>
      <c r="F126" s="158"/>
      <c r="G126" s="64"/>
      <c r="H126" s="158"/>
      <c r="I126" s="159"/>
      <c r="J126" s="64"/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57"/>
      <c r="X126" s="57"/>
      <c r="Y126" s="57"/>
    </row>
    <row r="127">
      <c r="B127" s="157" t="s">
        <v>121</v>
      </c>
      <c r="C127" s="157">
        <v>9.0</v>
      </c>
      <c r="D127" s="157"/>
      <c r="E127" s="64"/>
      <c r="F127" s="158"/>
      <c r="G127" s="64"/>
      <c r="H127" s="158"/>
      <c r="I127" s="159"/>
      <c r="J127" s="64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57"/>
      <c r="X127" s="57"/>
      <c r="Y127" s="57"/>
    </row>
    <row r="128">
      <c r="B128" s="157" t="s">
        <v>122</v>
      </c>
      <c r="C128" s="157">
        <f>if(countif(F126:F127,F128)&gt;1,0,8)</f>
        <v>8</v>
      </c>
      <c r="D128" s="157"/>
      <c r="E128" s="64"/>
      <c r="F128" s="158"/>
      <c r="G128" s="64"/>
      <c r="H128" s="158"/>
      <c r="I128" s="159"/>
      <c r="J128" s="64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57"/>
      <c r="X128" s="57"/>
      <c r="Y128" s="57"/>
    </row>
    <row r="129">
      <c r="B129" s="157" t="s">
        <v>123</v>
      </c>
      <c r="C129" s="157">
        <f>if(countif(F126:F128,F129)&gt;1,0,7)</f>
        <v>7</v>
      </c>
      <c r="D129" s="157"/>
      <c r="E129" s="64"/>
      <c r="F129" s="158"/>
      <c r="G129" s="64"/>
      <c r="H129" s="158"/>
      <c r="I129" s="159"/>
      <c r="J129" s="64"/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57"/>
      <c r="X129" s="57"/>
      <c r="Y129" s="57"/>
    </row>
    <row r="130">
      <c r="B130" s="157" t="s">
        <v>124</v>
      </c>
      <c r="C130" s="157">
        <f>if(countif(F126:F129,F130)&gt;1,0,6)</f>
        <v>6</v>
      </c>
      <c r="D130" s="157"/>
      <c r="E130" s="64"/>
      <c r="F130" s="158"/>
      <c r="G130" s="64"/>
      <c r="H130" s="158"/>
      <c r="I130" s="159"/>
      <c r="J130" s="64"/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57"/>
      <c r="X130" s="57"/>
      <c r="Y130" s="57"/>
    </row>
    <row r="131">
      <c r="B131" s="157" t="s">
        <v>125</v>
      </c>
      <c r="C131" s="157">
        <f>if(countif(F126:F130,F131)&gt;1,0,5)</f>
        <v>5</v>
      </c>
      <c r="D131" s="157"/>
      <c r="E131" s="64"/>
      <c r="F131" s="158"/>
      <c r="G131" s="64"/>
      <c r="H131" s="158"/>
      <c r="I131" s="159"/>
      <c r="J131" s="64"/>
      <c r="K131" s="64"/>
      <c r="L131" s="64"/>
      <c r="M131" s="64"/>
      <c r="N131" s="64"/>
      <c r="O131" s="64"/>
      <c r="P131" s="64"/>
      <c r="Q131" s="64"/>
      <c r="R131" s="64"/>
      <c r="S131" s="64"/>
      <c r="T131" s="64"/>
      <c r="U131" s="64"/>
      <c r="V131" s="64"/>
      <c r="W131" s="57"/>
      <c r="X131" s="57"/>
      <c r="Y131" s="57"/>
    </row>
    <row r="132">
      <c r="B132" s="157" t="s">
        <v>126</v>
      </c>
      <c r="C132" s="157">
        <f>if(countif(F126:F131,F132)&gt;1,0,4)</f>
        <v>4</v>
      </c>
      <c r="D132" s="157"/>
      <c r="E132" s="64"/>
      <c r="F132" s="158"/>
      <c r="G132" s="64"/>
      <c r="H132" s="158"/>
      <c r="I132" s="159"/>
      <c r="J132" s="64"/>
      <c r="K132" s="64"/>
      <c r="L132" s="64"/>
      <c r="M132" s="64"/>
      <c r="N132" s="64"/>
      <c r="O132" s="64"/>
      <c r="P132" s="64"/>
      <c r="Q132" s="64"/>
      <c r="R132" s="64"/>
      <c r="S132" s="64"/>
      <c r="T132" s="64"/>
      <c r="U132" s="64"/>
      <c r="V132" s="64"/>
      <c r="W132" s="57"/>
      <c r="X132" s="57"/>
      <c r="Y132" s="57"/>
    </row>
    <row r="133">
      <c r="B133" s="157" t="s">
        <v>127</v>
      </c>
      <c r="C133" s="157">
        <f>if(countif(F126:F132,F133)&gt;1,0,3)</f>
        <v>3</v>
      </c>
      <c r="D133" s="157"/>
      <c r="E133" s="64"/>
      <c r="F133" s="158"/>
      <c r="G133" s="64"/>
      <c r="H133" s="158"/>
      <c r="I133" s="159"/>
      <c r="J133" s="64"/>
      <c r="K133" s="64"/>
      <c r="L133" s="64"/>
      <c r="M133" s="64"/>
      <c r="N133" s="64"/>
      <c r="O133" s="64"/>
      <c r="P133" s="64"/>
      <c r="Q133" s="64"/>
      <c r="R133" s="64"/>
      <c r="S133" s="64"/>
      <c r="T133" s="64"/>
      <c r="U133" s="64"/>
      <c r="V133" s="64"/>
      <c r="W133" s="57"/>
      <c r="X133" s="57"/>
      <c r="Y133" s="57"/>
    </row>
    <row r="134">
      <c r="B134" s="157" t="s">
        <v>128</v>
      </c>
      <c r="C134" s="157">
        <f>if(countif(F126:F133,F134)&gt;1,0,2)</f>
        <v>2</v>
      </c>
      <c r="D134" s="157"/>
      <c r="E134" s="64"/>
      <c r="F134" s="158"/>
      <c r="G134" s="64"/>
      <c r="H134" s="158"/>
      <c r="I134" s="159"/>
      <c r="J134" s="64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57"/>
      <c r="X134" s="57"/>
      <c r="Y134" s="57"/>
    </row>
    <row r="135">
      <c r="B135" s="157" t="s">
        <v>129</v>
      </c>
      <c r="C135" s="157">
        <f>if(countif(F126:F134,F135)&gt;1,0,1)</f>
        <v>1</v>
      </c>
      <c r="D135" s="157"/>
      <c r="E135" s="64"/>
      <c r="F135" s="158"/>
      <c r="G135" s="64"/>
      <c r="H135" s="158"/>
      <c r="I135" s="159"/>
      <c r="J135" s="64"/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57"/>
      <c r="X135" s="57"/>
      <c r="Y135" s="57"/>
    </row>
    <row r="136">
      <c r="A136" s="67">
        <v>181.0</v>
      </c>
      <c r="B136" s="68" t="s">
        <v>542</v>
      </c>
      <c r="C136" s="68">
        <v>0.0</v>
      </c>
      <c r="D136" s="68"/>
      <c r="E136" s="69"/>
      <c r="F136" s="70"/>
      <c r="G136" s="69"/>
      <c r="H136" s="70"/>
      <c r="I136" s="71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156"/>
      <c r="X136" s="156"/>
      <c r="Y136" s="156"/>
    </row>
    <row r="137">
      <c r="B137" s="68" t="s">
        <v>543</v>
      </c>
      <c r="C137" s="68">
        <v>0.0</v>
      </c>
      <c r="D137" s="68"/>
      <c r="E137" s="69"/>
      <c r="F137" s="70"/>
      <c r="G137" s="69"/>
      <c r="H137" s="70"/>
      <c r="I137" s="71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156"/>
      <c r="X137" s="156"/>
      <c r="Y137" s="156"/>
    </row>
    <row r="138">
      <c r="B138" s="68" t="s">
        <v>544</v>
      </c>
      <c r="C138" s="68">
        <v>0.0</v>
      </c>
      <c r="D138" s="68"/>
      <c r="E138" s="69"/>
      <c r="F138" s="70"/>
      <c r="G138" s="69"/>
      <c r="H138" s="70"/>
      <c r="I138" s="71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156"/>
      <c r="X138" s="156"/>
      <c r="Y138" s="156"/>
    </row>
    <row r="139">
      <c r="B139" s="68" t="s">
        <v>545</v>
      </c>
      <c r="C139" s="68">
        <v>0.0</v>
      </c>
      <c r="D139" s="68"/>
      <c r="E139" s="69"/>
      <c r="F139" s="70"/>
      <c r="G139" s="69"/>
      <c r="H139" s="70"/>
      <c r="I139" s="71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156"/>
      <c r="X139" s="156"/>
      <c r="Y139" s="156"/>
    </row>
    <row r="140">
      <c r="B140" s="68" t="s">
        <v>546</v>
      </c>
      <c r="C140" s="68">
        <v>0.0</v>
      </c>
      <c r="D140" s="68"/>
      <c r="E140" s="69"/>
      <c r="F140" s="70"/>
      <c r="G140" s="69"/>
      <c r="H140" s="70"/>
      <c r="I140" s="71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156"/>
      <c r="X140" s="156"/>
      <c r="Y140" s="156"/>
    </row>
    <row r="141">
      <c r="B141" s="68" t="s">
        <v>547</v>
      </c>
      <c r="C141" s="68">
        <v>0.0</v>
      </c>
      <c r="D141" s="68"/>
      <c r="E141" s="69"/>
      <c r="F141" s="70"/>
      <c r="G141" s="69"/>
      <c r="H141" s="70"/>
      <c r="I141" s="71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156"/>
      <c r="X141" s="156"/>
      <c r="Y141" s="156"/>
    </row>
    <row r="142">
      <c r="B142" s="68" t="s">
        <v>548</v>
      </c>
      <c r="C142" s="68">
        <v>0.0</v>
      </c>
      <c r="D142" s="68"/>
      <c r="E142" s="69"/>
      <c r="F142" s="70"/>
      <c r="G142" s="69"/>
      <c r="H142" s="70"/>
      <c r="I142" s="71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156"/>
      <c r="X142" s="156"/>
      <c r="Y142" s="156"/>
    </row>
    <row r="143">
      <c r="B143" s="68" t="s">
        <v>549</v>
      </c>
      <c r="C143" s="68">
        <v>0.0</v>
      </c>
      <c r="D143" s="68"/>
      <c r="E143" s="69"/>
      <c r="F143" s="70"/>
      <c r="G143" s="69"/>
      <c r="H143" s="70"/>
      <c r="I143" s="71"/>
      <c r="J143" s="69"/>
      <c r="K143" s="69"/>
      <c r="L143" s="69"/>
      <c r="M143" s="69"/>
      <c r="N143" s="69"/>
      <c r="O143" s="69"/>
      <c r="P143" s="69"/>
      <c r="Q143" s="69"/>
      <c r="R143" s="69"/>
      <c r="S143" s="69"/>
      <c r="T143" s="69"/>
      <c r="U143" s="69"/>
      <c r="V143" s="69"/>
      <c r="W143" s="156"/>
      <c r="X143" s="156"/>
      <c r="Y143" s="156"/>
    </row>
    <row r="144">
      <c r="B144" s="68" t="s">
        <v>550</v>
      </c>
      <c r="C144" s="68">
        <v>0.0</v>
      </c>
      <c r="D144" s="68"/>
      <c r="E144" s="69"/>
      <c r="F144" s="70"/>
      <c r="G144" s="69"/>
      <c r="H144" s="70"/>
      <c r="I144" s="71"/>
      <c r="J144" s="69"/>
      <c r="K144" s="69"/>
      <c r="L144" s="69"/>
      <c r="M144" s="69"/>
      <c r="N144" s="69"/>
      <c r="O144" s="69"/>
      <c r="P144" s="69"/>
      <c r="Q144" s="69"/>
      <c r="R144" s="69"/>
      <c r="S144" s="69"/>
      <c r="T144" s="69"/>
      <c r="U144" s="69"/>
      <c r="V144" s="69"/>
      <c r="W144" s="156"/>
      <c r="X144" s="156"/>
      <c r="Y144" s="156"/>
    </row>
    <row r="145">
      <c r="B145" s="68" t="s">
        <v>551</v>
      </c>
      <c r="C145" s="68">
        <v>0.0</v>
      </c>
      <c r="D145" s="68"/>
      <c r="E145" s="69"/>
      <c r="F145" s="70"/>
      <c r="G145" s="69"/>
      <c r="H145" s="70"/>
      <c r="I145" s="71"/>
      <c r="J145" s="69"/>
      <c r="K145" s="69"/>
      <c r="L145" s="69"/>
      <c r="M145" s="69"/>
      <c r="N145" s="69"/>
      <c r="O145" s="69"/>
      <c r="P145" s="69"/>
      <c r="Q145" s="69"/>
      <c r="R145" s="69"/>
      <c r="S145" s="69"/>
      <c r="T145" s="69"/>
      <c r="U145" s="69"/>
      <c r="V145" s="69"/>
      <c r="W145" s="156"/>
      <c r="X145" s="156"/>
      <c r="Y145" s="156"/>
    </row>
    <row r="146">
      <c r="A146" s="58">
        <v>194.0</v>
      </c>
      <c r="B146" s="157" t="s">
        <v>120</v>
      </c>
      <c r="C146" s="157">
        <v>12.0</v>
      </c>
      <c r="D146" s="157" t="str">
        <f>IFERROR(__xludf.DUMMYFUNCTION("ARRAY_CONSTRAIN(filter('All Platforms'!A3:T1802,'All Platforms'!A3:A1802=""194 JV""),20,20)"),"#N/A")</f>
        <v>#N/A</v>
      </c>
      <c r="E146" s="64"/>
      <c r="F146" s="158"/>
      <c r="G146" s="64"/>
      <c r="H146" s="158"/>
      <c r="I146" s="159"/>
      <c r="J146" s="64"/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57"/>
      <c r="X146" s="57"/>
      <c r="Y146" s="57"/>
    </row>
    <row r="147">
      <c r="B147" s="157" t="s">
        <v>121</v>
      </c>
      <c r="C147" s="157">
        <v>9.0</v>
      </c>
      <c r="D147" s="157"/>
      <c r="E147" s="64"/>
      <c r="F147" s="158"/>
      <c r="G147" s="64"/>
      <c r="H147" s="158"/>
      <c r="I147" s="159"/>
      <c r="J147" s="64"/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57"/>
      <c r="X147" s="57"/>
      <c r="Y147" s="57"/>
    </row>
    <row r="148">
      <c r="B148" s="157" t="s">
        <v>122</v>
      </c>
      <c r="C148" s="157">
        <f>if(countif(F146:F147,F148)&gt;1,0,8)</f>
        <v>8</v>
      </c>
      <c r="D148" s="157"/>
      <c r="E148" s="64"/>
      <c r="F148" s="158"/>
      <c r="G148" s="64"/>
      <c r="H148" s="158"/>
      <c r="I148" s="159"/>
      <c r="J148" s="64"/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57"/>
      <c r="X148" s="57"/>
      <c r="Y148" s="57"/>
    </row>
    <row r="149">
      <c r="B149" s="157" t="s">
        <v>123</v>
      </c>
      <c r="C149" s="157">
        <f>if(countif(F146:F148,F149)&gt;1,0,7)</f>
        <v>7</v>
      </c>
      <c r="D149" s="157"/>
      <c r="E149" s="64"/>
      <c r="F149" s="158"/>
      <c r="G149" s="64"/>
      <c r="H149" s="158"/>
      <c r="I149" s="159"/>
      <c r="J149" s="64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57"/>
      <c r="X149" s="57"/>
      <c r="Y149" s="57"/>
    </row>
    <row r="150">
      <c r="B150" s="157" t="s">
        <v>124</v>
      </c>
      <c r="C150" s="157">
        <f>if(countif(F146:F149,F150)&gt;1,0,6)</f>
        <v>6</v>
      </c>
      <c r="D150" s="157"/>
      <c r="E150" s="64"/>
      <c r="F150" s="158"/>
      <c r="G150" s="64"/>
      <c r="H150" s="158"/>
      <c r="I150" s="159"/>
      <c r="J150" s="64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57"/>
      <c r="X150" s="57"/>
      <c r="Y150" s="57"/>
    </row>
    <row r="151">
      <c r="B151" s="157" t="s">
        <v>125</v>
      </c>
      <c r="C151" s="157">
        <f>if(countif(F146:F150,F151)&gt;1,0,5)</f>
        <v>5</v>
      </c>
      <c r="D151" s="157"/>
      <c r="E151" s="64"/>
      <c r="F151" s="158"/>
      <c r="G151" s="64"/>
      <c r="H151" s="158"/>
      <c r="I151" s="159"/>
      <c r="J151" s="64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57"/>
      <c r="X151" s="57"/>
      <c r="Y151" s="57"/>
    </row>
    <row r="152">
      <c r="B152" s="157" t="s">
        <v>126</v>
      </c>
      <c r="C152" s="157">
        <f>if(countif(F146:F151,F152)&gt;1,0,4)</f>
        <v>4</v>
      </c>
      <c r="D152" s="157"/>
      <c r="E152" s="64"/>
      <c r="F152" s="158"/>
      <c r="G152" s="64"/>
      <c r="H152" s="158"/>
      <c r="I152" s="159"/>
      <c r="J152" s="64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57"/>
      <c r="X152" s="57"/>
      <c r="Y152" s="57"/>
    </row>
    <row r="153">
      <c r="B153" s="157" t="s">
        <v>127</v>
      </c>
      <c r="C153" s="157">
        <f>if(countif(F146:F152,F153)&gt;1,0,3)</f>
        <v>3</v>
      </c>
      <c r="D153" s="157"/>
      <c r="E153" s="64"/>
      <c r="F153" s="158"/>
      <c r="G153" s="64"/>
      <c r="H153" s="158"/>
      <c r="I153" s="159"/>
      <c r="J153" s="64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57"/>
      <c r="X153" s="57"/>
      <c r="Y153" s="57"/>
    </row>
    <row r="154">
      <c r="B154" s="157" t="s">
        <v>128</v>
      </c>
      <c r="C154" s="157">
        <f>if(countif(F146:F153,F154)&gt;1,0,2)</f>
        <v>2</v>
      </c>
      <c r="D154" s="157"/>
      <c r="E154" s="64"/>
      <c r="F154" s="158"/>
      <c r="G154" s="64"/>
      <c r="H154" s="158"/>
      <c r="I154" s="159"/>
      <c r="J154" s="64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57"/>
      <c r="X154" s="57"/>
      <c r="Y154" s="57"/>
    </row>
    <row r="155">
      <c r="B155" s="157" t="s">
        <v>129</v>
      </c>
      <c r="C155" s="157">
        <f>if(countif(F146:F154,F155)&gt;1,0,1)</f>
        <v>1</v>
      </c>
      <c r="D155" s="157"/>
      <c r="E155" s="64"/>
      <c r="F155" s="158"/>
      <c r="G155" s="64"/>
      <c r="H155" s="158"/>
      <c r="I155" s="159"/>
      <c r="J155" s="64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57"/>
      <c r="X155" s="57"/>
      <c r="Y155" s="57"/>
    </row>
    <row r="156">
      <c r="A156" s="67">
        <v>194.0</v>
      </c>
      <c r="B156" s="68" t="s">
        <v>542</v>
      </c>
      <c r="C156" s="68">
        <v>0.0</v>
      </c>
      <c r="D156" s="68"/>
      <c r="E156" s="69"/>
      <c r="F156" s="70"/>
      <c r="G156" s="69"/>
      <c r="H156" s="70"/>
      <c r="I156" s="71"/>
      <c r="J156" s="69"/>
      <c r="K156" s="69"/>
      <c r="L156" s="69"/>
      <c r="M156" s="69"/>
      <c r="N156" s="69"/>
      <c r="O156" s="69"/>
      <c r="P156" s="69"/>
      <c r="Q156" s="69"/>
      <c r="R156" s="69"/>
      <c r="S156" s="69"/>
      <c r="T156" s="69"/>
      <c r="U156" s="69"/>
      <c r="V156" s="69"/>
      <c r="W156" s="156"/>
      <c r="X156" s="156"/>
      <c r="Y156" s="156"/>
    </row>
    <row r="157">
      <c r="B157" s="68" t="s">
        <v>543</v>
      </c>
      <c r="C157" s="68">
        <v>0.0</v>
      </c>
      <c r="D157" s="68"/>
      <c r="E157" s="69"/>
      <c r="F157" s="70"/>
      <c r="G157" s="69"/>
      <c r="H157" s="70"/>
      <c r="I157" s="71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156"/>
      <c r="X157" s="156"/>
      <c r="Y157" s="156"/>
    </row>
    <row r="158">
      <c r="B158" s="68" t="s">
        <v>544</v>
      </c>
      <c r="C158" s="68">
        <v>0.0</v>
      </c>
      <c r="D158" s="68"/>
      <c r="E158" s="69"/>
      <c r="F158" s="70"/>
      <c r="G158" s="69"/>
      <c r="H158" s="70"/>
      <c r="I158" s="71"/>
      <c r="J158" s="69"/>
      <c r="K158" s="69"/>
      <c r="L158" s="69"/>
      <c r="M158" s="69"/>
      <c r="N158" s="69"/>
      <c r="O158" s="69"/>
      <c r="P158" s="69"/>
      <c r="Q158" s="69"/>
      <c r="R158" s="69"/>
      <c r="S158" s="69"/>
      <c r="T158" s="69"/>
      <c r="U158" s="69"/>
      <c r="V158" s="69"/>
      <c r="W158" s="156"/>
      <c r="X158" s="156"/>
      <c r="Y158" s="156"/>
    </row>
    <row r="159">
      <c r="B159" s="68" t="s">
        <v>545</v>
      </c>
      <c r="C159" s="68">
        <v>0.0</v>
      </c>
      <c r="D159" s="68"/>
      <c r="E159" s="69"/>
      <c r="F159" s="70"/>
      <c r="G159" s="69"/>
      <c r="H159" s="70"/>
      <c r="I159" s="71"/>
      <c r="J159" s="69"/>
      <c r="K159" s="69"/>
      <c r="L159" s="69"/>
      <c r="M159" s="69"/>
      <c r="N159" s="69"/>
      <c r="O159" s="69"/>
      <c r="P159" s="69"/>
      <c r="Q159" s="69"/>
      <c r="R159" s="69"/>
      <c r="S159" s="69"/>
      <c r="T159" s="69"/>
      <c r="U159" s="69"/>
      <c r="V159" s="69"/>
      <c r="W159" s="156"/>
      <c r="X159" s="156"/>
      <c r="Y159" s="156"/>
    </row>
    <row r="160">
      <c r="B160" s="68" t="s">
        <v>546</v>
      </c>
      <c r="C160" s="68">
        <v>0.0</v>
      </c>
      <c r="D160" s="68"/>
      <c r="E160" s="69"/>
      <c r="F160" s="70"/>
      <c r="G160" s="69"/>
      <c r="H160" s="70"/>
      <c r="I160" s="71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156"/>
      <c r="X160" s="156"/>
      <c r="Y160" s="156"/>
    </row>
    <row r="161">
      <c r="B161" s="68" t="s">
        <v>547</v>
      </c>
      <c r="C161" s="68">
        <v>0.0</v>
      </c>
      <c r="D161" s="68"/>
      <c r="E161" s="69"/>
      <c r="F161" s="70"/>
      <c r="G161" s="69"/>
      <c r="H161" s="70"/>
      <c r="I161" s="71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156"/>
      <c r="X161" s="156"/>
      <c r="Y161" s="156"/>
    </row>
    <row r="162">
      <c r="B162" s="68" t="s">
        <v>548</v>
      </c>
      <c r="C162" s="68">
        <v>0.0</v>
      </c>
      <c r="D162" s="68"/>
      <c r="E162" s="69"/>
      <c r="F162" s="70"/>
      <c r="G162" s="69"/>
      <c r="H162" s="70"/>
      <c r="I162" s="71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156"/>
      <c r="X162" s="156"/>
      <c r="Y162" s="156"/>
    </row>
    <row r="163">
      <c r="B163" s="68" t="s">
        <v>549</v>
      </c>
      <c r="C163" s="68">
        <v>0.0</v>
      </c>
      <c r="D163" s="68"/>
      <c r="E163" s="69"/>
      <c r="F163" s="70"/>
      <c r="G163" s="69"/>
      <c r="H163" s="70"/>
      <c r="I163" s="71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156"/>
      <c r="X163" s="156"/>
      <c r="Y163" s="156"/>
    </row>
    <row r="164">
      <c r="B164" s="68" t="s">
        <v>550</v>
      </c>
      <c r="C164" s="68">
        <v>0.0</v>
      </c>
      <c r="D164" s="68"/>
      <c r="E164" s="69"/>
      <c r="F164" s="70"/>
      <c r="G164" s="69"/>
      <c r="H164" s="70"/>
      <c r="I164" s="71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156"/>
      <c r="X164" s="156"/>
      <c r="Y164" s="156"/>
    </row>
    <row r="165">
      <c r="B165" s="68" t="s">
        <v>551</v>
      </c>
      <c r="C165" s="68">
        <v>0.0</v>
      </c>
      <c r="D165" s="68"/>
      <c r="E165" s="69"/>
      <c r="F165" s="70"/>
      <c r="G165" s="69"/>
      <c r="H165" s="70"/>
      <c r="I165" s="71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156"/>
      <c r="X165" s="156"/>
      <c r="Y165" s="156"/>
    </row>
    <row r="166">
      <c r="A166" s="58">
        <v>207.0</v>
      </c>
      <c r="B166" s="157" t="s">
        <v>120</v>
      </c>
      <c r="C166" s="157">
        <v>12.0</v>
      </c>
      <c r="D166" s="157" t="str">
        <f>IFERROR(__xludf.DUMMYFUNCTION("ARRAY_CONSTRAIN(filter('All Platforms'!A3:T1802,'All Platforms'!A3:A1802=""207 JV""),20,20)"),"#N/A")</f>
        <v>#N/A</v>
      </c>
      <c r="E166" s="64"/>
      <c r="F166" s="158"/>
      <c r="G166" s="64"/>
      <c r="H166" s="158"/>
      <c r="I166" s="159"/>
      <c r="J166" s="64"/>
      <c r="K166" s="64"/>
      <c r="L166" s="64"/>
      <c r="M166" s="64"/>
      <c r="N166" s="64"/>
      <c r="O166" s="64"/>
      <c r="P166" s="64"/>
      <c r="Q166" s="64"/>
      <c r="R166" s="64"/>
      <c r="S166" s="64"/>
      <c r="T166" s="64"/>
      <c r="U166" s="64"/>
      <c r="V166" s="64"/>
      <c r="W166" s="57"/>
      <c r="X166" s="57"/>
      <c r="Y166" s="57"/>
    </row>
    <row r="167">
      <c r="B167" s="157" t="s">
        <v>121</v>
      </c>
      <c r="C167" s="157">
        <v>9.0</v>
      </c>
      <c r="D167" s="157"/>
      <c r="E167" s="64"/>
      <c r="F167" s="158"/>
      <c r="G167" s="64"/>
      <c r="H167" s="158"/>
      <c r="I167" s="159"/>
      <c r="J167" s="64"/>
      <c r="K167" s="64"/>
      <c r="L167" s="64"/>
      <c r="M167" s="64"/>
      <c r="N167" s="64"/>
      <c r="O167" s="64"/>
      <c r="P167" s="64"/>
      <c r="Q167" s="64"/>
      <c r="R167" s="64"/>
      <c r="S167" s="64"/>
      <c r="T167" s="64"/>
      <c r="U167" s="64"/>
      <c r="V167" s="64"/>
      <c r="W167" s="57"/>
      <c r="X167" s="57"/>
      <c r="Y167" s="57"/>
    </row>
    <row r="168">
      <c r="B168" s="157" t="s">
        <v>122</v>
      </c>
      <c r="C168" s="157">
        <f>if(countif(F166:F167,F168)&gt;1,0,8)</f>
        <v>8</v>
      </c>
      <c r="D168" s="157"/>
      <c r="E168" s="64"/>
      <c r="F168" s="158"/>
      <c r="G168" s="64"/>
      <c r="H168" s="158"/>
      <c r="I168" s="159"/>
      <c r="J168" s="64"/>
      <c r="K168" s="64"/>
      <c r="L168" s="64"/>
      <c r="M168" s="64"/>
      <c r="N168" s="64"/>
      <c r="O168" s="64"/>
      <c r="P168" s="64"/>
      <c r="Q168" s="64"/>
      <c r="R168" s="64"/>
      <c r="S168" s="64"/>
      <c r="T168" s="64"/>
      <c r="U168" s="64"/>
      <c r="V168" s="64"/>
      <c r="W168" s="57"/>
      <c r="X168" s="57"/>
      <c r="Y168" s="57"/>
    </row>
    <row r="169">
      <c r="B169" s="157" t="s">
        <v>123</v>
      </c>
      <c r="C169" s="157">
        <f>if(countif(F166:F168,F169)&gt;1,0,7)</f>
        <v>7</v>
      </c>
      <c r="D169" s="157"/>
      <c r="E169" s="64"/>
      <c r="F169" s="158"/>
      <c r="G169" s="64"/>
      <c r="H169" s="158"/>
      <c r="I169" s="159"/>
      <c r="J169" s="64"/>
      <c r="K169" s="64"/>
      <c r="L169" s="64"/>
      <c r="M169" s="64"/>
      <c r="N169" s="64"/>
      <c r="O169" s="64"/>
      <c r="P169" s="64"/>
      <c r="Q169" s="64"/>
      <c r="R169" s="64"/>
      <c r="S169" s="64"/>
      <c r="T169" s="64"/>
      <c r="U169" s="64"/>
      <c r="V169" s="64"/>
      <c r="W169" s="57"/>
      <c r="X169" s="57"/>
      <c r="Y169" s="57"/>
    </row>
    <row r="170">
      <c r="B170" s="157" t="s">
        <v>124</v>
      </c>
      <c r="C170" s="157">
        <f>if(countif(F166:F169,F170)&gt;1,0,6)</f>
        <v>6</v>
      </c>
      <c r="D170" s="157"/>
      <c r="E170" s="64"/>
      <c r="F170" s="158"/>
      <c r="G170" s="64"/>
      <c r="H170" s="158"/>
      <c r="I170" s="159"/>
      <c r="J170" s="64"/>
      <c r="K170" s="64"/>
      <c r="L170" s="64"/>
      <c r="M170" s="64"/>
      <c r="N170" s="64"/>
      <c r="O170" s="64"/>
      <c r="P170" s="64"/>
      <c r="Q170" s="64"/>
      <c r="R170" s="64"/>
      <c r="S170" s="64"/>
      <c r="T170" s="64"/>
      <c r="U170" s="64"/>
      <c r="V170" s="64"/>
      <c r="W170" s="57"/>
      <c r="X170" s="57"/>
      <c r="Y170" s="57"/>
    </row>
    <row r="171">
      <c r="B171" s="157" t="s">
        <v>125</v>
      </c>
      <c r="C171" s="157">
        <f>if(countif(F166:F170,F171)&gt;1,0,5)</f>
        <v>5</v>
      </c>
      <c r="D171" s="157"/>
      <c r="E171" s="64"/>
      <c r="F171" s="158"/>
      <c r="G171" s="64"/>
      <c r="H171" s="158"/>
      <c r="I171" s="159"/>
      <c r="J171" s="64"/>
      <c r="K171" s="64"/>
      <c r="L171" s="64"/>
      <c r="M171" s="64"/>
      <c r="N171" s="64"/>
      <c r="O171" s="64"/>
      <c r="P171" s="64"/>
      <c r="Q171" s="64"/>
      <c r="R171" s="64"/>
      <c r="S171" s="64"/>
      <c r="T171" s="64"/>
      <c r="U171" s="64"/>
      <c r="V171" s="64"/>
      <c r="W171" s="57"/>
      <c r="X171" s="57"/>
      <c r="Y171" s="57"/>
    </row>
    <row r="172">
      <c r="B172" s="157" t="s">
        <v>126</v>
      </c>
      <c r="C172" s="157">
        <f>if(countif(F166:F171,F172)&gt;1,0,4)</f>
        <v>4</v>
      </c>
      <c r="D172" s="157"/>
      <c r="E172" s="64"/>
      <c r="F172" s="158"/>
      <c r="G172" s="64"/>
      <c r="H172" s="158"/>
      <c r="I172" s="159"/>
      <c r="J172" s="64"/>
      <c r="K172" s="64"/>
      <c r="L172" s="64"/>
      <c r="M172" s="64"/>
      <c r="N172" s="64"/>
      <c r="O172" s="64"/>
      <c r="P172" s="64"/>
      <c r="Q172" s="64"/>
      <c r="R172" s="64"/>
      <c r="S172" s="64"/>
      <c r="T172" s="64"/>
      <c r="U172" s="64"/>
      <c r="V172" s="64"/>
      <c r="W172" s="57"/>
      <c r="X172" s="57"/>
      <c r="Y172" s="57"/>
    </row>
    <row r="173">
      <c r="B173" s="157" t="s">
        <v>127</v>
      </c>
      <c r="C173" s="157">
        <f>if(countif(F166:F172,F173)&gt;1,0,3)</f>
        <v>3</v>
      </c>
      <c r="D173" s="157"/>
      <c r="E173" s="64"/>
      <c r="F173" s="158"/>
      <c r="G173" s="64"/>
      <c r="H173" s="158"/>
      <c r="I173" s="159"/>
      <c r="J173" s="64"/>
      <c r="K173" s="64"/>
      <c r="L173" s="64"/>
      <c r="M173" s="64"/>
      <c r="N173" s="64"/>
      <c r="O173" s="64"/>
      <c r="P173" s="64"/>
      <c r="Q173" s="64"/>
      <c r="R173" s="64"/>
      <c r="S173" s="64"/>
      <c r="T173" s="64"/>
      <c r="U173" s="64"/>
      <c r="V173" s="64"/>
      <c r="W173" s="57"/>
      <c r="X173" s="57"/>
      <c r="Y173" s="57"/>
    </row>
    <row r="174">
      <c r="B174" s="157" t="s">
        <v>128</v>
      </c>
      <c r="C174" s="157">
        <f>if(countif(F166:F173,F174)&gt;1,0,2)</f>
        <v>2</v>
      </c>
      <c r="D174" s="157"/>
      <c r="E174" s="64"/>
      <c r="F174" s="158"/>
      <c r="G174" s="64"/>
      <c r="H174" s="158"/>
      <c r="I174" s="159"/>
      <c r="J174" s="64"/>
      <c r="K174" s="64"/>
      <c r="L174" s="64"/>
      <c r="M174" s="64"/>
      <c r="N174" s="64"/>
      <c r="O174" s="64"/>
      <c r="P174" s="64"/>
      <c r="Q174" s="64"/>
      <c r="R174" s="64"/>
      <c r="S174" s="64"/>
      <c r="T174" s="64"/>
      <c r="U174" s="64"/>
      <c r="V174" s="64"/>
      <c r="W174" s="57"/>
      <c r="X174" s="57"/>
      <c r="Y174" s="57"/>
    </row>
    <row r="175">
      <c r="B175" s="157" t="s">
        <v>129</v>
      </c>
      <c r="C175" s="157">
        <f>if(countif(F166:F174,F175)&gt;1,0,1)</f>
        <v>1</v>
      </c>
      <c r="D175" s="157"/>
      <c r="E175" s="64"/>
      <c r="F175" s="158"/>
      <c r="G175" s="64"/>
      <c r="H175" s="158"/>
      <c r="I175" s="159"/>
      <c r="J175" s="64"/>
      <c r="K175" s="64"/>
      <c r="L175" s="64"/>
      <c r="M175" s="64"/>
      <c r="N175" s="64"/>
      <c r="O175" s="64"/>
      <c r="P175" s="64"/>
      <c r="Q175" s="64"/>
      <c r="R175" s="64"/>
      <c r="S175" s="64"/>
      <c r="T175" s="64"/>
      <c r="U175" s="64"/>
      <c r="V175" s="64"/>
      <c r="W175" s="57"/>
      <c r="X175" s="57"/>
      <c r="Y175" s="57"/>
    </row>
    <row r="176">
      <c r="A176" s="67">
        <v>207.0</v>
      </c>
      <c r="B176" s="68" t="s">
        <v>542</v>
      </c>
      <c r="C176" s="68">
        <v>0.0</v>
      </c>
      <c r="D176" s="68"/>
      <c r="E176" s="69"/>
      <c r="F176" s="70"/>
      <c r="G176" s="69"/>
      <c r="H176" s="70"/>
      <c r="I176" s="71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156"/>
      <c r="X176" s="156"/>
      <c r="Y176" s="156"/>
    </row>
    <row r="177">
      <c r="B177" s="68" t="s">
        <v>543</v>
      </c>
      <c r="C177" s="68">
        <v>0.0</v>
      </c>
      <c r="D177" s="68"/>
      <c r="E177" s="69"/>
      <c r="F177" s="70"/>
      <c r="G177" s="69"/>
      <c r="H177" s="70"/>
      <c r="I177" s="71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156"/>
      <c r="X177" s="156"/>
      <c r="Y177" s="156"/>
    </row>
    <row r="178">
      <c r="B178" s="68" t="s">
        <v>544</v>
      </c>
      <c r="C178" s="68">
        <v>0.0</v>
      </c>
      <c r="D178" s="68"/>
      <c r="E178" s="69"/>
      <c r="F178" s="70"/>
      <c r="G178" s="69"/>
      <c r="H178" s="70"/>
      <c r="I178" s="71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156"/>
      <c r="X178" s="156"/>
      <c r="Y178" s="156"/>
    </row>
    <row r="179">
      <c r="B179" s="68" t="s">
        <v>545</v>
      </c>
      <c r="C179" s="68">
        <v>0.0</v>
      </c>
      <c r="D179" s="68"/>
      <c r="E179" s="69"/>
      <c r="F179" s="70"/>
      <c r="G179" s="69"/>
      <c r="H179" s="70"/>
      <c r="I179" s="71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156"/>
      <c r="X179" s="156"/>
      <c r="Y179" s="156"/>
    </row>
    <row r="180">
      <c r="B180" s="68" t="s">
        <v>546</v>
      </c>
      <c r="C180" s="68">
        <v>0.0</v>
      </c>
      <c r="D180" s="68"/>
      <c r="E180" s="69"/>
      <c r="F180" s="70"/>
      <c r="G180" s="69"/>
      <c r="H180" s="70"/>
      <c r="I180" s="71"/>
      <c r="J180" s="69"/>
      <c r="K180" s="69"/>
      <c r="L180" s="69"/>
      <c r="M180" s="69"/>
      <c r="N180" s="69"/>
      <c r="O180" s="69"/>
      <c r="P180" s="69"/>
      <c r="Q180" s="69"/>
      <c r="R180" s="69"/>
      <c r="S180" s="69"/>
      <c r="T180" s="69"/>
      <c r="U180" s="69"/>
      <c r="V180" s="69"/>
      <c r="W180" s="156"/>
      <c r="X180" s="156"/>
      <c r="Y180" s="156"/>
    </row>
    <row r="181">
      <c r="B181" s="68" t="s">
        <v>547</v>
      </c>
      <c r="C181" s="68">
        <v>0.0</v>
      </c>
      <c r="D181" s="68"/>
      <c r="E181" s="69"/>
      <c r="F181" s="70"/>
      <c r="G181" s="69"/>
      <c r="H181" s="70"/>
      <c r="I181" s="71"/>
      <c r="J181" s="69"/>
      <c r="K181" s="69"/>
      <c r="L181" s="69"/>
      <c r="M181" s="69"/>
      <c r="N181" s="69"/>
      <c r="O181" s="69"/>
      <c r="P181" s="69"/>
      <c r="Q181" s="69"/>
      <c r="R181" s="69"/>
      <c r="S181" s="69"/>
      <c r="T181" s="69"/>
      <c r="U181" s="69"/>
      <c r="V181" s="69"/>
      <c r="W181" s="156"/>
      <c r="X181" s="156"/>
      <c r="Y181" s="156"/>
    </row>
    <row r="182">
      <c r="B182" s="68" t="s">
        <v>548</v>
      </c>
      <c r="C182" s="68">
        <v>0.0</v>
      </c>
      <c r="D182" s="68"/>
      <c r="E182" s="69"/>
      <c r="F182" s="70"/>
      <c r="G182" s="69"/>
      <c r="H182" s="70"/>
      <c r="I182" s="71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156"/>
      <c r="X182" s="156"/>
      <c r="Y182" s="156"/>
    </row>
    <row r="183">
      <c r="B183" s="68" t="s">
        <v>549</v>
      </c>
      <c r="C183" s="68">
        <v>0.0</v>
      </c>
      <c r="D183" s="68"/>
      <c r="E183" s="69"/>
      <c r="F183" s="70"/>
      <c r="G183" s="69"/>
      <c r="H183" s="70"/>
      <c r="I183" s="71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156"/>
      <c r="X183" s="156"/>
      <c r="Y183" s="156"/>
    </row>
    <row r="184">
      <c r="B184" s="68" t="s">
        <v>550</v>
      </c>
      <c r="C184" s="68">
        <v>0.0</v>
      </c>
      <c r="D184" s="68"/>
      <c r="E184" s="69"/>
      <c r="F184" s="70"/>
      <c r="G184" s="69"/>
      <c r="H184" s="70"/>
      <c r="I184" s="71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156"/>
      <c r="X184" s="156"/>
      <c r="Y184" s="156"/>
    </row>
    <row r="185">
      <c r="B185" s="68" t="s">
        <v>551</v>
      </c>
      <c r="C185" s="68">
        <v>0.0</v>
      </c>
      <c r="D185" s="68"/>
      <c r="E185" s="69"/>
      <c r="F185" s="70"/>
      <c r="G185" s="69"/>
      <c r="H185" s="70"/>
      <c r="I185" s="71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156"/>
      <c r="X185" s="156"/>
      <c r="Y185" s="156"/>
    </row>
    <row r="186">
      <c r="A186" s="58">
        <v>220.0</v>
      </c>
      <c r="B186" s="157" t="s">
        <v>120</v>
      </c>
      <c r="C186" s="157">
        <v>12.0</v>
      </c>
      <c r="D186" s="157" t="str">
        <f>IFERROR(__xludf.DUMMYFUNCTION("ARRAY_CONSTRAIN(filter('All Platforms'!A3:T1802,'All Platforms'!A3:A1802=""220 JV""),20,20)"),"#N/A")</f>
        <v>#N/A</v>
      </c>
      <c r="E186" s="64"/>
      <c r="F186" s="158"/>
      <c r="G186" s="64"/>
      <c r="H186" s="158"/>
      <c r="I186" s="159"/>
      <c r="J186" s="64"/>
      <c r="K186" s="64"/>
      <c r="L186" s="64"/>
      <c r="M186" s="64"/>
      <c r="N186" s="64"/>
      <c r="O186" s="64"/>
      <c r="P186" s="64"/>
      <c r="Q186" s="64"/>
      <c r="R186" s="64"/>
      <c r="S186" s="64"/>
      <c r="T186" s="64"/>
      <c r="U186" s="64"/>
      <c r="V186" s="64"/>
      <c r="W186" s="57"/>
      <c r="X186" s="160"/>
      <c r="Y186" s="57"/>
    </row>
    <row r="187">
      <c r="B187" s="157" t="s">
        <v>121</v>
      </c>
      <c r="C187" s="157">
        <v>9.0</v>
      </c>
      <c r="D187" s="157"/>
      <c r="E187" s="64"/>
      <c r="F187" s="158"/>
      <c r="G187" s="64"/>
      <c r="H187" s="158"/>
      <c r="I187" s="159"/>
      <c r="J187" s="64"/>
      <c r="K187" s="64"/>
      <c r="L187" s="64"/>
      <c r="M187" s="64"/>
      <c r="N187" s="64"/>
      <c r="O187" s="64"/>
      <c r="P187" s="64"/>
      <c r="Q187" s="64"/>
      <c r="R187" s="64"/>
      <c r="S187" s="64"/>
      <c r="T187" s="64"/>
      <c r="U187" s="64"/>
      <c r="V187" s="64"/>
      <c r="W187" s="57"/>
      <c r="X187" s="160"/>
      <c r="Y187" s="57"/>
    </row>
    <row r="188">
      <c r="B188" s="157" t="s">
        <v>122</v>
      </c>
      <c r="C188" s="157">
        <f>if(countif(F186:F187,F188)&gt;1,0,8)</f>
        <v>8</v>
      </c>
      <c r="D188" s="157"/>
      <c r="E188" s="64"/>
      <c r="F188" s="158"/>
      <c r="G188" s="64"/>
      <c r="H188" s="158"/>
      <c r="I188" s="159"/>
      <c r="J188" s="64"/>
      <c r="K188" s="64"/>
      <c r="L188" s="64"/>
      <c r="M188" s="64"/>
      <c r="N188" s="64"/>
      <c r="O188" s="64"/>
      <c r="P188" s="64"/>
      <c r="Q188" s="64"/>
      <c r="R188" s="64"/>
      <c r="S188" s="64"/>
      <c r="T188" s="64"/>
      <c r="U188" s="64"/>
      <c r="V188" s="64"/>
      <c r="W188" s="57"/>
      <c r="X188" s="57"/>
      <c r="Y188" s="57"/>
    </row>
    <row r="189">
      <c r="B189" s="157" t="s">
        <v>123</v>
      </c>
      <c r="C189" s="157">
        <f>if(countif(F186:F188,F189)&gt;1,0,7)</f>
        <v>7</v>
      </c>
      <c r="D189" s="157"/>
      <c r="E189" s="64"/>
      <c r="F189" s="158"/>
      <c r="G189" s="64"/>
      <c r="H189" s="158"/>
      <c r="I189" s="159"/>
      <c r="J189" s="64"/>
      <c r="K189" s="64"/>
      <c r="L189" s="64"/>
      <c r="M189" s="64"/>
      <c r="N189" s="64"/>
      <c r="O189" s="64"/>
      <c r="P189" s="64"/>
      <c r="Q189" s="64"/>
      <c r="R189" s="64"/>
      <c r="S189" s="64"/>
      <c r="T189" s="64"/>
      <c r="U189" s="64"/>
      <c r="V189" s="64"/>
      <c r="W189" s="57"/>
      <c r="X189" s="57"/>
      <c r="Y189" s="57"/>
    </row>
    <row r="190">
      <c r="B190" s="157" t="s">
        <v>124</v>
      </c>
      <c r="C190" s="157">
        <f>if(countif(F186:F189,F190)&gt;1,0,6)</f>
        <v>6</v>
      </c>
      <c r="D190" s="157"/>
      <c r="E190" s="64"/>
      <c r="F190" s="158"/>
      <c r="G190" s="64"/>
      <c r="H190" s="158"/>
      <c r="I190" s="159"/>
      <c r="J190" s="64"/>
      <c r="K190" s="64"/>
      <c r="L190" s="64"/>
      <c r="M190" s="64"/>
      <c r="N190" s="64"/>
      <c r="O190" s="64"/>
      <c r="P190" s="64"/>
      <c r="Q190" s="64"/>
      <c r="R190" s="64"/>
      <c r="S190" s="64"/>
      <c r="T190" s="64"/>
      <c r="U190" s="64"/>
      <c r="V190" s="64"/>
      <c r="W190" s="57"/>
      <c r="X190" s="57"/>
      <c r="Y190" s="57"/>
    </row>
    <row r="191">
      <c r="B191" s="157" t="s">
        <v>125</v>
      </c>
      <c r="C191" s="157">
        <f>if(countif(F186:F190,F191)&gt;1,0,5)</f>
        <v>5</v>
      </c>
      <c r="D191" s="157"/>
      <c r="E191" s="64"/>
      <c r="F191" s="158"/>
      <c r="G191" s="64"/>
      <c r="H191" s="158"/>
      <c r="I191" s="159"/>
      <c r="J191" s="64"/>
      <c r="K191" s="64"/>
      <c r="L191" s="64"/>
      <c r="M191" s="64"/>
      <c r="N191" s="64"/>
      <c r="O191" s="64"/>
      <c r="P191" s="64"/>
      <c r="Q191" s="64"/>
      <c r="R191" s="64"/>
      <c r="S191" s="64"/>
      <c r="T191" s="64"/>
      <c r="U191" s="64"/>
      <c r="V191" s="64"/>
      <c r="W191" s="57"/>
      <c r="X191" s="57"/>
      <c r="Y191" s="57"/>
    </row>
    <row r="192">
      <c r="B192" s="157" t="s">
        <v>126</v>
      </c>
      <c r="C192" s="157">
        <f>if(countif(F186:F191,F192)&gt;1,0,4)</f>
        <v>4</v>
      </c>
      <c r="D192" s="157"/>
      <c r="E192" s="64"/>
      <c r="F192" s="158"/>
      <c r="G192" s="64"/>
      <c r="H192" s="158"/>
      <c r="I192" s="159"/>
      <c r="J192" s="64"/>
      <c r="K192" s="64"/>
      <c r="L192" s="64"/>
      <c r="M192" s="64"/>
      <c r="N192" s="64"/>
      <c r="O192" s="64"/>
      <c r="P192" s="64"/>
      <c r="Q192" s="64"/>
      <c r="R192" s="64"/>
      <c r="S192" s="64"/>
      <c r="T192" s="64"/>
      <c r="U192" s="64"/>
      <c r="V192" s="64"/>
      <c r="W192" s="57"/>
      <c r="X192" s="57"/>
      <c r="Y192" s="57"/>
    </row>
    <row r="193">
      <c r="B193" s="157" t="s">
        <v>127</v>
      </c>
      <c r="C193" s="157">
        <f>if(countif(F186:F192,F193)&gt;1,0,3)</f>
        <v>3</v>
      </c>
      <c r="D193" s="157"/>
      <c r="E193" s="64"/>
      <c r="F193" s="158"/>
      <c r="G193" s="64"/>
      <c r="H193" s="158"/>
      <c r="I193" s="159"/>
      <c r="J193" s="64"/>
      <c r="K193" s="64"/>
      <c r="L193" s="64"/>
      <c r="M193" s="64"/>
      <c r="N193" s="64"/>
      <c r="O193" s="64"/>
      <c r="P193" s="64"/>
      <c r="Q193" s="64"/>
      <c r="R193" s="64"/>
      <c r="S193" s="64"/>
      <c r="T193" s="64"/>
      <c r="U193" s="64"/>
      <c r="V193" s="64"/>
      <c r="W193" s="57"/>
      <c r="X193" s="57"/>
      <c r="Y193" s="57"/>
    </row>
    <row r="194">
      <c r="B194" s="157" t="s">
        <v>128</v>
      </c>
      <c r="C194" s="157">
        <f>if(countif(F186:F193,F194)&gt;1,0,2)</f>
        <v>2</v>
      </c>
      <c r="D194" s="157"/>
      <c r="E194" s="64"/>
      <c r="F194" s="158"/>
      <c r="G194" s="64"/>
      <c r="H194" s="158"/>
      <c r="I194" s="159"/>
      <c r="J194" s="64"/>
      <c r="K194" s="64"/>
      <c r="L194" s="64"/>
      <c r="M194" s="64"/>
      <c r="N194" s="64"/>
      <c r="O194" s="64"/>
      <c r="P194" s="64"/>
      <c r="Q194" s="64"/>
      <c r="R194" s="64"/>
      <c r="S194" s="64"/>
      <c r="T194" s="64"/>
      <c r="U194" s="64"/>
      <c r="V194" s="64"/>
      <c r="W194" s="57"/>
      <c r="X194" s="57"/>
      <c r="Y194" s="57"/>
    </row>
    <row r="195">
      <c r="B195" s="157" t="s">
        <v>129</v>
      </c>
      <c r="C195" s="157">
        <f>if(countif(F186:F194,F195)&gt;1,0,1)</f>
        <v>1</v>
      </c>
      <c r="D195" s="157"/>
      <c r="E195" s="64"/>
      <c r="F195" s="158"/>
      <c r="G195" s="64"/>
      <c r="H195" s="158"/>
      <c r="I195" s="159"/>
      <c r="J195" s="64"/>
      <c r="K195" s="64"/>
      <c r="L195" s="64"/>
      <c r="M195" s="64"/>
      <c r="N195" s="64"/>
      <c r="O195" s="64"/>
      <c r="P195" s="64"/>
      <c r="Q195" s="64"/>
      <c r="R195" s="64"/>
      <c r="S195" s="64"/>
      <c r="T195" s="64"/>
      <c r="U195" s="64"/>
      <c r="V195" s="64"/>
      <c r="W195" s="57"/>
      <c r="X195" s="160">
        <v>1.0</v>
      </c>
      <c r="Y195" s="57"/>
    </row>
    <row r="196">
      <c r="A196" s="67">
        <v>220.0</v>
      </c>
      <c r="B196" s="68" t="s">
        <v>542</v>
      </c>
      <c r="C196" s="68">
        <v>0.0</v>
      </c>
      <c r="D196" s="68"/>
      <c r="E196" s="69"/>
      <c r="F196" s="70"/>
      <c r="G196" s="69"/>
      <c r="H196" s="70"/>
      <c r="I196" s="71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156"/>
      <c r="X196" s="161">
        <v>2.0</v>
      </c>
      <c r="Y196" s="156"/>
    </row>
    <row r="197">
      <c r="B197" s="68" t="s">
        <v>543</v>
      </c>
      <c r="C197" s="68">
        <v>0.0</v>
      </c>
      <c r="D197" s="68"/>
      <c r="E197" s="69"/>
      <c r="F197" s="70"/>
      <c r="G197" s="69"/>
      <c r="H197" s="70"/>
      <c r="I197" s="71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156"/>
      <c r="X197" s="156"/>
      <c r="Y197" s="156"/>
    </row>
    <row r="198">
      <c r="B198" s="68" t="s">
        <v>544</v>
      </c>
      <c r="C198" s="68">
        <v>0.0</v>
      </c>
      <c r="D198" s="68"/>
      <c r="E198" s="69"/>
      <c r="F198" s="70"/>
      <c r="G198" s="69"/>
      <c r="H198" s="70"/>
      <c r="I198" s="71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156"/>
      <c r="X198" s="156"/>
      <c r="Y198" s="156"/>
    </row>
    <row r="199">
      <c r="B199" s="68" t="s">
        <v>545</v>
      </c>
      <c r="C199" s="68">
        <v>0.0</v>
      </c>
      <c r="D199" s="68"/>
      <c r="E199" s="69"/>
      <c r="F199" s="70"/>
      <c r="G199" s="69"/>
      <c r="H199" s="70"/>
      <c r="I199" s="71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156"/>
      <c r="X199" s="156"/>
      <c r="Y199" s="156"/>
    </row>
    <row r="200">
      <c r="B200" s="68" t="s">
        <v>546</v>
      </c>
      <c r="C200" s="68">
        <v>0.0</v>
      </c>
      <c r="D200" s="68"/>
      <c r="E200" s="69"/>
      <c r="F200" s="70"/>
      <c r="G200" s="69"/>
      <c r="H200" s="70"/>
      <c r="I200" s="71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156"/>
      <c r="X200" s="156"/>
      <c r="Y200" s="156"/>
    </row>
    <row r="201">
      <c r="B201" s="68" t="s">
        <v>547</v>
      </c>
      <c r="C201" s="68">
        <v>0.0</v>
      </c>
      <c r="D201" s="68"/>
      <c r="E201" s="69"/>
      <c r="F201" s="70"/>
      <c r="G201" s="69"/>
      <c r="H201" s="70"/>
      <c r="I201" s="71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156"/>
      <c r="X201" s="156"/>
      <c r="Y201" s="156"/>
    </row>
    <row r="202">
      <c r="B202" s="68" t="s">
        <v>548</v>
      </c>
      <c r="C202" s="68">
        <v>0.0</v>
      </c>
      <c r="D202" s="68"/>
      <c r="E202" s="69"/>
      <c r="F202" s="70"/>
      <c r="G202" s="69"/>
      <c r="H202" s="70"/>
      <c r="I202" s="71"/>
      <c r="J202" s="69"/>
      <c r="K202" s="69"/>
      <c r="L202" s="69"/>
      <c r="M202" s="69"/>
      <c r="N202" s="69"/>
      <c r="O202" s="69"/>
      <c r="P202" s="69"/>
      <c r="Q202" s="69"/>
      <c r="R202" s="69"/>
      <c r="S202" s="69"/>
      <c r="T202" s="69"/>
      <c r="U202" s="69"/>
      <c r="V202" s="69"/>
      <c r="W202" s="156"/>
      <c r="X202" s="156"/>
      <c r="Y202" s="156"/>
    </row>
    <row r="203">
      <c r="B203" s="68" t="s">
        <v>549</v>
      </c>
      <c r="C203" s="68">
        <v>0.0</v>
      </c>
      <c r="D203" s="68"/>
      <c r="E203" s="69"/>
      <c r="F203" s="70"/>
      <c r="G203" s="69"/>
      <c r="H203" s="70"/>
      <c r="I203" s="71"/>
      <c r="J203" s="69"/>
      <c r="K203" s="69"/>
      <c r="L203" s="69"/>
      <c r="M203" s="69"/>
      <c r="N203" s="69"/>
      <c r="O203" s="69"/>
      <c r="P203" s="69"/>
      <c r="Q203" s="69"/>
      <c r="R203" s="69"/>
      <c r="S203" s="69"/>
      <c r="T203" s="69"/>
      <c r="U203" s="69"/>
      <c r="V203" s="69"/>
      <c r="W203" s="156"/>
      <c r="X203" s="156"/>
      <c r="Y203" s="156"/>
    </row>
    <row r="204">
      <c r="B204" s="68" t="s">
        <v>550</v>
      </c>
      <c r="C204" s="68">
        <v>0.0</v>
      </c>
      <c r="D204" s="68"/>
      <c r="E204" s="69"/>
      <c r="F204" s="70"/>
      <c r="G204" s="69"/>
      <c r="H204" s="70"/>
      <c r="I204" s="71"/>
      <c r="J204" s="69"/>
      <c r="K204" s="69"/>
      <c r="L204" s="69"/>
      <c r="M204" s="69"/>
      <c r="N204" s="69"/>
      <c r="O204" s="69"/>
      <c r="P204" s="69"/>
      <c r="Q204" s="69"/>
      <c r="R204" s="69"/>
      <c r="S204" s="69"/>
      <c r="T204" s="69"/>
      <c r="U204" s="69"/>
      <c r="V204" s="69"/>
      <c r="W204" s="156"/>
      <c r="X204" s="156"/>
      <c r="Y204" s="156"/>
    </row>
    <row r="205">
      <c r="B205" s="68" t="s">
        <v>551</v>
      </c>
      <c r="C205" s="68">
        <v>0.0</v>
      </c>
      <c r="D205" s="68"/>
      <c r="E205" s="69"/>
      <c r="F205" s="70"/>
      <c r="G205" s="69"/>
      <c r="H205" s="70"/>
      <c r="I205" s="71"/>
      <c r="J205" s="69"/>
      <c r="K205" s="69"/>
      <c r="L205" s="69"/>
      <c r="M205" s="69"/>
      <c r="N205" s="69"/>
      <c r="O205" s="69"/>
      <c r="P205" s="69"/>
      <c r="Q205" s="69"/>
      <c r="R205" s="69"/>
      <c r="S205" s="69"/>
      <c r="T205" s="69"/>
      <c r="U205" s="69"/>
      <c r="V205" s="69"/>
      <c r="W205" s="156"/>
      <c r="X205" s="156"/>
      <c r="Y205" s="156"/>
    </row>
    <row r="206">
      <c r="A206" s="58">
        <v>242.0</v>
      </c>
      <c r="B206" s="157" t="s">
        <v>120</v>
      </c>
      <c r="C206" s="157">
        <v>12.0</v>
      </c>
      <c r="D206" s="157" t="str">
        <f>IFERROR(__xludf.DUMMYFUNCTION("ARRAY_CONSTRAIN(filter('All Platforms'!A3:T1802,'All Platforms'!A3:A1802=""242 JV""),20,20)"),"#N/A")</f>
        <v>#N/A</v>
      </c>
      <c r="E206" s="64"/>
      <c r="F206" s="158"/>
      <c r="G206" s="64"/>
      <c r="H206" s="158"/>
      <c r="I206" s="159"/>
      <c r="J206" s="64"/>
      <c r="K206" s="64"/>
      <c r="L206" s="64"/>
      <c r="M206" s="64"/>
      <c r="N206" s="64"/>
      <c r="O206" s="64"/>
      <c r="P206" s="64"/>
      <c r="Q206" s="64"/>
      <c r="R206" s="64"/>
      <c r="S206" s="64"/>
      <c r="T206" s="64"/>
      <c r="U206" s="64"/>
      <c r="V206" s="64"/>
      <c r="W206" s="57"/>
      <c r="X206" s="57"/>
      <c r="Y206" s="57"/>
    </row>
    <row r="207">
      <c r="B207" s="157" t="s">
        <v>121</v>
      </c>
      <c r="C207" s="157">
        <v>9.0</v>
      </c>
      <c r="D207" s="157"/>
      <c r="E207" s="64"/>
      <c r="F207" s="158"/>
      <c r="G207" s="64"/>
      <c r="H207" s="158"/>
      <c r="I207" s="159"/>
      <c r="J207" s="64"/>
      <c r="K207" s="64"/>
      <c r="L207" s="64"/>
      <c r="M207" s="64"/>
      <c r="N207" s="64"/>
      <c r="O207" s="64"/>
      <c r="P207" s="64"/>
      <c r="Q207" s="64"/>
      <c r="R207" s="64"/>
      <c r="S207" s="64"/>
      <c r="T207" s="64"/>
      <c r="U207" s="64"/>
      <c r="V207" s="64"/>
      <c r="W207" s="57"/>
      <c r="X207" s="57"/>
      <c r="Y207" s="57"/>
    </row>
    <row r="208">
      <c r="B208" s="157" t="s">
        <v>122</v>
      </c>
      <c r="C208" s="157">
        <f>if(countif(F206:F207,F208)&gt;1,0,8)</f>
        <v>8</v>
      </c>
      <c r="D208" s="157"/>
      <c r="E208" s="64"/>
      <c r="F208" s="158"/>
      <c r="G208" s="64"/>
      <c r="H208" s="158"/>
      <c r="I208" s="159"/>
      <c r="J208" s="64"/>
      <c r="K208" s="64"/>
      <c r="L208" s="64"/>
      <c r="M208" s="64"/>
      <c r="N208" s="64"/>
      <c r="O208" s="64"/>
      <c r="P208" s="64"/>
      <c r="Q208" s="64"/>
      <c r="R208" s="64"/>
      <c r="S208" s="64"/>
      <c r="T208" s="64"/>
      <c r="U208" s="64"/>
      <c r="V208" s="64"/>
      <c r="W208" s="57"/>
      <c r="X208" s="57"/>
      <c r="Y208" s="57"/>
    </row>
    <row r="209">
      <c r="B209" s="157" t="s">
        <v>123</v>
      </c>
      <c r="C209" s="157">
        <f>if(countif(F206:F208,F209)&gt;1,0,7)</f>
        <v>7</v>
      </c>
      <c r="D209" s="157"/>
      <c r="E209" s="64"/>
      <c r="F209" s="158"/>
      <c r="G209" s="64"/>
      <c r="H209" s="158"/>
      <c r="I209" s="159"/>
      <c r="J209" s="64"/>
      <c r="K209" s="64"/>
      <c r="L209" s="64"/>
      <c r="M209" s="64"/>
      <c r="N209" s="64"/>
      <c r="O209" s="64"/>
      <c r="P209" s="64"/>
      <c r="Q209" s="64"/>
      <c r="R209" s="64"/>
      <c r="S209" s="64"/>
      <c r="T209" s="64"/>
      <c r="U209" s="64"/>
      <c r="V209" s="64"/>
      <c r="W209" s="57"/>
      <c r="X209" s="57"/>
      <c r="Y209" s="57"/>
    </row>
    <row r="210">
      <c r="B210" s="157" t="s">
        <v>124</v>
      </c>
      <c r="C210" s="157">
        <f>if(countif(F206:F209,F210)&gt;1,0,6)</f>
        <v>6</v>
      </c>
      <c r="D210" s="157"/>
      <c r="E210" s="64"/>
      <c r="F210" s="158"/>
      <c r="G210" s="64"/>
      <c r="H210" s="158"/>
      <c r="I210" s="159"/>
      <c r="J210" s="64"/>
      <c r="K210" s="64"/>
      <c r="L210" s="64"/>
      <c r="M210" s="64"/>
      <c r="N210" s="64"/>
      <c r="O210" s="64"/>
      <c r="P210" s="64"/>
      <c r="Q210" s="64"/>
      <c r="R210" s="64"/>
      <c r="S210" s="64"/>
      <c r="T210" s="64"/>
      <c r="U210" s="64"/>
      <c r="V210" s="64"/>
      <c r="W210" s="57"/>
      <c r="X210" s="57"/>
      <c r="Y210" s="57"/>
    </row>
    <row r="211">
      <c r="B211" s="157" t="s">
        <v>125</v>
      </c>
      <c r="C211" s="157">
        <f>if(countif(F206:F210,F211)&gt;1,0,5)</f>
        <v>5</v>
      </c>
      <c r="D211" s="157"/>
      <c r="E211" s="64"/>
      <c r="F211" s="158"/>
      <c r="G211" s="64"/>
      <c r="H211" s="158"/>
      <c r="I211" s="159"/>
      <c r="J211" s="64"/>
      <c r="K211" s="64"/>
      <c r="L211" s="64"/>
      <c r="M211" s="64"/>
      <c r="N211" s="64"/>
      <c r="O211" s="64"/>
      <c r="P211" s="64"/>
      <c r="Q211" s="64"/>
      <c r="R211" s="64"/>
      <c r="S211" s="64"/>
      <c r="T211" s="64"/>
      <c r="U211" s="64"/>
      <c r="V211" s="64"/>
      <c r="W211" s="57"/>
      <c r="X211" s="57"/>
      <c r="Y211" s="57"/>
    </row>
    <row r="212">
      <c r="B212" s="157" t="s">
        <v>126</v>
      </c>
      <c r="C212" s="157">
        <f>if(countif(F206:F211,F212)&gt;1,0,4)</f>
        <v>4</v>
      </c>
      <c r="D212" s="157"/>
      <c r="E212" s="64"/>
      <c r="F212" s="158"/>
      <c r="G212" s="64"/>
      <c r="H212" s="158"/>
      <c r="I212" s="159"/>
      <c r="J212" s="64"/>
      <c r="K212" s="64"/>
      <c r="L212" s="64"/>
      <c r="M212" s="64"/>
      <c r="N212" s="64"/>
      <c r="O212" s="64"/>
      <c r="P212" s="64"/>
      <c r="Q212" s="64"/>
      <c r="R212" s="64"/>
      <c r="S212" s="64"/>
      <c r="T212" s="64"/>
      <c r="U212" s="64"/>
      <c r="V212" s="64"/>
      <c r="W212" s="57"/>
      <c r="X212" s="57"/>
      <c r="Y212" s="57"/>
    </row>
    <row r="213">
      <c r="B213" s="157" t="s">
        <v>127</v>
      </c>
      <c r="C213" s="157">
        <f>if(countif(F206:F212,F213)&gt;1,0,3)</f>
        <v>3</v>
      </c>
      <c r="D213" s="157"/>
      <c r="E213" s="64"/>
      <c r="F213" s="158"/>
      <c r="G213" s="64"/>
      <c r="H213" s="158"/>
      <c r="I213" s="159"/>
      <c r="J213" s="64"/>
      <c r="K213" s="64"/>
      <c r="L213" s="64"/>
      <c r="M213" s="64"/>
      <c r="N213" s="64"/>
      <c r="O213" s="64"/>
      <c r="P213" s="64"/>
      <c r="Q213" s="64"/>
      <c r="R213" s="64"/>
      <c r="S213" s="64"/>
      <c r="T213" s="64"/>
      <c r="U213" s="64"/>
      <c r="V213" s="64"/>
      <c r="W213" s="57"/>
      <c r="X213" s="57"/>
      <c r="Y213" s="57"/>
    </row>
    <row r="214">
      <c r="B214" s="157" t="s">
        <v>128</v>
      </c>
      <c r="C214" s="157">
        <f>if(countif(F206:F213,F214)&gt;1,0,2)</f>
        <v>2</v>
      </c>
      <c r="D214" s="157"/>
      <c r="E214" s="64"/>
      <c r="F214" s="158"/>
      <c r="G214" s="64"/>
      <c r="H214" s="158"/>
      <c r="I214" s="159"/>
      <c r="J214" s="64"/>
      <c r="K214" s="64"/>
      <c r="L214" s="64"/>
      <c r="M214" s="64"/>
      <c r="N214" s="64"/>
      <c r="O214" s="64"/>
      <c r="P214" s="64"/>
      <c r="Q214" s="64"/>
      <c r="R214" s="64"/>
      <c r="S214" s="64"/>
      <c r="T214" s="64"/>
      <c r="U214" s="64"/>
      <c r="V214" s="64"/>
      <c r="W214" s="57"/>
      <c r="X214" s="57"/>
      <c r="Y214" s="57"/>
    </row>
    <row r="215">
      <c r="B215" s="157" t="s">
        <v>129</v>
      </c>
      <c r="C215" s="157">
        <f>if(countif(F206:F214,F215)&gt;1,0,1)</f>
        <v>1</v>
      </c>
      <c r="D215" s="157"/>
      <c r="E215" s="64"/>
      <c r="F215" s="158"/>
      <c r="G215" s="64"/>
      <c r="H215" s="158"/>
      <c r="I215" s="159"/>
      <c r="J215" s="64"/>
      <c r="K215" s="64"/>
      <c r="L215" s="64"/>
      <c r="M215" s="64"/>
      <c r="N215" s="64"/>
      <c r="O215" s="64"/>
      <c r="P215" s="64"/>
      <c r="Q215" s="64"/>
      <c r="R215" s="64"/>
      <c r="S215" s="64"/>
      <c r="T215" s="64"/>
      <c r="U215" s="64"/>
      <c r="V215" s="64"/>
      <c r="W215" s="57"/>
      <c r="X215" s="57"/>
      <c r="Y215" s="57"/>
    </row>
    <row r="216">
      <c r="A216" s="67">
        <v>242.0</v>
      </c>
      <c r="B216" s="68" t="s">
        <v>542</v>
      </c>
      <c r="C216" s="68">
        <v>0.0</v>
      </c>
      <c r="D216" s="68"/>
      <c r="E216" s="69"/>
      <c r="F216" s="70"/>
      <c r="G216" s="69"/>
      <c r="H216" s="70"/>
      <c r="I216" s="71"/>
      <c r="J216" s="69"/>
      <c r="K216" s="69"/>
      <c r="L216" s="69"/>
      <c r="M216" s="69"/>
      <c r="N216" s="69"/>
      <c r="O216" s="69"/>
      <c r="P216" s="69"/>
      <c r="Q216" s="69"/>
      <c r="R216" s="69"/>
      <c r="S216" s="69"/>
      <c r="T216" s="69"/>
      <c r="U216" s="69"/>
      <c r="V216" s="69"/>
      <c r="W216" s="156"/>
      <c r="X216" s="156"/>
      <c r="Y216" s="156"/>
    </row>
    <row r="217">
      <c r="B217" s="68" t="s">
        <v>543</v>
      </c>
      <c r="C217" s="68">
        <v>0.0</v>
      </c>
      <c r="D217" s="68"/>
      <c r="E217" s="69"/>
      <c r="F217" s="70"/>
      <c r="G217" s="69"/>
      <c r="H217" s="70"/>
      <c r="I217" s="71"/>
      <c r="J217" s="69"/>
      <c r="K217" s="69"/>
      <c r="L217" s="69"/>
      <c r="M217" s="69"/>
      <c r="N217" s="69"/>
      <c r="O217" s="69"/>
      <c r="P217" s="69"/>
      <c r="Q217" s="69"/>
      <c r="R217" s="69"/>
      <c r="S217" s="69"/>
      <c r="T217" s="69"/>
      <c r="U217" s="69"/>
      <c r="V217" s="69"/>
      <c r="W217" s="156"/>
      <c r="X217" s="156"/>
      <c r="Y217" s="156"/>
    </row>
    <row r="218">
      <c r="B218" s="68" t="s">
        <v>544</v>
      </c>
      <c r="C218" s="68">
        <v>0.0</v>
      </c>
      <c r="D218" s="68"/>
      <c r="E218" s="69"/>
      <c r="F218" s="70"/>
      <c r="G218" s="69"/>
      <c r="H218" s="70"/>
      <c r="I218" s="71"/>
      <c r="J218" s="69"/>
      <c r="K218" s="69"/>
      <c r="L218" s="69"/>
      <c r="M218" s="69"/>
      <c r="N218" s="69"/>
      <c r="O218" s="69"/>
      <c r="P218" s="69"/>
      <c r="Q218" s="69"/>
      <c r="R218" s="69"/>
      <c r="S218" s="69"/>
      <c r="T218" s="69"/>
      <c r="U218" s="69"/>
      <c r="V218" s="69"/>
      <c r="W218" s="156"/>
      <c r="X218" s="156"/>
      <c r="Y218" s="156"/>
    </row>
    <row r="219">
      <c r="B219" s="68" t="s">
        <v>545</v>
      </c>
      <c r="C219" s="68">
        <v>0.0</v>
      </c>
      <c r="D219" s="68"/>
      <c r="E219" s="69"/>
      <c r="F219" s="70"/>
      <c r="G219" s="69"/>
      <c r="H219" s="70"/>
      <c r="I219" s="71"/>
      <c r="J219" s="69"/>
      <c r="K219" s="69"/>
      <c r="L219" s="69"/>
      <c r="M219" s="69"/>
      <c r="N219" s="69"/>
      <c r="O219" s="69"/>
      <c r="P219" s="69"/>
      <c r="Q219" s="69"/>
      <c r="R219" s="69"/>
      <c r="S219" s="69"/>
      <c r="T219" s="69"/>
      <c r="U219" s="69"/>
      <c r="V219" s="69"/>
      <c r="W219" s="156"/>
      <c r="X219" s="156"/>
      <c r="Y219" s="156"/>
    </row>
    <row r="220">
      <c r="B220" s="68" t="s">
        <v>546</v>
      </c>
      <c r="C220" s="68">
        <v>0.0</v>
      </c>
      <c r="D220" s="68"/>
      <c r="E220" s="69"/>
      <c r="F220" s="70"/>
      <c r="G220" s="69"/>
      <c r="H220" s="70"/>
      <c r="I220" s="71"/>
      <c r="J220" s="69"/>
      <c r="K220" s="69"/>
      <c r="L220" s="69"/>
      <c r="M220" s="69"/>
      <c r="N220" s="69"/>
      <c r="O220" s="69"/>
      <c r="P220" s="69"/>
      <c r="Q220" s="69"/>
      <c r="R220" s="69"/>
      <c r="S220" s="69"/>
      <c r="T220" s="69"/>
      <c r="U220" s="69"/>
      <c r="V220" s="69"/>
      <c r="W220" s="156"/>
      <c r="X220" s="156"/>
      <c r="Y220" s="156"/>
    </row>
    <row r="221">
      <c r="B221" s="68" t="s">
        <v>547</v>
      </c>
      <c r="C221" s="68">
        <v>0.0</v>
      </c>
      <c r="D221" s="68"/>
      <c r="E221" s="69"/>
      <c r="F221" s="70"/>
      <c r="G221" s="69"/>
      <c r="H221" s="70"/>
      <c r="I221" s="71"/>
      <c r="J221" s="69"/>
      <c r="K221" s="69"/>
      <c r="L221" s="69"/>
      <c r="M221" s="69"/>
      <c r="N221" s="69"/>
      <c r="O221" s="69"/>
      <c r="P221" s="69"/>
      <c r="Q221" s="69"/>
      <c r="R221" s="69"/>
      <c r="S221" s="69"/>
      <c r="T221" s="69"/>
      <c r="U221" s="69"/>
      <c r="V221" s="69"/>
      <c r="W221" s="156"/>
      <c r="X221" s="156"/>
      <c r="Y221" s="156"/>
    </row>
    <row r="222">
      <c r="B222" s="68" t="s">
        <v>548</v>
      </c>
      <c r="C222" s="68">
        <v>0.0</v>
      </c>
      <c r="D222" s="68"/>
      <c r="E222" s="69"/>
      <c r="F222" s="70"/>
      <c r="G222" s="69"/>
      <c r="H222" s="70"/>
      <c r="I222" s="71"/>
      <c r="J222" s="69"/>
      <c r="K222" s="69"/>
      <c r="L222" s="69"/>
      <c r="M222" s="69"/>
      <c r="N222" s="69"/>
      <c r="O222" s="69"/>
      <c r="P222" s="69"/>
      <c r="Q222" s="69"/>
      <c r="R222" s="69"/>
      <c r="S222" s="69"/>
      <c r="T222" s="69"/>
      <c r="U222" s="69"/>
      <c r="V222" s="69"/>
      <c r="W222" s="156"/>
      <c r="X222" s="156"/>
      <c r="Y222" s="156"/>
    </row>
    <row r="223">
      <c r="B223" s="68" t="s">
        <v>549</v>
      </c>
      <c r="C223" s="68">
        <v>0.0</v>
      </c>
      <c r="D223" s="68"/>
      <c r="E223" s="69"/>
      <c r="F223" s="70"/>
      <c r="G223" s="69"/>
      <c r="H223" s="70"/>
      <c r="I223" s="71"/>
      <c r="J223" s="69"/>
      <c r="K223" s="69"/>
      <c r="L223" s="69"/>
      <c r="M223" s="69"/>
      <c r="N223" s="69"/>
      <c r="O223" s="69"/>
      <c r="P223" s="69"/>
      <c r="Q223" s="69"/>
      <c r="R223" s="69"/>
      <c r="S223" s="69"/>
      <c r="T223" s="69"/>
      <c r="U223" s="69"/>
      <c r="V223" s="69"/>
      <c r="W223" s="156"/>
      <c r="X223" s="156"/>
      <c r="Y223" s="156"/>
    </row>
    <row r="224">
      <c r="B224" s="68" t="s">
        <v>550</v>
      </c>
      <c r="C224" s="68">
        <v>0.0</v>
      </c>
      <c r="D224" s="68"/>
      <c r="E224" s="69"/>
      <c r="F224" s="70"/>
      <c r="G224" s="69"/>
      <c r="H224" s="70"/>
      <c r="I224" s="71"/>
      <c r="J224" s="69"/>
      <c r="K224" s="69"/>
      <c r="L224" s="69"/>
      <c r="M224" s="69"/>
      <c r="N224" s="69"/>
      <c r="O224" s="69"/>
      <c r="P224" s="69"/>
      <c r="Q224" s="69"/>
      <c r="R224" s="69"/>
      <c r="S224" s="69"/>
      <c r="T224" s="69"/>
      <c r="U224" s="69"/>
      <c r="V224" s="69"/>
      <c r="W224" s="156"/>
      <c r="X224" s="156"/>
      <c r="Y224" s="156"/>
    </row>
    <row r="225">
      <c r="B225" s="68" t="s">
        <v>551</v>
      </c>
      <c r="C225" s="68">
        <v>0.0</v>
      </c>
      <c r="D225" s="68"/>
      <c r="E225" s="69"/>
      <c r="F225" s="70"/>
      <c r="G225" s="69"/>
      <c r="H225" s="70"/>
      <c r="I225" s="71"/>
      <c r="J225" s="69"/>
      <c r="K225" s="69"/>
      <c r="L225" s="69"/>
      <c r="M225" s="69"/>
      <c r="N225" s="69"/>
      <c r="O225" s="69"/>
      <c r="P225" s="69"/>
      <c r="Q225" s="69"/>
      <c r="R225" s="69"/>
      <c r="S225" s="69"/>
      <c r="T225" s="69"/>
      <c r="U225" s="69"/>
      <c r="V225" s="69"/>
      <c r="W225" s="156"/>
      <c r="X225" s="156"/>
      <c r="Y225" s="156"/>
    </row>
    <row r="226">
      <c r="A226" s="58">
        <v>275.0</v>
      </c>
      <c r="B226" s="157" t="s">
        <v>120</v>
      </c>
      <c r="C226" s="157">
        <v>12.0</v>
      </c>
      <c r="D226" s="157" t="str">
        <f>IFERROR(__xludf.DUMMYFUNCTION("ARRAY_CONSTRAIN(filter('All Platforms'!A3:T1802,'All Platforms'!A3:A1802=""275 JV""),20,20)"),"#N/A")</f>
        <v>#N/A</v>
      </c>
      <c r="E226" s="64"/>
      <c r="F226" s="158"/>
      <c r="G226" s="64"/>
      <c r="H226" s="158"/>
      <c r="I226" s="159"/>
      <c r="J226" s="64"/>
      <c r="K226" s="64"/>
      <c r="L226" s="64"/>
      <c r="M226" s="64"/>
      <c r="N226" s="64"/>
      <c r="O226" s="64"/>
      <c r="P226" s="64"/>
      <c r="Q226" s="64"/>
      <c r="R226" s="64"/>
      <c r="S226" s="64"/>
      <c r="T226" s="64"/>
      <c r="U226" s="64"/>
      <c r="V226" s="64"/>
      <c r="W226" s="57"/>
      <c r="X226" s="57"/>
      <c r="Y226" s="57"/>
    </row>
    <row r="227">
      <c r="B227" s="157" t="s">
        <v>121</v>
      </c>
      <c r="C227" s="157">
        <v>9.0</v>
      </c>
      <c r="D227" s="157"/>
      <c r="E227" s="64"/>
      <c r="F227" s="158"/>
      <c r="G227" s="64"/>
      <c r="H227" s="158"/>
      <c r="I227" s="159"/>
      <c r="J227" s="64"/>
      <c r="K227" s="64"/>
      <c r="L227" s="64"/>
      <c r="M227" s="64"/>
      <c r="N227" s="64"/>
      <c r="O227" s="64"/>
      <c r="P227" s="64"/>
      <c r="Q227" s="64"/>
      <c r="R227" s="64"/>
      <c r="S227" s="64"/>
      <c r="T227" s="64"/>
      <c r="U227" s="64"/>
      <c r="V227" s="64"/>
      <c r="W227" s="57"/>
      <c r="X227" s="57"/>
      <c r="Y227" s="57"/>
    </row>
    <row r="228">
      <c r="B228" s="157" t="s">
        <v>122</v>
      </c>
      <c r="C228" s="157">
        <f>if(countif(F226:F227,F228)&gt;1,0,8)</f>
        <v>8</v>
      </c>
      <c r="D228" s="157"/>
      <c r="E228" s="64"/>
      <c r="F228" s="158"/>
      <c r="G228" s="64"/>
      <c r="H228" s="158"/>
      <c r="I228" s="159"/>
      <c r="J228" s="64"/>
      <c r="K228" s="64"/>
      <c r="L228" s="64"/>
      <c r="M228" s="64"/>
      <c r="N228" s="64"/>
      <c r="O228" s="64"/>
      <c r="P228" s="64"/>
      <c r="Q228" s="64"/>
      <c r="R228" s="64"/>
      <c r="S228" s="64"/>
      <c r="T228" s="64"/>
      <c r="U228" s="64"/>
      <c r="V228" s="64"/>
      <c r="W228" s="57"/>
      <c r="X228" s="57"/>
      <c r="Y228" s="57"/>
    </row>
    <row r="229">
      <c r="B229" s="157" t="s">
        <v>123</v>
      </c>
      <c r="C229" s="157">
        <f>if(countif(F226:F228,F229)&gt;1,0,7)</f>
        <v>7</v>
      </c>
      <c r="D229" s="157"/>
      <c r="E229" s="64"/>
      <c r="F229" s="158"/>
      <c r="G229" s="64"/>
      <c r="H229" s="158"/>
      <c r="I229" s="159"/>
      <c r="J229" s="64"/>
      <c r="K229" s="64"/>
      <c r="L229" s="64"/>
      <c r="M229" s="64"/>
      <c r="N229" s="64"/>
      <c r="O229" s="64"/>
      <c r="P229" s="64"/>
      <c r="Q229" s="64"/>
      <c r="R229" s="64"/>
      <c r="S229" s="64"/>
      <c r="T229" s="64"/>
      <c r="U229" s="64"/>
      <c r="V229" s="64"/>
      <c r="W229" s="57"/>
      <c r="X229" s="57"/>
      <c r="Y229" s="57"/>
    </row>
    <row r="230">
      <c r="B230" s="157" t="s">
        <v>124</v>
      </c>
      <c r="C230" s="157">
        <f>if(countif(F226:F229,F230)&gt;1,0,6)</f>
        <v>6</v>
      </c>
      <c r="D230" s="157"/>
      <c r="E230" s="64"/>
      <c r="F230" s="158"/>
      <c r="G230" s="64"/>
      <c r="H230" s="158"/>
      <c r="I230" s="159"/>
      <c r="J230" s="64"/>
      <c r="K230" s="64"/>
      <c r="L230" s="64"/>
      <c r="M230" s="64"/>
      <c r="N230" s="64"/>
      <c r="O230" s="64"/>
      <c r="P230" s="64"/>
      <c r="Q230" s="64"/>
      <c r="R230" s="64"/>
      <c r="S230" s="64"/>
      <c r="T230" s="64"/>
      <c r="U230" s="64"/>
      <c r="V230" s="64"/>
      <c r="W230" s="57"/>
      <c r="X230" s="57"/>
      <c r="Y230" s="57"/>
    </row>
    <row r="231">
      <c r="B231" s="157" t="s">
        <v>125</v>
      </c>
      <c r="C231" s="157">
        <f>if(countif(F226:F230,F231)&gt;1,0,5)</f>
        <v>5</v>
      </c>
      <c r="D231" s="157"/>
      <c r="E231" s="64"/>
      <c r="F231" s="158"/>
      <c r="G231" s="64"/>
      <c r="H231" s="158"/>
      <c r="I231" s="159"/>
      <c r="J231" s="64"/>
      <c r="K231" s="64"/>
      <c r="L231" s="64"/>
      <c r="M231" s="64"/>
      <c r="N231" s="64"/>
      <c r="O231" s="64"/>
      <c r="P231" s="64"/>
      <c r="Q231" s="64"/>
      <c r="R231" s="64"/>
      <c r="S231" s="64"/>
      <c r="T231" s="64"/>
      <c r="U231" s="64"/>
      <c r="V231" s="64"/>
      <c r="W231" s="57"/>
      <c r="X231" s="57"/>
      <c r="Y231" s="57"/>
    </row>
    <row r="232">
      <c r="B232" s="157" t="s">
        <v>126</v>
      </c>
      <c r="C232" s="157">
        <f>if(countif(F226:F231,F232)&gt;1,0,4)</f>
        <v>4</v>
      </c>
      <c r="D232" s="157"/>
      <c r="E232" s="64"/>
      <c r="F232" s="158"/>
      <c r="G232" s="64"/>
      <c r="H232" s="158"/>
      <c r="I232" s="159"/>
      <c r="J232" s="64"/>
      <c r="K232" s="64"/>
      <c r="L232" s="64"/>
      <c r="M232" s="64"/>
      <c r="N232" s="64"/>
      <c r="O232" s="64"/>
      <c r="P232" s="64"/>
      <c r="Q232" s="64"/>
      <c r="R232" s="64"/>
      <c r="S232" s="64"/>
      <c r="T232" s="64"/>
      <c r="U232" s="64"/>
      <c r="V232" s="64"/>
      <c r="W232" s="57"/>
      <c r="X232" s="57"/>
      <c r="Y232" s="57"/>
    </row>
    <row r="233">
      <c r="B233" s="157" t="s">
        <v>127</v>
      </c>
      <c r="C233" s="157">
        <f>if(countif(F226:F232,F233)&gt;1,0,3)</f>
        <v>3</v>
      </c>
      <c r="D233" s="157"/>
      <c r="E233" s="64"/>
      <c r="F233" s="158"/>
      <c r="G233" s="64"/>
      <c r="H233" s="158"/>
      <c r="I233" s="159"/>
      <c r="J233" s="64"/>
      <c r="K233" s="64"/>
      <c r="L233" s="64"/>
      <c r="M233" s="64"/>
      <c r="N233" s="64"/>
      <c r="O233" s="64"/>
      <c r="P233" s="64"/>
      <c r="Q233" s="64"/>
      <c r="R233" s="64"/>
      <c r="S233" s="64"/>
      <c r="T233" s="64"/>
      <c r="U233" s="64"/>
      <c r="V233" s="64"/>
      <c r="W233" s="57"/>
      <c r="X233" s="57"/>
      <c r="Y233" s="57"/>
    </row>
    <row r="234">
      <c r="B234" s="157" t="s">
        <v>128</v>
      </c>
      <c r="C234" s="157">
        <f>if(countif(F226:F233,F234)&gt;1,0,2)</f>
        <v>2</v>
      </c>
      <c r="D234" s="157"/>
      <c r="E234" s="64"/>
      <c r="F234" s="158"/>
      <c r="G234" s="64"/>
      <c r="H234" s="158"/>
      <c r="I234" s="159"/>
      <c r="J234" s="64"/>
      <c r="K234" s="64"/>
      <c r="L234" s="64"/>
      <c r="M234" s="64"/>
      <c r="N234" s="64"/>
      <c r="O234" s="64"/>
      <c r="P234" s="64"/>
      <c r="Q234" s="64"/>
      <c r="R234" s="64"/>
      <c r="S234" s="64"/>
      <c r="T234" s="64"/>
      <c r="U234" s="64"/>
      <c r="V234" s="64"/>
      <c r="W234" s="57"/>
      <c r="X234" s="57"/>
      <c r="Y234" s="57"/>
    </row>
    <row r="235">
      <c r="B235" s="157" t="s">
        <v>129</v>
      </c>
      <c r="C235" s="157">
        <f>if(countif(F226:F234,F235)&gt;1,0,1)</f>
        <v>1</v>
      </c>
      <c r="D235" s="157"/>
      <c r="E235" s="64"/>
      <c r="F235" s="158"/>
      <c r="G235" s="64"/>
      <c r="H235" s="158"/>
      <c r="I235" s="159"/>
      <c r="J235" s="64"/>
      <c r="K235" s="64"/>
      <c r="L235" s="64"/>
      <c r="M235" s="64"/>
      <c r="N235" s="64"/>
      <c r="O235" s="64"/>
      <c r="P235" s="64"/>
      <c r="Q235" s="64"/>
      <c r="R235" s="64"/>
      <c r="S235" s="64"/>
      <c r="T235" s="64"/>
      <c r="U235" s="64"/>
      <c r="V235" s="64"/>
      <c r="W235" s="57"/>
      <c r="X235" s="57"/>
      <c r="Y235" s="57"/>
    </row>
    <row r="236">
      <c r="A236" s="67">
        <v>275.0</v>
      </c>
      <c r="B236" s="68" t="s">
        <v>542</v>
      </c>
      <c r="C236" s="68">
        <v>0.0</v>
      </c>
      <c r="D236" s="68"/>
      <c r="E236" s="69"/>
      <c r="F236" s="70"/>
      <c r="G236" s="69"/>
      <c r="H236" s="70"/>
      <c r="I236" s="71"/>
      <c r="J236" s="69"/>
      <c r="K236" s="69"/>
      <c r="L236" s="69"/>
      <c r="M236" s="69"/>
      <c r="N236" s="69"/>
      <c r="O236" s="69"/>
      <c r="P236" s="69"/>
      <c r="Q236" s="69"/>
      <c r="R236" s="69"/>
      <c r="S236" s="69"/>
      <c r="T236" s="69"/>
      <c r="U236" s="69"/>
      <c r="V236" s="69"/>
      <c r="W236" s="156"/>
      <c r="X236" s="156"/>
      <c r="Y236" s="156"/>
    </row>
    <row r="237">
      <c r="B237" s="68" t="s">
        <v>543</v>
      </c>
      <c r="C237" s="68">
        <v>0.0</v>
      </c>
      <c r="D237" s="68"/>
      <c r="E237" s="69"/>
      <c r="F237" s="70"/>
      <c r="G237" s="69"/>
      <c r="H237" s="70"/>
      <c r="I237" s="71"/>
      <c r="J237" s="69"/>
      <c r="K237" s="69"/>
      <c r="L237" s="69"/>
      <c r="M237" s="69"/>
      <c r="N237" s="69"/>
      <c r="O237" s="69"/>
      <c r="P237" s="69"/>
      <c r="Q237" s="69"/>
      <c r="R237" s="69"/>
      <c r="S237" s="69"/>
      <c r="T237" s="69"/>
      <c r="U237" s="69"/>
      <c r="V237" s="69"/>
      <c r="W237" s="156"/>
      <c r="X237" s="156"/>
      <c r="Y237" s="156"/>
    </row>
    <row r="238">
      <c r="B238" s="68" t="s">
        <v>544</v>
      </c>
      <c r="C238" s="68">
        <v>0.0</v>
      </c>
      <c r="D238" s="68"/>
      <c r="E238" s="69"/>
      <c r="F238" s="70"/>
      <c r="G238" s="69"/>
      <c r="H238" s="70"/>
      <c r="I238" s="71"/>
      <c r="J238" s="69"/>
      <c r="K238" s="69"/>
      <c r="L238" s="69"/>
      <c r="M238" s="69"/>
      <c r="N238" s="69"/>
      <c r="O238" s="69"/>
      <c r="P238" s="69"/>
      <c r="Q238" s="69"/>
      <c r="R238" s="69"/>
      <c r="S238" s="69"/>
      <c r="T238" s="69"/>
      <c r="U238" s="69"/>
      <c r="V238" s="69"/>
      <c r="W238" s="156"/>
      <c r="X238" s="156"/>
      <c r="Y238" s="156"/>
    </row>
    <row r="239">
      <c r="B239" s="68" t="s">
        <v>545</v>
      </c>
      <c r="C239" s="68">
        <v>0.0</v>
      </c>
      <c r="D239" s="68"/>
      <c r="E239" s="69"/>
      <c r="F239" s="70"/>
      <c r="G239" s="69"/>
      <c r="H239" s="70"/>
      <c r="I239" s="71"/>
      <c r="J239" s="69"/>
      <c r="K239" s="69"/>
      <c r="L239" s="69"/>
      <c r="M239" s="69"/>
      <c r="N239" s="69"/>
      <c r="O239" s="69"/>
      <c r="P239" s="69"/>
      <c r="Q239" s="69"/>
      <c r="R239" s="69"/>
      <c r="S239" s="69"/>
      <c r="T239" s="69"/>
      <c r="U239" s="69"/>
      <c r="V239" s="69"/>
      <c r="W239" s="156"/>
      <c r="X239" s="156"/>
      <c r="Y239" s="156"/>
    </row>
    <row r="240">
      <c r="B240" s="68" t="s">
        <v>546</v>
      </c>
      <c r="C240" s="68">
        <v>0.0</v>
      </c>
      <c r="D240" s="68"/>
      <c r="E240" s="69"/>
      <c r="F240" s="70"/>
      <c r="G240" s="69"/>
      <c r="H240" s="70"/>
      <c r="I240" s="71"/>
      <c r="J240" s="69"/>
      <c r="K240" s="69"/>
      <c r="L240" s="69"/>
      <c r="M240" s="69"/>
      <c r="N240" s="69"/>
      <c r="O240" s="69"/>
      <c r="P240" s="69"/>
      <c r="Q240" s="69"/>
      <c r="R240" s="69"/>
      <c r="S240" s="69"/>
      <c r="T240" s="69"/>
      <c r="U240" s="69"/>
      <c r="V240" s="69"/>
      <c r="W240" s="156"/>
      <c r="X240" s="156"/>
      <c r="Y240" s="156"/>
    </row>
    <row r="241">
      <c r="B241" s="68" t="s">
        <v>547</v>
      </c>
      <c r="C241" s="68">
        <v>0.0</v>
      </c>
      <c r="D241" s="68"/>
      <c r="E241" s="69"/>
      <c r="F241" s="70"/>
      <c r="G241" s="69"/>
      <c r="H241" s="70"/>
      <c r="I241" s="71"/>
      <c r="J241" s="69"/>
      <c r="K241" s="69"/>
      <c r="L241" s="69"/>
      <c r="M241" s="69"/>
      <c r="N241" s="69"/>
      <c r="O241" s="69"/>
      <c r="P241" s="69"/>
      <c r="Q241" s="69"/>
      <c r="R241" s="69"/>
      <c r="S241" s="69"/>
      <c r="T241" s="69"/>
      <c r="U241" s="69"/>
      <c r="V241" s="69"/>
      <c r="W241" s="156"/>
      <c r="X241" s="156"/>
      <c r="Y241" s="156"/>
    </row>
    <row r="242">
      <c r="B242" s="68" t="s">
        <v>548</v>
      </c>
      <c r="C242" s="68">
        <v>0.0</v>
      </c>
      <c r="D242" s="68"/>
      <c r="E242" s="69"/>
      <c r="F242" s="70"/>
      <c r="G242" s="69"/>
      <c r="H242" s="70"/>
      <c r="I242" s="71"/>
      <c r="J242" s="69"/>
      <c r="K242" s="69"/>
      <c r="L242" s="69"/>
      <c r="M242" s="69"/>
      <c r="N242" s="69"/>
      <c r="O242" s="69"/>
      <c r="P242" s="69"/>
      <c r="Q242" s="69"/>
      <c r="R242" s="69"/>
      <c r="S242" s="69"/>
      <c r="T242" s="69"/>
      <c r="U242" s="69"/>
      <c r="V242" s="69"/>
      <c r="W242" s="156"/>
      <c r="X242" s="156"/>
      <c r="Y242" s="156"/>
    </row>
    <row r="243">
      <c r="B243" s="68" t="s">
        <v>549</v>
      </c>
      <c r="C243" s="68">
        <v>0.0</v>
      </c>
      <c r="D243" s="68"/>
      <c r="E243" s="69"/>
      <c r="F243" s="70"/>
      <c r="G243" s="69"/>
      <c r="H243" s="70"/>
      <c r="I243" s="71"/>
      <c r="J243" s="69"/>
      <c r="K243" s="69"/>
      <c r="L243" s="69"/>
      <c r="M243" s="69"/>
      <c r="N243" s="69"/>
      <c r="O243" s="69"/>
      <c r="P243" s="69"/>
      <c r="Q243" s="69"/>
      <c r="R243" s="69"/>
      <c r="S243" s="69"/>
      <c r="T243" s="69"/>
      <c r="U243" s="69"/>
      <c r="V243" s="69"/>
      <c r="W243" s="156"/>
      <c r="X243" s="156"/>
      <c r="Y243" s="156"/>
    </row>
    <row r="244">
      <c r="B244" s="68" t="s">
        <v>550</v>
      </c>
      <c r="C244" s="68">
        <v>0.0</v>
      </c>
      <c r="D244" s="68"/>
      <c r="E244" s="69"/>
      <c r="F244" s="70"/>
      <c r="G244" s="69"/>
      <c r="H244" s="70"/>
      <c r="I244" s="71"/>
      <c r="J244" s="69"/>
      <c r="K244" s="69"/>
      <c r="L244" s="69"/>
      <c r="M244" s="69"/>
      <c r="N244" s="69"/>
      <c r="O244" s="69"/>
      <c r="P244" s="69"/>
      <c r="Q244" s="69"/>
      <c r="R244" s="69"/>
      <c r="S244" s="69"/>
      <c r="T244" s="69"/>
      <c r="U244" s="69"/>
      <c r="V244" s="69"/>
      <c r="W244" s="156"/>
      <c r="X244" s="156"/>
      <c r="Y244" s="156"/>
    </row>
    <row r="245">
      <c r="B245" s="68" t="s">
        <v>551</v>
      </c>
      <c r="C245" s="68">
        <v>0.0</v>
      </c>
      <c r="D245" s="68"/>
      <c r="E245" s="69"/>
      <c r="F245" s="70"/>
      <c r="G245" s="69"/>
      <c r="H245" s="70"/>
      <c r="I245" s="71"/>
      <c r="J245" s="69"/>
      <c r="K245" s="69"/>
      <c r="L245" s="69"/>
      <c r="M245" s="69"/>
      <c r="N245" s="69"/>
      <c r="O245" s="69"/>
      <c r="P245" s="69"/>
      <c r="Q245" s="69"/>
      <c r="R245" s="69"/>
      <c r="S245" s="69"/>
      <c r="T245" s="69"/>
      <c r="U245" s="69"/>
      <c r="V245" s="69"/>
      <c r="W245" s="156"/>
      <c r="X245" s="156"/>
      <c r="Y245" s="156"/>
    </row>
    <row r="246">
      <c r="A246" s="58" t="s">
        <v>130</v>
      </c>
      <c r="B246" s="157" t="s">
        <v>120</v>
      </c>
      <c r="C246" s="157">
        <v>12.0</v>
      </c>
      <c r="D246" s="157" t="str">
        <f>IFERROR(__xludf.DUMMYFUNCTION("ARRAY_CONSTRAIN(filter('All Platforms'!A3:T1802,'All Platforms'!A3:A1802=""SHW JV""),20,20)"),"#N/A")</f>
        <v>#N/A</v>
      </c>
      <c r="E246" s="64"/>
      <c r="F246" s="158"/>
      <c r="G246" s="64"/>
      <c r="H246" s="158"/>
      <c r="I246" s="159"/>
      <c r="J246" s="64"/>
      <c r="K246" s="64"/>
      <c r="L246" s="64"/>
      <c r="M246" s="64"/>
      <c r="N246" s="64"/>
      <c r="O246" s="64"/>
      <c r="P246" s="64"/>
      <c r="Q246" s="64"/>
      <c r="R246" s="64"/>
      <c r="S246" s="64"/>
      <c r="T246" s="64"/>
      <c r="U246" s="64"/>
      <c r="V246" s="64"/>
      <c r="W246" s="57"/>
      <c r="X246" s="57"/>
      <c r="Y246" s="57"/>
    </row>
    <row r="247">
      <c r="B247" s="157" t="s">
        <v>121</v>
      </c>
      <c r="C247" s="157">
        <v>9.0</v>
      </c>
      <c r="D247" s="157"/>
      <c r="E247" s="64"/>
      <c r="F247" s="158"/>
      <c r="G247" s="64"/>
      <c r="H247" s="158"/>
      <c r="I247" s="159"/>
      <c r="J247" s="64"/>
      <c r="K247" s="64"/>
      <c r="L247" s="64"/>
      <c r="M247" s="64"/>
      <c r="N247" s="64"/>
      <c r="O247" s="64"/>
      <c r="P247" s="64"/>
      <c r="Q247" s="64"/>
      <c r="R247" s="64"/>
      <c r="S247" s="64"/>
      <c r="T247" s="64"/>
      <c r="U247" s="64"/>
      <c r="V247" s="64"/>
      <c r="W247" s="57"/>
      <c r="X247" s="57"/>
      <c r="Y247" s="57"/>
    </row>
    <row r="248">
      <c r="B248" s="157" t="s">
        <v>122</v>
      </c>
      <c r="C248" s="157">
        <f>if(countif(F246:F247,F248)&gt;1,0,8)</f>
        <v>8</v>
      </c>
      <c r="D248" s="157"/>
      <c r="E248" s="64"/>
      <c r="F248" s="158"/>
      <c r="G248" s="64"/>
      <c r="H248" s="158"/>
      <c r="I248" s="159"/>
      <c r="J248" s="64"/>
      <c r="K248" s="64"/>
      <c r="L248" s="64"/>
      <c r="M248" s="64"/>
      <c r="N248" s="64"/>
      <c r="O248" s="64"/>
      <c r="P248" s="64"/>
      <c r="Q248" s="64"/>
      <c r="R248" s="64"/>
      <c r="S248" s="64"/>
      <c r="T248" s="64"/>
      <c r="U248" s="64"/>
      <c r="V248" s="64"/>
      <c r="W248" s="57"/>
      <c r="X248" s="57"/>
      <c r="Y248" s="57"/>
    </row>
    <row r="249">
      <c r="B249" s="157" t="s">
        <v>123</v>
      </c>
      <c r="C249" s="157">
        <f>if(countif(F246:F248,F249)&gt;1,0,7)</f>
        <v>7</v>
      </c>
      <c r="D249" s="157"/>
      <c r="E249" s="64"/>
      <c r="F249" s="158"/>
      <c r="G249" s="64"/>
      <c r="H249" s="158"/>
      <c r="I249" s="159"/>
      <c r="J249" s="64"/>
      <c r="K249" s="64"/>
      <c r="L249" s="64"/>
      <c r="M249" s="64"/>
      <c r="N249" s="64"/>
      <c r="O249" s="64"/>
      <c r="P249" s="64"/>
      <c r="Q249" s="64"/>
      <c r="R249" s="64"/>
      <c r="S249" s="64"/>
      <c r="T249" s="64"/>
      <c r="U249" s="64"/>
      <c r="V249" s="64"/>
      <c r="W249" s="57"/>
      <c r="X249" s="57"/>
      <c r="Y249" s="57"/>
    </row>
    <row r="250">
      <c r="B250" s="157" t="s">
        <v>124</v>
      </c>
      <c r="C250" s="157">
        <f>if(countif(F246:F249,F250)&gt;1,0,6)</f>
        <v>6</v>
      </c>
      <c r="D250" s="157"/>
      <c r="E250" s="64"/>
      <c r="F250" s="158"/>
      <c r="G250" s="64"/>
      <c r="H250" s="158"/>
      <c r="I250" s="159"/>
      <c r="J250" s="64"/>
      <c r="K250" s="64"/>
      <c r="L250" s="64"/>
      <c r="M250" s="64"/>
      <c r="N250" s="64"/>
      <c r="O250" s="64"/>
      <c r="P250" s="64"/>
      <c r="Q250" s="64"/>
      <c r="R250" s="64"/>
      <c r="S250" s="64"/>
      <c r="T250" s="64"/>
      <c r="U250" s="64"/>
      <c r="V250" s="64"/>
      <c r="W250" s="57"/>
      <c r="X250" s="57"/>
      <c r="Y250" s="57"/>
    </row>
    <row r="251">
      <c r="B251" s="157" t="s">
        <v>125</v>
      </c>
      <c r="C251" s="157">
        <f>if(countif(F246:F250,F251)&gt;1,0,5)</f>
        <v>5</v>
      </c>
      <c r="D251" s="157"/>
      <c r="E251" s="64"/>
      <c r="F251" s="158"/>
      <c r="G251" s="64"/>
      <c r="H251" s="158"/>
      <c r="I251" s="159"/>
      <c r="J251" s="64"/>
      <c r="K251" s="64"/>
      <c r="L251" s="64"/>
      <c r="M251" s="64"/>
      <c r="N251" s="64"/>
      <c r="O251" s="64"/>
      <c r="P251" s="64"/>
      <c r="Q251" s="64"/>
      <c r="R251" s="64"/>
      <c r="S251" s="64"/>
      <c r="T251" s="64"/>
      <c r="U251" s="64"/>
      <c r="V251" s="64"/>
      <c r="W251" s="57"/>
      <c r="X251" s="57"/>
      <c r="Y251" s="57"/>
    </row>
    <row r="252">
      <c r="B252" s="157" t="s">
        <v>126</v>
      </c>
      <c r="C252" s="157">
        <f>if(countif(F246:F251,F252)&gt;1,0,4)</f>
        <v>4</v>
      </c>
      <c r="D252" s="157"/>
      <c r="E252" s="64"/>
      <c r="F252" s="158"/>
      <c r="G252" s="64"/>
      <c r="H252" s="158"/>
      <c r="I252" s="159"/>
      <c r="J252" s="64"/>
      <c r="K252" s="64"/>
      <c r="L252" s="64"/>
      <c r="M252" s="64"/>
      <c r="N252" s="64"/>
      <c r="O252" s="64"/>
      <c r="P252" s="64"/>
      <c r="Q252" s="64"/>
      <c r="R252" s="64"/>
      <c r="S252" s="64"/>
      <c r="T252" s="64"/>
      <c r="U252" s="64"/>
      <c r="V252" s="64"/>
      <c r="W252" s="57"/>
      <c r="X252" s="57"/>
      <c r="Y252" s="57"/>
    </row>
    <row r="253">
      <c r="B253" s="157" t="s">
        <v>127</v>
      </c>
      <c r="C253" s="157">
        <f>if(countif(F246:F252,F253)&gt;1,0,3)</f>
        <v>3</v>
      </c>
      <c r="D253" s="157"/>
      <c r="E253" s="64"/>
      <c r="F253" s="158"/>
      <c r="G253" s="64"/>
      <c r="H253" s="158"/>
      <c r="I253" s="159"/>
      <c r="J253" s="64"/>
      <c r="K253" s="64"/>
      <c r="L253" s="64"/>
      <c r="M253" s="64"/>
      <c r="N253" s="64"/>
      <c r="O253" s="64"/>
      <c r="P253" s="64"/>
      <c r="Q253" s="64"/>
      <c r="R253" s="64"/>
      <c r="S253" s="64"/>
      <c r="T253" s="64"/>
      <c r="U253" s="64"/>
      <c r="V253" s="64"/>
      <c r="W253" s="57"/>
      <c r="X253" s="57"/>
      <c r="Y253" s="57"/>
    </row>
    <row r="254">
      <c r="B254" s="157" t="s">
        <v>128</v>
      </c>
      <c r="C254" s="157">
        <f>if(countif(F246:F253,F254)&gt;1,0,2)</f>
        <v>2</v>
      </c>
      <c r="D254" s="157"/>
      <c r="E254" s="64"/>
      <c r="F254" s="158"/>
      <c r="G254" s="64"/>
      <c r="H254" s="158"/>
      <c r="I254" s="159"/>
      <c r="J254" s="64"/>
      <c r="K254" s="64"/>
      <c r="L254" s="64"/>
      <c r="M254" s="64"/>
      <c r="N254" s="64"/>
      <c r="O254" s="64"/>
      <c r="P254" s="64"/>
      <c r="Q254" s="64"/>
      <c r="R254" s="64"/>
      <c r="S254" s="64"/>
      <c r="T254" s="64"/>
      <c r="U254" s="64"/>
      <c r="V254" s="64"/>
      <c r="W254" s="57"/>
      <c r="X254" s="57"/>
      <c r="Y254" s="57"/>
    </row>
    <row r="255">
      <c r="B255" s="165" t="s">
        <v>129</v>
      </c>
      <c r="C255" s="166">
        <f>if(countif(F246:F254,F255)&gt;1,0,1)</f>
        <v>1</v>
      </c>
      <c r="D255" s="166"/>
      <c r="E255" s="167"/>
      <c r="F255" s="168"/>
      <c r="G255" s="167"/>
      <c r="H255" s="168"/>
      <c r="I255" s="169"/>
      <c r="J255" s="167"/>
      <c r="K255" s="167"/>
      <c r="L255" s="167"/>
      <c r="M255" s="167"/>
      <c r="N255" s="167"/>
      <c r="O255" s="167"/>
      <c r="P255" s="167"/>
      <c r="Q255" s="167"/>
      <c r="R255" s="167"/>
      <c r="S255" s="167"/>
      <c r="T255" s="167"/>
      <c r="U255" s="167"/>
      <c r="V255" s="170"/>
      <c r="W255" s="57"/>
      <c r="X255" s="57"/>
      <c r="Y255" s="57"/>
    </row>
    <row r="256">
      <c r="A256" s="67" t="s">
        <v>130</v>
      </c>
      <c r="B256" s="171" t="s">
        <v>542</v>
      </c>
      <c r="C256" s="172">
        <v>0.0</v>
      </c>
      <c r="D256" s="172"/>
      <c r="E256" s="173"/>
      <c r="F256" s="174"/>
      <c r="G256" s="173"/>
      <c r="H256" s="174"/>
      <c r="I256" s="173"/>
      <c r="J256" s="173"/>
      <c r="K256" s="173"/>
      <c r="L256" s="173"/>
      <c r="M256" s="173"/>
      <c r="N256" s="173"/>
      <c r="O256" s="173"/>
      <c r="P256" s="173"/>
      <c r="Q256" s="173"/>
      <c r="R256" s="173"/>
      <c r="S256" s="173"/>
      <c r="T256" s="173"/>
      <c r="U256" s="173"/>
      <c r="V256" s="175"/>
      <c r="W256" s="156"/>
      <c r="X256" s="156"/>
      <c r="Y256" s="156"/>
    </row>
    <row r="257">
      <c r="B257" s="68" t="s">
        <v>543</v>
      </c>
      <c r="C257" s="68">
        <v>0.0</v>
      </c>
      <c r="D257" s="68"/>
      <c r="E257" s="69"/>
      <c r="F257" s="70"/>
      <c r="G257" s="69"/>
      <c r="H257" s="70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156"/>
      <c r="X257" s="156"/>
      <c r="Y257" s="156"/>
    </row>
    <row r="258">
      <c r="B258" s="68" t="s">
        <v>544</v>
      </c>
      <c r="C258" s="68">
        <v>0.0</v>
      </c>
      <c r="D258" s="68"/>
      <c r="E258" s="69"/>
      <c r="F258" s="70"/>
      <c r="G258" s="69"/>
      <c r="H258" s="70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156"/>
      <c r="X258" s="156"/>
      <c r="Y258" s="156"/>
    </row>
    <row r="259">
      <c r="B259" s="68" t="s">
        <v>545</v>
      </c>
      <c r="C259" s="68">
        <v>0.0</v>
      </c>
      <c r="D259" s="68"/>
      <c r="E259" s="69"/>
      <c r="F259" s="70"/>
      <c r="G259" s="69"/>
      <c r="H259" s="70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156"/>
      <c r="X259" s="156"/>
      <c r="Y259" s="156"/>
    </row>
    <row r="260">
      <c r="B260" s="68" t="s">
        <v>546</v>
      </c>
      <c r="C260" s="68">
        <v>0.0</v>
      </c>
      <c r="D260" s="68"/>
      <c r="E260" s="69"/>
      <c r="F260" s="70"/>
      <c r="G260" s="69"/>
      <c r="H260" s="70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156"/>
      <c r="X260" s="156"/>
      <c r="Y260" s="156"/>
    </row>
    <row r="261">
      <c r="B261" s="68" t="s">
        <v>547</v>
      </c>
      <c r="C261" s="68">
        <v>0.0</v>
      </c>
      <c r="D261" s="68"/>
      <c r="E261" s="69"/>
      <c r="F261" s="70"/>
      <c r="G261" s="69"/>
      <c r="H261" s="70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156"/>
      <c r="X261" s="156"/>
      <c r="Y261" s="156"/>
    </row>
    <row r="262">
      <c r="B262" s="68" t="s">
        <v>548</v>
      </c>
      <c r="C262" s="68">
        <v>0.0</v>
      </c>
      <c r="D262" s="68"/>
      <c r="E262" s="69"/>
      <c r="F262" s="70"/>
      <c r="G262" s="69"/>
      <c r="H262" s="70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156"/>
      <c r="X262" s="156"/>
      <c r="Y262" s="156"/>
    </row>
    <row r="263">
      <c r="B263" s="68" t="s">
        <v>549</v>
      </c>
      <c r="C263" s="68">
        <v>0.0</v>
      </c>
      <c r="D263" s="68"/>
      <c r="E263" s="69"/>
      <c r="F263" s="70"/>
      <c r="G263" s="69"/>
      <c r="H263" s="70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156"/>
      <c r="X263" s="156"/>
      <c r="Y263" s="156"/>
    </row>
    <row r="264">
      <c r="B264" s="68" t="s">
        <v>550</v>
      </c>
      <c r="C264" s="68">
        <v>0.0</v>
      </c>
      <c r="D264" s="68"/>
      <c r="E264" s="69"/>
      <c r="F264" s="70"/>
      <c r="G264" s="69"/>
      <c r="H264" s="70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156"/>
      <c r="X264" s="156"/>
      <c r="Y264" s="156"/>
    </row>
    <row r="265">
      <c r="B265" s="68" t="s">
        <v>551</v>
      </c>
      <c r="C265" s="68">
        <v>0.0</v>
      </c>
      <c r="D265" s="68"/>
      <c r="E265" s="69"/>
      <c r="F265" s="70"/>
      <c r="G265" s="69"/>
      <c r="H265" s="70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156"/>
      <c r="X265" s="156"/>
      <c r="Y265" s="156"/>
    </row>
  </sheetData>
  <mergeCells count="31">
    <mergeCell ref="A246:A255"/>
    <mergeCell ref="A256:A265"/>
    <mergeCell ref="A166:A175"/>
    <mergeCell ref="A156:A165"/>
    <mergeCell ref="A96:A105"/>
    <mergeCell ref="A106:A115"/>
    <mergeCell ref="A46:A55"/>
    <mergeCell ref="A76:A85"/>
    <mergeCell ref="A86:A95"/>
    <mergeCell ref="A66:A75"/>
    <mergeCell ref="A56:A65"/>
    <mergeCell ref="A196:A205"/>
    <mergeCell ref="A206:A215"/>
    <mergeCell ref="A136:A145"/>
    <mergeCell ref="A146:A155"/>
    <mergeCell ref="A226:A235"/>
    <mergeCell ref="A236:A245"/>
    <mergeCell ref="A186:A195"/>
    <mergeCell ref="A176:A185"/>
    <mergeCell ref="A116:A125"/>
    <mergeCell ref="A126:A135"/>
    <mergeCell ref="A216:A225"/>
    <mergeCell ref="A4:W4"/>
    <mergeCell ref="A1:W3"/>
    <mergeCell ref="A36:A45"/>
    <mergeCell ref="A26:A35"/>
    <mergeCell ref="A6:A15"/>
    <mergeCell ref="A16:A25"/>
    <mergeCell ref="I5:K5"/>
    <mergeCell ref="M5:O5"/>
    <mergeCell ref="Q5:S5"/>
  </mergeCells>
  <conditionalFormatting sqref="U5">
    <cfRule type="containsText" dxfId="0" priority="1" operator="containsText" text="There are same totals">
      <formula>NOT(ISERROR(SEARCH(("There are same totals"),(U5))))</formula>
    </cfRule>
  </conditionalFormatting>
  <conditionalFormatting sqref="U6:U25">
    <cfRule type="expression" dxfId="1" priority="2">
      <formula>countif(U$6:U25,U6:U25)&gt;1</formula>
    </cfRule>
  </conditionalFormatting>
  <conditionalFormatting sqref="U26:U45">
    <cfRule type="expression" dxfId="1" priority="3">
      <formula>countif(U$26:U45,U26:U45)&gt;1</formula>
    </cfRule>
  </conditionalFormatting>
  <conditionalFormatting sqref="U46:U65">
    <cfRule type="expression" dxfId="1" priority="4">
      <formula>countif(U$46:U65,U46:U65)&gt;1</formula>
    </cfRule>
  </conditionalFormatting>
  <conditionalFormatting sqref="U66:U85">
    <cfRule type="expression" dxfId="1" priority="5">
      <formula>countif(U$66:U85,U66:U85)&gt;1</formula>
    </cfRule>
  </conditionalFormatting>
  <conditionalFormatting sqref="U86:U105">
    <cfRule type="expression" dxfId="1" priority="6">
      <formula>countif(U$86:U105,U86:U105)&gt;1</formula>
    </cfRule>
  </conditionalFormatting>
  <conditionalFormatting sqref="U106:U125">
    <cfRule type="expression" dxfId="1" priority="7">
      <formula>countif(U$106:U125,U106:U125)&gt;1</formula>
    </cfRule>
  </conditionalFormatting>
  <conditionalFormatting sqref="U126:U145">
    <cfRule type="expression" dxfId="1" priority="8">
      <formula>countif(U$126:U145,U126:U145)&gt;1</formula>
    </cfRule>
  </conditionalFormatting>
  <conditionalFormatting sqref="U146:U165">
    <cfRule type="expression" dxfId="1" priority="9">
      <formula>countif($U$146:$U$165,$U$146:$U$165)&gt;1</formula>
    </cfRule>
  </conditionalFormatting>
  <conditionalFormatting sqref="U166:U185">
    <cfRule type="expression" dxfId="1" priority="10">
      <formula>countif(U$166:U185,U166:U185)&gt;1</formula>
    </cfRule>
  </conditionalFormatting>
  <conditionalFormatting sqref="U186:U205">
    <cfRule type="expression" dxfId="1" priority="11">
      <formula>countif(U$186:U205,U186:U205)&gt;1</formula>
    </cfRule>
  </conditionalFormatting>
  <conditionalFormatting sqref="U206:U225">
    <cfRule type="expression" dxfId="1" priority="12">
      <formula>countif(U$206:U225,U206:U225)&gt;1</formula>
    </cfRule>
  </conditionalFormatting>
  <conditionalFormatting sqref="U226:U245">
    <cfRule type="expression" dxfId="1" priority="13">
      <formula>countif(U$226:U245,U226:U245)&gt;1</formula>
    </cfRule>
  </conditionalFormatting>
  <conditionalFormatting sqref="U246:U265">
    <cfRule type="expression" dxfId="1" priority="14">
      <formula>countif(U$246:U265,U246:U265)&gt;1</formula>
    </cfRule>
  </conditionalFormatting>
  <conditionalFormatting sqref="Q6:T265">
    <cfRule type="endsWith" dxfId="2" priority="15" operator="endsWith" text="g">
      <formula>RIGHT((Q6),LEN("g"))=("g")</formula>
    </cfRule>
  </conditionalFormatting>
  <conditionalFormatting sqref="Q6:T265">
    <cfRule type="endsWith" dxfId="1" priority="16" operator="endsWith" text="x">
      <formula>RIGHT((Q6),LEN("x"))=("x")</formula>
    </cfRule>
  </conditionalFormatting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8.71"/>
  </cols>
  <sheetData>
    <row r="1">
      <c r="A1" s="34" t="s">
        <v>34</v>
      </c>
    </row>
    <row r="2">
      <c r="A2" s="37" t="str">
        <f t="array" ref="A2:I601">sort('Enter Platform Here'!B3:J602,1,true)</f>
        <v>#N/A</v>
      </c>
      <c r="B2" s="13"/>
      <c r="C2" s="13"/>
      <c r="D2" s="13"/>
      <c r="E2" s="37"/>
      <c r="F2" s="13"/>
      <c r="G2" s="37"/>
      <c r="H2" s="37"/>
      <c r="I2" s="37"/>
    </row>
    <row r="3">
      <c r="A3" s="37" t="e">
        <v>#N/A</v>
      </c>
      <c r="B3" s="13"/>
      <c r="C3" s="13"/>
      <c r="D3" s="13"/>
      <c r="E3" s="37"/>
      <c r="F3" s="13"/>
      <c r="G3" s="37"/>
      <c r="H3" s="37"/>
      <c r="I3" s="37"/>
    </row>
    <row r="4">
      <c r="A4" s="37" t="e">
        <v>#N/A</v>
      </c>
      <c r="B4" s="13"/>
      <c r="C4" s="13"/>
      <c r="D4" s="13"/>
      <c r="E4" s="37"/>
      <c r="F4" s="13"/>
      <c r="G4" s="37"/>
      <c r="H4" s="37"/>
      <c r="I4" s="37"/>
    </row>
    <row r="5">
      <c r="A5" s="37" t="e">
        <v>#N/A</v>
      </c>
      <c r="B5" s="13"/>
      <c r="C5" s="13"/>
      <c r="D5" s="13"/>
      <c r="E5" s="37"/>
      <c r="F5" s="13"/>
      <c r="G5" s="37"/>
      <c r="H5" s="37"/>
      <c r="I5" s="37"/>
    </row>
    <row r="6">
      <c r="A6" s="37" t="e">
        <v>#N/A</v>
      </c>
      <c r="B6" s="13"/>
      <c r="C6" s="13"/>
      <c r="D6" s="13"/>
      <c r="E6" s="37"/>
      <c r="F6" s="13"/>
      <c r="G6" s="37"/>
      <c r="H6" s="37"/>
      <c r="I6" s="37"/>
    </row>
    <row r="7">
      <c r="A7" s="37" t="e">
        <v>#N/A</v>
      </c>
      <c r="B7" s="13"/>
      <c r="C7" s="13"/>
      <c r="D7" s="13"/>
      <c r="E7" s="37"/>
      <c r="F7" s="13"/>
      <c r="G7" s="37"/>
      <c r="H7" s="37"/>
      <c r="I7" s="37"/>
    </row>
    <row r="8">
      <c r="A8" s="37" t="e">
        <v>#N/A</v>
      </c>
      <c r="B8" s="13"/>
      <c r="C8" s="13"/>
      <c r="D8" s="13"/>
      <c r="E8" s="37"/>
      <c r="F8" s="13"/>
      <c r="G8" s="37"/>
      <c r="H8" s="37"/>
      <c r="I8" s="37"/>
    </row>
    <row r="9">
      <c r="A9" s="37" t="e">
        <v>#N/A</v>
      </c>
      <c r="B9" s="13"/>
      <c r="C9" s="13"/>
      <c r="D9" s="13"/>
      <c r="E9" s="37"/>
      <c r="F9" s="13"/>
      <c r="G9" s="37"/>
      <c r="H9" s="37"/>
      <c r="I9" s="37"/>
    </row>
    <row r="10">
      <c r="A10" s="37" t="e">
        <v>#N/A</v>
      </c>
      <c r="B10" s="13"/>
      <c r="C10" s="13"/>
      <c r="D10" s="13"/>
      <c r="E10" s="37"/>
      <c r="F10" s="13"/>
      <c r="G10" s="37"/>
      <c r="H10" s="37"/>
      <c r="I10" s="37"/>
    </row>
    <row r="11">
      <c r="A11" s="37" t="e">
        <v>#N/A</v>
      </c>
      <c r="B11" s="13"/>
      <c r="C11" s="13"/>
      <c r="D11" s="13"/>
      <c r="E11" s="37"/>
      <c r="F11" s="13"/>
      <c r="G11" s="37"/>
      <c r="H11" s="37"/>
      <c r="I11" s="37"/>
    </row>
    <row r="12">
      <c r="A12" s="37" t="e">
        <v>#N/A</v>
      </c>
      <c r="B12" s="13"/>
      <c r="C12" s="13"/>
      <c r="D12" s="13"/>
      <c r="E12" s="37"/>
      <c r="F12" s="13"/>
      <c r="G12" s="37"/>
      <c r="H12" s="37"/>
      <c r="I12" s="37"/>
    </row>
    <row r="13">
      <c r="A13" s="37" t="e">
        <v>#N/A</v>
      </c>
      <c r="B13" s="13"/>
      <c r="C13" s="13"/>
      <c r="D13" s="13"/>
      <c r="E13" s="37"/>
      <c r="F13" s="13"/>
      <c r="G13" s="37"/>
      <c r="H13" s="37"/>
      <c r="I13" s="37"/>
    </row>
    <row r="14">
      <c r="A14" s="37" t="e">
        <v>#N/A</v>
      </c>
      <c r="B14" s="13"/>
      <c r="C14" s="13"/>
      <c r="D14" s="13"/>
      <c r="E14" s="37"/>
      <c r="F14" s="13"/>
      <c r="G14" s="37"/>
      <c r="H14" s="37"/>
      <c r="I14" s="37"/>
    </row>
    <row r="15">
      <c r="A15" s="37" t="e">
        <v>#N/A</v>
      </c>
      <c r="B15" s="13"/>
      <c r="C15" s="13"/>
      <c r="D15" s="13"/>
      <c r="E15" s="37"/>
      <c r="F15" s="13"/>
      <c r="G15" s="37"/>
      <c r="H15" s="37"/>
      <c r="I15" s="37"/>
    </row>
    <row r="16">
      <c r="A16" s="37" t="e">
        <v>#N/A</v>
      </c>
      <c r="B16" s="13"/>
      <c r="C16" s="13"/>
      <c r="D16" s="13"/>
      <c r="E16" s="37"/>
      <c r="F16" s="13"/>
      <c r="G16" s="37"/>
      <c r="H16" s="37"/>
      <c r="I16" s="37"/>
    </row>
    <row r="17">
      <c r="A17" s="37" t="e">
        <v>#N/A</v>
      </c>
      <c r="B17" s="13"/>
      <c r="C17" s="13"/>
      <c r="D17" s="13"/>
      <c r="E17" s="37"/>
      <c r="F17" s="13"/>
      <c r="G17" s="37"/>
      <c r="H17" s="37"/>
      <c r="I17" s="37"/>
    </row>
    <row r="18">
      <c r="A18" s="37" t="e">
        <v>#N/A</v>
      </c>
      <c r="B18" s="13"/>
      <c r="C18" s="13"/>
      <c r="D18" s="13"/>
      <c r="E18" s="37"/>
      <c r="F18" s="13"/>
      <c r="G18" s="37"/>
      <c r="H18" s="37"/>
      <c r="I18" s="37"/>
    </row>
    <row r="19">
      <c r="A19" s="37" t="e">
        <v>#N/A</v>
      </c>
      <c r="B19" s="13"/>
      <c r="C19" s="13"/>
      <c r="D19" s="13"/>
      <c r="E19" s="37"/>
      <c r="F19" s="13"/>
      <c r="G19" s="37"/>
      <c r="H19" s="37"/>
      <c r="I19" s="37"/>
    </row>
    <row r="20">
      <c r="A20" s="37" t="e">
        <v>#N/A</v>
      </c>
      <c r="B20" s="13"/>
      <c r="C20" s="13"/>
      <c r="D20" s="13"/>
      <c r="E20" s="37"/>
      <c r="F20" s="13"/>
      <c r="G20" s="37"/>
      <c r="H20" s="37"/>
      <c r="I20" s="37"/>
    </row>
    <row r="21">
      <c r="A21" s="37" t="e">
        <v>#N/A</v>
      </c>
      <c r="B21" s="13"/>
      <c r="C21" s="13"/>
      <c r="D21" s="13"/>
      <c r="E21" s="37"/>
      <c r="F21" s="13"/>
      <c r="G21" s="37"/>
      <c r="H21" s="37"/>
      <c r="I21" s="37"/>
    </row>
    <row r="22">
      <c r="A22" s="37" t="e">
        <v>#N/A</v>
      </c>
      <c r="B22" s="13"/>
      <c r="C22" s="13"/>
      <c r="D22" s="13"/>
      <c r="E22" s="37"/>
      <c r="F22" s="13"/>
      <c r="G22" s="37"/>
      <c r="H22" s="37"/>
      <c r="I22" s="37"/>
    </row>
    <row r="23">
      <c r="A23" s="37" t="e">
        <v>#N/A</v>
      </c>
      <c r="B23" s="13"/>
      <c r="C23" s="13"/>
      <c r="D23" s="13"/>
      <c r="E23" s="37"/>
      <c r="F23" s="13"/>
      <c r="G23" s="37"/>
      <c r="H23" s="37"/>
      <c r="I23" s="37"/>
    </row>
    <row r="24">
      <c r="A24" s="37" t="e">
        <v>#N/A</v>
      </c>
      <c r="B24" s="13"/>
      <c r="C24" s="13"/>
      <c r="D24" s="13"/>
      <c r="E24" s="37"/>
      <c r="F24" s="13"/>
      <c r="G24" s="37"/>
      <c r="H24" s="37"/>
      <c r="I24" s="37"/>
    </row>
    <row r="25">
      <c r="A25" s="37" t="e">
        <v>#N/A</v>
      </c>
      <c r="B25" s="13"/>
      <c r="C25" s="13"/>
      <c r="D25" s="13"/>
      <c r="E25" s="37"/>
      <c r="F25" s="13"/>
      <c r="G25" s="37"/>
      <c r="H25" s="37"/>
      <c r="I25" s="37"/>
    </row>
    <row r="26">
      <c r="A26" s="37" t="e">
        <v>#N/A</v>
      </c>
      <c r="B26" s="13"/>
      <c r="C26" s="13"/>
      <c r="D26" s="13"/>
      <c r="E26" s="37"/>
      <c r="F26" s="13"/>
      <c r="G26" s="37"/>
      <c r="H26" s="37"/>
      <c r="I26" s="37"/>
    </row>
    <row r="27">
      <c r="A27" s="37" t="e">
        <v>#N/A</v>
      </c>
      <c r="B27" s="13"/>
      <c r="C27" s="13"/>
      <c r="D27" s="13"/>
      <c r="E27" s="37"/>
      <c r="F27" s="13"/>
      <c r="G27" s="37"/>
      <c r="H27" s="37"/>
      <c r="I27" s="37"/>
    </row>
    <row r="28">
      <c r="A28" s="37" t="e">
        <v>#N/A</v>
      </c>
      <c r="B28" s="13"/>
      <c r="C28" s="13"/>
      <c r="D28" s="13"/>
      <c r="E28" s="37"/>
      <c r="F28" s="13"/>
      <c r="G28" s="37"/>
      <c r="H28" s="37"/>
      <c r="I28" s="37"/>
    </row>
    <row r="29">
      <c r="A29" s="37" t="e">
        <v>#N/A</v>
      </c>
      <c r="B29" s="13"/>
      <c r="C29" s="13"/>
      <c r="D29" s="13"/>
      <c r="E29" s="37"/>
      <c r="F29" s="13"/>
      <c r="G29" s="37"/>
      <c r="H29" s="37"/>
      <c r="I29" s="37"/>
    </row>
    <row r="30">
      <c r="A30" s="37" t="e">
        <v>#N/A</v>
      </c>
      <c r="B30" s="13"/>
      <c r="C30" s="13"/>
      <c r="D30" s="13"/>
      <c r="E30" s="37"/>
      <c r="F30" s="13"/>
      <c r="G30" s="37"/>
      <c r="H30" s="37"/>
      <c r="I30" s="37"/>
    </row>
    <row r="31">
      <c r="A31" s="37" t="e">
        <v>#N/A</v>
      </c>
      <c r="B31" s="13"/>
      <c r="C31" s="13"/>
      <c r="D31" s="13"/>
      <c r="E31" s="37"/>
      <c r="F31" s="13"/>
      <c r="G31" s="37"/>
      <c r="H31" s="37"/>
      <c r="I31" s="37"/>
    </row>
    <row r="32">
      <c r="A32" s="37" t="e">
        <v>#N/A</v>
      </c>
      <c r="B32" s="13"/>
      <c r="C32" s="13"/>
      <c r="D32" s="13"/>
      <c r="E32" s="37"/>
      <c r="F32" s="13"/>
      <c r="G32" s="37"/>
      <c r="H32" s="37"/>
      <c r="I32" s="37"/>
    </row>
    <row r="33">
      <c r="A33" s="37" t="e">
        <v>#N/A</v>
      </c>
      <c r="B33" s="13"/>
      <c r="C33" s="13"/>
      <c r="D33" s="13"/>
      <c r="E33" s="37"/>
      <c r="F33" s="13"/>
      <c r="G33" s="37"/>
      <c r="H33" s="37"/>
      <c r="I33" s="37"/>
    </row>
    <row r="34">
      <c r="A34" s="37" t="e">
        <v>#N/A</v>
      </c>
      <c r="B34" s="13"/>
      <c r="C34" s="13"/>
      <c r="D34" s="13"/>
      <c r="E34" s="37"/>
      <c r="F34" s="13"/>
      <c r="G34" s="37"/>
      <c r="H34" s="37"/>
      <c r="I34" s="37"/>
    </row>
    <row r="35">
      <c r="A35" s="37" t="e">
        <v>#N/A</v>
      </c>
      <c r="B35" s="13"/>
      <c r="C35" s="13"/>
      <c r="D35" s="13"/>
      <c r="E35" s="37"/>
      <c r="F35" s="13"/>
      <c r="G35" s="37"/>
      <c r="H35" s="37"/>
      <c r="I35" s="37"/>
    </row>
    <row r="36">
      <c r="A36" s="37" t="e">
        <v>#N/A</v>
      </c>
      <c r="B36" s="13"/>
      <c r="C36" s="13"/>
      <c r="D36" s="13"/>
      <c r="E36" s="37"/>
      <c r="F36" s="13"/>
      <c r="G36" s="37"/>
      <c r="H36" s="37"/>
      <c r="I36" s="37"/>
    </row>
    <row r="37">
      <c r="A37" s="37" t="e">
        <v>#N/A</v>
      </c>
      <c r="B37" s="13"/>
      <c r="C37" s="13"/>
      <c r="D37" s="13"/>
      <c r="E37" s="37"/>
      <c r="F37" s="13"/>
      <c r="G37" s="37"/>
      <c r="H37" s="37"/>
      <c r="I37" s="37"/>
    </row>
    <row r="38">
      <c r="A38" s="37" t="e">
        <v>#N/A</v>
      </c>
      <c r="B38" s="13"/>
      <c r="C38" s="13"/>
      <c r="D38" s="13"/>
      <c r="E38" s="37"/>
      <c r="F38" s="13"/>
      <c r="G38" s="37"/>
      <c r="H38" s="37"/>
      <c r="I38" s="37"/>
    </row>
    <row r="39">
      <c r="A39" s="37" t="e">
        <v>#N/A</v>
      </c>
      <c r="B39" s="13"/>
      <c r="C39" s="13"/>
      <c r="D39" s="13"/>
      <c r="E39" s="37"/>
      <c r="F39" s="13"/>
      <c r="G39" s="37"/>
      <c r="H39" s="37"/>
      <c r="I39" s="37"/>
    </row>
    <row r="40">
      <c r="A40" s="37" t="e">
        <v>#N/A</v>
      </c>
      <c r="B40" s="13"/>
      <c r="C40" s="13"/>
      <c r="D40" s="13"/>
      <c r="E40" s="37"/>
      <c r="F40" s="13"/>
      <c r="G40" s="37"/>
      <c r="H40" s="37"/>
      <c r="I40" s="37"/>
    </row>
    <row r="41">
      <c r="A41" s="37" t="e">
        <v>#N/A</v>
      </c>
      <c r="B41" s="13"/>
      <c r="C41" s="13"/>
      <c r="D41" s="13"/>
      <c r="E41" s="37"/>
      <c r="F41" s="13"/>
      <c r="G41" s="37"/>
      <c r="H41" s="37"/>
      <c r="I41" s="37"/>
    </row>
    <row r="42">
      <c r="A42" s="37" t="e">
        <v>#N/A</v>
      </c>
      <c r="B42" s="13"/>
      <c r="C42" s="13"/>
      <c r="D42" s="13"/>
      <c r="E42" s="37"/>
      <c r="F42" s="13"/>
      <c r="G42" s="37"/>
      <c r="H42" s="37"/>
      <c r="I42" s="37"/>
    </row>
    <row r="43">
      <c r="A43" s="37" t="e">
        <v>#N/A</v>
      </c>
      <c r="B43" s="13"/>
      <c r="C43" s="13"/>
      <c r="D43" s="13"/>
      <c r="E43" s="37"/>
      <c r="F43" s="13"/>
      <c r="G43" s="37"/>
      <c r="H43" s="37"/>
      <c r="I43" s="37"/>
    </row>
    <row r="44">
      <c r="A44" s="37" t="e">
        <v>#N/A</v>
      </c>
      <c r="B44" s="13"/>
      <c r="C44" s="13"/>
      <c r="D44" s="13"/>
      <c r="E44" s="37"/>
      <c r="F44" s="13"/>
      <c r="G44" s="37"/>
      <c r="H44" s="37"/>
      <c r="I44" s="37"/>
    </row>
    <row r="45">
      <c r="A45" s="37" t="e">
        <v>#N/A</v>
      </c>
      <c r="B45" s="13"/>
      <c r="C45" s="13"/>
      <c r="D45" s="13"/>
      <c r="E45" s="37"/>
      <c r="F45" s="13"/>
      <c r="G45" s="37"/>
      <c r="H45" s="37"/>
      <c r="I45" s="37"/>
    </row>
    <row r="46">
      <c r="A46" s="37" t="e">
        <v>#N/A</v>
      </c>
      <c r="B46" s="13"/>
      <c r="C46" s="13"/>
      <c r="D46" s="13"/>
      <c r="E46" s="37"/>
      <c r="F46" s="13"/>
      <c r="G46" s="37"/>
      <c r="H46" s="37"/>
      <c r="I46" s="37"/>
    </row>
    <row r="47">
      <c r="A47" s="37" t="e">
        <v>#N/A</v>
      </c>
      <c r="B47" s="13"/>
      <c r="C47" s="13"/>
      <c r="D47" s="13"/>
      <c r="E47" s="37"/>
      <c r="F47" s="13"/>
      <c r="G47" s="37"/>
      <c r="H47" s="37"/>
      <c r="I47" s="37"/>
    </row>
    <row r="48">
      <c r="A48" s="37" t="e">
        <v>#N/A</v>
      </c>
      <c r="B48" s="13"/>
      <c r="C48" s="13"/>
      <c r="D48" s="13"/>
      <c r="E48" s="37"/>
      <c r="F48" s="13"/>
      <c r="G48" s="37"/>
      <c r="H48" s="37"/>
      <c r="I48" s="37"/>
    </row>
    <row r="49">
      <c r="A49" s="37" t="e">
        <v>#N/A</v>
      </c>
      <c r="B49" s="13"/>
      <c r="C49" s="13"/>
      <c r="D49" s="13"/>
      <c r="E49" s="37"/>
      <c r="F49" s="13"/>
      <c r="G49" s="37"/>
      <c r="H49" s="37"/>
      <c r="I49" s="37"/>
    </row>
    <row r="50">
      <c r="A50" s="37" t="e">
        <v>#N/A</v>
      </c>
      <c r="B50" s="13"/>
      <c r="C50" s="13"/>
      <c r="D50" s="13"/>
      <c r="E50" s="37"/>
      <c r="F50" s="13"/>
      <c r="G50" s="37"/>
      <c r="H50" s="37"/>
      <c r="I50" s="37"/>
    </row>
    <row r="51">
      <c r="A51" s="37" t="e">
        <v>#N/A</v>
      </c>
      <c r="B51" s="13"/>
      <c r="C51" s="13"/>
      <c r="D51" s="13"/>
      <c r="E51" s="37"/>
      <c r="F51" s="13"/>
      <c r="G51" s="37"/>
      <c r="H51" s="37"/>
      <c r="I51" s="37"/>
    </row>
    <row r="52">
      <c r="A52" s="37" t="e">
        <v>#N/A</v>
      </c>
      <c r="B52" s="13"/>
      <c r="C52" s="13"/>
      <c r="D52" s="13"/>
      <c r="E52" s="37"/>
      <c r="F52" s="13"/>
      <c r="G52" s="37"/>
      <c r="H52" s="37"/>
      <c r="I52" s="37"/>
    </row>
    <row r="53">
      <c r="A53" s="37" t="e">
        <v>#N/A</v>
      </c>
      <c r="B53" s="13"/>
      <c r="C53" s="13"/>
      <c r="D53" s="13"/>
      <c r="E53" s="37"/>
      <c r="F53" s="13"/>
      <c r="G53" s="37"/>
      <c r="H53" s="37"/>
      <c r="I53" s="37"/>
    </row>
    <row r="54">
      <c r="A54" s="37" t="e">
        <v>#N/A</v>
      </c>
      <c r="B54" s="13"/>
      <c r="C54" s="13"/>
      <c r="D54" s="13"/>
      <c r="E54" s="37"/>
      <c r="F54" s="13"/>
      <c r="G54" s="37"/>
      <c r="H54" s="37"/>
      <c r="I54" s="37"/>
    </row>
    <row r="55">
      <c r="A55" s="37" t="e">
        <v>#N/A</v>
      </c>
      <c r="B55" s="13"/>
      <c r="C55" s="13"/>
      <c r="D55" s="13"/>
      <c r="E55" s="37"/>
      <c r="F55" s="13"/>
      <c r="G55" s="37"/>
      <c r="H55" s="37"/>
      <c r="I55" s="37"/>
    </row>
    <row r="56">
      <c r="A56" s="37" t="e">
        <v>#N/A</v>
      </c>
      <c r="B56" s="13"/>
      <c r="C56" s="13"/>
      <c r="D56" s="13"/>
      <c r="E56" s="37"/>
      <c r="F56" s="13"/>
      <c r="G56" s="37"/>
      <c r="H56" s="37"/>
      <c r="I56" s="37"/>
    </row>
    <row r="57">
      <c r="A57" s="37" t="e">
        <v>#N/A</v>
      </c>
      <c r="B57" s="13"/>
      <c r="C57" s="13"/>
      <c r="D57" s="13"/>
      <c r="E57" s="37"/>
      <c r="F57" s="13"/>
      <c r="G57" s="37"/>
      <c r="H57" s="37"/>
      <c r="I57" s="37"/>
    </row>
    <row r="58">
      <c r="A58" s="37" t="e">
        <v>#N/A</v>
      </c>
      <c r="B58" s="13"/>
      <c r="C58" s="13"/>
      <c r="D58" s="13"/>
      <c r="E58" s="13"/>
      <c r="F58" s="13"/>
      <c r="G58" s="37"/>
      <c r="H58" s="37"/>
      <c r="I58" s="37"/>
    </row>
    <row r="59">
      <c r="A59" s="37" t="e">
        <v>#N/A</v>
      </c>
      <c r="B59" s="13"/>
      <c r="C59" s="13"/>
      <c r="D59" s="13"/>
      <c r="E59" s="37"/>
      <c r="F59" s="13"/>
      <c r="G59" s="37"/>
      <c r="H59" s="37"/>
      <c r="I59" s="37"/>
    </row>
    <row r="60">
      <c r="A60" s="37" t="e">
        <v>#N/A</v>
      </c>
      <c r="B60" s="13"/>
      <c r="C60" s="13"/>
      <c r="D60" s="13"/>
      <c r="E60" s="37"/>
      <c r="F60" s="13"/>
      <c r="G60" s="37"/>
      <c r="H60" s="37"/>
      <c r="I60" s="37"/>
    </row>
    <row r="61">
      <c r="A61" s="37" t="e">
        <v>#N/A</v>
      </c>
      <c r="B61" s="13"/>
      <c r="C61" s="13"/>
      <c r="D61" s="13"/>
      <c r="E61" s="37"/>
      <c r="F61" s="13"/>
      <c r="G61" s="37"/>
      <c r="H61" s="37"/>
      <c r="I61" s="37"/>
    </row>
    <row r="62">
      <c r="A62" s="37" t="e">
        <v>#N/A</v>
      </c>
      <c r="B62" s="13"/>
      <c r="C62" s="13"/>
      <c r="D62" s="13"/>
      <c r="E62" s="37"/>
      <c r="F62" s="13"/>
      <c r="G62" s="37"/>
      <c r="H62" s="37"/>
      <c r="I62" s="37"/>
    </row>
    <row r="63">
      <c r="A63" s="37" t="e">
        <v>#N/A</v>
      </c>
      <c r="B63" s="13"/>
      <c r="C63" s="13"/>
      <c r="D63" s="13"/>
      <c r="E63" s="37"/>
      <c r="F63" s="13"/>
      <c r="G63" s="37"/>
      <c r="H63" s="37"/>
      <c r="I63" s="37"/>
    </row>
    <row r="64">
      <c r="A64" s="37" t="e">
        <v>#N/A</v>
      </c>
      <c r="B64" s="13"/>
      <c r="C64" s="13"/>
      <c r="D64" s="13"/>
      <c r="E64" s="37"/>
      <c r="F64" s="13"/>
      <c r="G64" s="37"/>
      <c r="H64" s="37"/>
      <c r="I64" s="37"/>
    </row>
    <row r="65">
      <c r="A65" s="37" t="e">
        <v>#N/A</v>
      </c>
      <c r="B65" s="13"/>
      <c r="C65" s="13"/>
      <c r="D65" s="13"/>
      <c r="E65" s="37"/>
      <c r="F65" s="13"/>
      <c r="G65" s="37"/>
      <c r="H65" s="37"/>
      <c r="I65" s="37"/>
    </row>
    <row r="66">
      <c r="A66" s="37" t="e">
        <v>#N/A</v>
      </c>
      <c r="B66" s="13"/>
      <c r="C66" s="13"/>
      <c r="D66" s="13"/>
      <c r="E66" s="37"/>
      <c r="F66" s="13"/>
      <c r="G66" s="37"/>
      <c r="H66" s="37"/>
      <c r="I66" s="37"/>
    </row>
    <row r="67">
      <c r="A67" s="37" t="e">
        <v>#N/A</v>
      </c>
      <c r="B67" s="13"/>
      <c r="C67" s="13"/>
      <c r="D67" s="13"/>
      <c r="E67" s="37"/>
      <c r="F67" s="13"/>
      <c r="G67" s="37"/>
      <c r="H67" s="37"/>
      <c r="I67" s="37"/>
    </row>
    <row r="68">
      <c r="A68" s="37" t="e">
        <v>#N/A</v>
      </c>
      <c r="B68" s="13"/>
      <c r="C68" s="13"/>
      <c r="D68" s="13"/>
      <c r="E68" s="37"/>
      <c r="F68" s="13"/>
      <c r="G68" s="37"/>
      <c r="H68" s="37"/>
      <c r="I68" s="37"/>
    </row>
    <row r="69">
      <c r="A69" s="37" t="e">
        <v>#N/A</v>
      </c>
      <c r="B69" s="13"/>
      <c r="C69" s="13"/>
      <c r="D69" s="13"/>
      <c r="E69" s="37"/>
      <c r="F69" s="13"/>
      <c r="G69" s="37"/>
      <c r="H69" s="37"/>
      <c r="I69" s="37"/>
    </row>
    <row r="70">
      <c r="A70" s="37" t="e">
        <v>#N/A</v>
      </c>
      <c r="B70" s="13"/>
      <c r="C70" s="13"/>
      <c r="D70" s="13"/>
      <c r="E70" s="37"/>
      <c r="F70" s="13"/>
      <c r="G70" s="37"/>
      <c r="H70" s="37"/>
      <c r="I70" s="37"/>
    </row>
    <row r="71">
      <c r="A71" s="37" t="e">
        <v>#N/A</v>
      </c>
      <c r="B71" s="13"/>
      <c r="C71" s="13"/>
      <c r="D71" s="13"/>
      <c r="E71" s="37"/>
      <c r="F71" s="13"/>
      <c r="G71" s="37"/>
      <c r="H71" s="37"/>
      <c r="I71" s="37"/>
    </row>
    <row r="72">
      <c r="A72" s="37" t="e">
        <v>#N/A</v>
      </c>
      <c r="B72" s="13"/>
      <c r="C72" s="13"/>
      <c r="D72" s="13"/>
      <c r="E72" s="37"/>
      <c r="F72" s="13"/>
      <c r="G72" s="37"/>
      <c r="H72" s="37"/>
      <c r="I72" s="37"/>
    </row>
    <row r="73">
      <c r="A73" s="37" t="e">
        <v>#N/A</v>
      </c>
      <c r="B73" s="13"/>
      <c r="C73" s="13"/>
      <c r="D73" s="13"/>
      <c r="E73" s="37"/>
      <c r="F73" s="13"/>
      <c r="G73" s="37"/>
      <c r="H73" s="37"/>
      <c r="I73" s="37"/>
    </row>
    <row r="74">
      <c r="A74" s="37" t="e">
        <v>#N/A</v>
      </c>
      <c r="B74" s="13"/>
      <c r="C74" s="13"/>
      <c r="D74" s="13"/>
      <c r="E74" s="37"/>
      <c r="F74" s="13"/>
      <c r="G74" s="37"/>
      <c r="H74" s="37"/>
      <c r="I74" s="37"/>
    </row>
    <row r="75">
      <c r="A75" s="37" t="e">
        <v>#N/A</v>
      </c>
      <c r="B75" s="13"/>
      <c r="C75" s="13"/>
      <c r="D75" s="13"/>
      <c r="E75" s="37"/>
      <c r="F75" s="13"/>
      <c r="G75" s="37"/>
      <c r="H75" s="37"/>
      <c r="I75" s="37"/>
    </row>
    <row r="76">
      <c r="A76" s="37" t="e">
        <v>#N/A</v>
      </c>
      <c r="B76" s="13"/>
      <c r="C76" s="13"/>
      <c r="D76" s="13"/>
      <c r="E76" s="37"/>
      <c r="F76" s="13"/>
      <c r="G76" s="37"/>
      <c r="H76" s="37"/>
      <c r="I76" s="37"/>
    </row>
    <row r="77">
      <c r="A77" s="37" t="e">
        <v>#N/A</v>
      </c>
      <c r="B77" s="13"/>
      <c r="C77" s="13"/>
      <c r="D77" s="13"/>
      <c r="E77" s="37"/>
      <c r="F77" s="13"/>
      <c r="G77" s="37"/>
      <c r="H77" s="37"/>
      <c r="I77" s="37"/>
    </row>
    <row r="78">
      <c r="A78" s="37" t="e">
        <v>#N/A</v>
      </c>
      <c r="B78" s="13"/>
      <c r="C78" s="13"/>
      <c r="D78" s="13"/>
      <c r="E78" s="37"/>
      <c r="F78" s="13"/>
      <c r="G78" s="37"/>
      <c r="H78" s="37"/>
      <c r="I78" s="37"/>
    </row>
    <row r="79">
      <c r="A79" s="37" t="e">
        <v>#N/A</v>
      </c>
      <c r="B79" s="13"/>
      <c r="C79" s="13"/>
      <c r="D79" s="13"/>
      <c r="E79" s="37"/>
      <c r="F79" s="13"/>
      <c r="G79" s="37"/>
      <c r="H79" s="37"/>
      <c r="I79" s="37"/>
    </row>
    <row r="80">
      <c r="A80" s="37" t="e">
        <v>#N/A</v>
      </c>
      <c r="B80" s="13"/>
      <c r="C80" s="13"/>
      <c r="D80" s="13"/>
      <c r="E80" s="37"/>
      <c r="F80" s="13"/>
      <c r="G80" s="37"/>
      <c r="H80" s="37"/>
      <c r="I80" s="37"/>
    </row>
    <row r="81">
      <c r="A81" s="37" t="e">
        <v>#N/A</v>
      </c>
      <c r="B81" s="13"/>
      <c r="C81" s="13"/>
      <c r="D81" s="13"/>
      <c r="E81" s="37"/>
      <c r="F81" s="13"/>
      <c r="G81" s="37"/>
      <c r="H81" s="37"/>
      <c r="I81" s="37"/>
    </row>
    <row r="82">
      <c r="A82" s="37" t="e">
        <v>#N/A</v>
      </c>
      <c r="B82" s="13"/>
      <c r="C82" s="13"/>
      <c r="D82" s="13"/>
      <c r="E82" s="37"/>
      <c r="F82" s="13"/>
      <c r="G82" s="37"/>
      <c r="H82" s="37"/>
      <c r="I82" s="37"/>
    </row>
    <row r="83">
      <c r="A83" s="37" t="e">
        <v>#N/A</v>
      </c>
      <c r="B83" s="13"/>
      <c r="C83" s="13"/>
      <c r="D83" s="13"/>
      <c r="E83" s="37"/>
      <c r="F83" s="13"/>
      <c r="G83" s="37"/>
      <c r="H83" s="37"/>
      <c r="I83" s="37"/>
    </row>
    <row r="84">
      <c r="A84" s="37" t="e">
        <v>#N/A</v>
      </c>
      <c r="B84" s="13"/>
      <c r="C84" s="13"/>
      <c r="D84" s="13"/>
      <c r="E84" s="13"/>
      <c r="F84" s="13"/>
      <c r="G84" s="37"/>
      <c r="H84" s="37"/>
      <c r="I84" s="37"/>
    </row>
    <row r="85">
      <c r="A85" s="37" t="e">
        <v>#N/A</v>
      </c>
      <c r="B85" s="13"/>
      <c r="C85" s="13"/>
      <c r="D85" s="13"/>
      <c r="E85" s="37"/>
      <c r="F85" s="13"/>
      <c r="G85" s="37"/>
      <c r="H85" s="37"/>
      <c r="I85" s="37"/>
    </row>
    <row r="86">
      <c r="A86" s="37" t="e">
        <v>#N/A</v>
      </c>
      <c r="B86" s="13"/>
      <c r="C86" s="13"/>
      <c r="D86" s="13"/>
      <c r="E86" s="37"/>
      <c r="F86" s="13"/>
      <c r="G86" s="37"/>
      <c r="H86" s="37"/>
      <c r="I86" s="37"/>
    </row>
    <row r="87">
      <c r="A87" s="37" t="e">
        <v>#N/A</v>
      </c>
      <c r="B87" s="13"/>
      <c r="C87" s="13"/>
      <c r="D87" s="13"/>
      <c r="E87" s="37"/>
      <c r="F87" s="13"/>
      <c r="G87" s="37"/>
      <c r="H87" s="37"/>
      <c r="I87" s="37"/>
    </row>
    <row r="88">
      <c r="A88" s="37" t="e">
        <v>#N/A</v>
      </c>
      <c r="B88" s="13"/>
      <c r="C88" s="13"/>
      <c r="D88" s="13"/>
      <c r="E88" s="37"/>
      <c r="F88" s="13"/>
      <c r="G88" s="37"/>
      <c r="H88" s="37"/>
      <c r="I88" s="37"/>
    </row>
    <row r="89">
      <c r="A89" s="37" t="e">
        <v>#N/A</v>
      </c>
      <c r="B89" s="13"/>
      <c r="C89" s="13"/>
      <c r="D89" s="13"/>
      <c r="E89" s="37"/>
      <c r="F89" s="13"/>
      <c r="G89" s="37"/>
      <c r="H89" s="37"/>
      <c r="I89" s="37"/>
    </row>
    <row r="90">
      <c r="A90" s="37" t="e">
        <v>#N/A</v>
      </c>
      <c r="B90" s="13"/>
      <c r="C90" s="13"/>
      <c r="D90" s="13"/>
      <c r="E90" s="13"/>
      <c r="F90" s="13"/>
      <c r="G90" s="37"/>
      <c r="H90" s="37"/>
      <c r="I90" s="37"/>
    </row>
    <row r="91">
      <c r="A91" s="37" t="e">
        <v>#N/A</v>
      </c>
      <c r="B91" s="13"/>
      <c r="C91" s="13"/>
      <c r="D91" s="13"/>
      <c r="E91" s="37"/>
      <c r="F91" s="13"/>
      <c r="G91" s="37"/>
      <c r="H91" s="37"/>
      <c r="I91" s="37"/>
    </row>
    <row r="92">
      <c r="A92" s="37" t="e">
        <v>#N/A</v>
      </c>
      <c r="B92" s="13"/>
      <c r="C92" s="13"/>
      <c r="D92" s="13"/>
      <c r="E92" s="37"/>
      <c r="F92" s="13"/>
      <c r="G92" s="37"/>
      <c r="H92" s="37"/>
      <c r="I92" s="37"/>
    </row>
    <row r="93">
      <c r="A93" s="37" t="e">
        <v>#N/A</v>
      </c>
      <c r="B93" s="13"/>
      <c r="C93" s="13"/>
      <c r="D93" s="13"/>
      <c r="E93" s="37"/>
      <c r="F93" s="13"/>
      <c r="G93" s="37"/>
      <c r="H93" s="37"/>
      <c r="I93" s="37"/>
    </row>
    <row r="94">
      <c r="A94" s="37" t="e">
        <v>#N/A</v>
      </c>
      <c r="B94" s="13"/>
      <c r="C94" s="13"/>
      <c r="D94" s="13"/>
      <c r="E94" s="37"/>
      <c r="F94" s="13"/>
      <c r="G94" s="37"/>
      <c r="H94" s="37"/>
      <c r="I94" s="37"/>
    </row>
    <row r="95">
      <c r="A95" s="37" t="e">
        <v>#N/A</v>
      </c>
      <c r="B95" s="13"/>
      <c r="C95" s="13"/>
      <c r="D95" s="13"/>
      <c r="E95" s="37"/>
      <c r="F95" s="13"/>
      <c r="G95" s="37"/>
      <c r="H95" s="37"/>
      <c r="I95" s="37"/>
    </row>
    <row r="96">
      <c r="A96" s="37" t="e">
        <v>#N/A</v>
      </c>
      <c r="B96" s="13"/>
      <c r="C96" s="13"/>
      <c r="D96" s="13"/>
      <c r="E96" s="37"/>
      <c r="F96" s="13"/>
      <c r="G96" s="37"/>
      <c r="H96" s="37"/>
      <c r="I96" s="37"/>
    </row>
    <row r="97">
      <c r="A97" s="37" t="e">
        <v>#N/A</v>
      </c>
      <c r="B97" s="13"/>
      <c r="C97" s="13"/>
      <c r="D97" s="13"/>
      <c r="E97" s="37"/>
      <c r="F97" s="13"/>
      <c r="G97" s="37"/>
      <c r="H97" s="37"/>
      <c r="I97" s="37"/>
    </row>
    <row r="98">
      <c r="A98" s="37" t="e">
        <v>#N/A</v>
      </c>
      <c r="B98" s="13"/>
      <c r="C98" s="13"/>
      <c r="D98" s="13"/>
      <c r="E98" s="37"/>
      <c r="F98" s="13"/>
      <c r="G98" s="37"/>
      <c r="H98" s="37"/>
      <c r="I98" s="37"/>
    </row>
    <row r="99">
      <c r="A99" s="37" t="e">
        <v>#N/A</v>
      </c>
      <c r="B99" s="13"/>
      <c r="C99" s="13"/>
      <c r="D99" s="13"/>
      <c r="E99" s="37"/>
      <c r="F99" s="13"/>
      <c r="G99" s="37"/>
      <c r="H99" s="37"/>
      <c r="I99" s="37"/>
    </row>
    <row r="100">
      <c r="A100" s="37" t="e">
        <v>#N/A</v>
      </c>
      <c r="B100" s="13"/>
      <c r="C100" s="13"/>
      <c r="D100" s="13"/>
      <c r="E100" s="37"/>
      <c r="F100" s="13"/>
      <c r="G100" s="37"/>
      <c r="H100" s="37"/>
      <c r="I100" s="37"/>
    </row>
    <row r="101">
      <c r="A101" s="37" t="e">
        <v>#N/A</v>
      </c>
      <c r="B101" s="13"/>
      <c r="C101" s="13"/>
      <c r="D101" s="13"/>
      <c r="E101" s="37"/>
      <c r="F101" s="13"/>
      <c r="G101" s="37"/>
      <c r="H101" s="37"/>
      <c r="I101" s="37"/>
    </row>
    <row r="102">
      <c r="A102" s="37" t="e">
        <v>#N/A</v>
      </c>
      <c r="B102" s="13"/>
      <c r="C102" s="13"/>
      <c r="D102" s="13"/>
      <c r="E102" s="37"/>
      <c r="F102" s="13"/>
      <c r="G102" s="37"/>
      <c r="H102" s="37"/>
      <c r="I102" s="37"/>
    </row>
    <row r="103">
      <c r="A103" s="37" t="e">
        <v>#N/A</v>
      </c>
      <c r="B103" s="13"/>
      <c r="C103" s="13"/>
      <c r="D103" s="13"/>
      <c r="E103" s="37"/>
      <c r="F103" s="13"/>
      <c r="G103" s="37"/>
      <c r="H103" s="37"/>
      <c r="I103" s="37"/>
    </row>
    <row r="104">
      <c r="A104" s="37" t="e">
        <v>#N/A</v>
      </c>
      <c r="B104" s="13"/>
      <c r="C104" s="13"/>
      <c r="D104" s="13"/>
      <c r="E104" s="37"/>
      <c r="F104" s="13"/>
      <c r="G104" s="37"/>
      <c r="H104" s="37"/>
      <c r="I104" s="37"/>
    </row>
    <row r="105">
      <c r="A105" s="37" t="e">
        <v>#N/A</v>
      </c>
      <c r="B105" s="13"/>
      <c r="C105" s="13"/>
      <c r="D105" s="13"/>
      <c r="E105" s="37"/>
      <c r="F105" s="13"/>
      <c r="G105" s="37"/>
      <c r="H105" s="37"/>
      <c r="I105" s="37"/>
    </row>
    <row r="106">
      <c r="A106" s="37" t="e">
        <v>#N/A</v>
      </c>
      <c r="B106" s="13"/>
      <c r="C106" s="13"/>
      <c r="D106" s="13"/>
      <c r="E106" s="37"/>
      <c r="F106" s="13"/>
      <c r="G106" s="37"/>
      <c r="H106" s="37"/>
      <c r="I106" s="37"/>
    </row>
    <row r="107">
      <c r="A107" s="37" t="e">
        <v>#N/A</v>
      </c>
      <c r="B107" s="13"/>
      <c r="C107" s="13"/>
      <c r="D107" s="13"/>
      <c r="E107" s="37"/>
      <c r="F107" s="13"/>
      <c r="G107" s="37"/>
      <c r="H107" s="37"/>
      <c r="I107" s="37"/>
    </row>
    <row r="108">
      <c r="A108" s="37" t="e">
        <v>#N/A</v>
      </c>
      <c r="B108" s="13"/>
      <c r="C108" s="13"/>
      <c r="D108" s="13"/>
      <c r="E108" s="37"/>
      <c r="F108" s="13"/>
      <c r="G108" s="37"/>
      <c r="H108" s="37"/>
      <c r="I108" s="37"/>
    </row>
    <row r="109">
      <c r="A109" s="37" t="e">
        <v>#N/A</v>
      </c>
      <c r="B109" s="13"/>
      <c r="C109" s="13"/>
      <c r="D109" s="13"/>
      <c r="E109" s="37"/>
      <c r="F109" s="13"/>
      <c r="G109" s="37"/>
      <c r="H109" s="37"/>
      <c r="I109" s="37"/>
    </row>
    <row r="110">
      <c r="A110" s="37" t="e">
        <v>#N/A</v>
      </c>
      <c r="B110" s="13"/>
      <c r="C110" s="13"/>
      <c r="D110" s="13"/>
      <c r="E110" s="37"/>
      <c r="F110" s="13"/>
      <c r="G110" s="37"/>
      <c r="H110" s="37"/>
      <c r="I110" s="37"/>
    </row>
    <row r="111">
      <c r="A111" s="37" t="e">
        <v>#N/A</v>
      </c>
      <c r="B111" s="13"/>
      <c r="C111" s="13"/>
      <c r="D111" s="13"/>
      <c r="E111" s="37"/>
      <c r="F111" s="13"/>
      <c r="G111" s="37"/>
      <c r="H111" s="37"/>
      <c r="I111" s="37"/>
    </row>
    <row r="112">
      <c r="A112" s="37" t="e">
        <v>#N/A</v>
      </c>
      <c r="B112" s="13"/>
      <c r="C112" s="13"/>
      <c r="D112" s="13"/>
      <c r="E112" s="37"/>
      <c r="F112" s="13"/>
      <c r="G112" s="37"/>
      <c r="H112" s="37"/>
      <c r="I112" s="37"/>
    </row>
    <row r="113">
      <c r="A113" s="37" t="e">
        <v>#N/A</v>
      </c>
      <c r="B113" s="13"/>
      <c r="C113" s="13"/>
      <c r="D113" s="13"/>
      <c r="E113" s="37"/>
      <c r="F113" s="13"/>
      <c r="G113" s="37"/>
      <c r="H113" s="37"/>
      <c r="I113" s="37"/>
    </row>
    <row r="114">
      <c r="A114" s="37" t="e">
        <v>#N/A</v>
      </c>
      <c r="B114" s="13"/>
      <c r="C114" s="13"/>
      <c r="D114" s="13"/>
      <c r="E114" s="37"/>
      <c r="F114" s="13"/>
      <c r="G114" s="37"/>
      <c r="H114" s="37"/>
      <c r="I114" s="37"/>
    </row>
    <row r="115">
      <c r="A115" s="37" t="e">
        <v>#N/A</v>
      </c>
      <c r="B115" s="13"/>
      <c r="C115" s="13"/>
      <c r="D115" s="13"/>
      <c r="E115" s="37"/>
      <c r="F115" s="13"/>
      <c r="G115" s="37"/>
      <c r="H115" s="37"/>
      <c r="I115" s="37"/>
    </row>
    <row r="116">
      <c r="A116" s="37" t="e">
        <v>#N/A</v>
      </c>
      <c r="B116" s="13"/>
      <c r="C116" s="13"/>
      <c r="D116" s="13"/>
      <c r="E116" s="37"/>
      <c r="F116" s="13"/>
      <c r="G116" s="37"/>
      <c r="H116" s="37"/>
      <c r="I116" s="37"/>
    </row>
    <row r="117">
      <c r="A117" s="37" t="e">
        <v>#N/A</v>
      </c>
      <c r="B117" s="13"/>
      <c r="C117" s="13"/>
      <c r="D117" s="13"/>
      <c r="E117" s="37"/>
      <c r="F117" s="13"/>
      <c r="G117" s="37"/>
      <c r="H117" s="37"/>
      <c r="I117" s="37"/>
    </row>
    <row r="118">
      <c r="A118" s="37" t="e">
        <v>#N/A</v>
      </c>
      <c r="B118" s="13"/>
      <c r="C118" s="13"/>
      <c r="D118" s="13"/>
      <c r="E118" s="37"/>
      <c r="F118" s="13"/>
      <c r="G118" s="37"/>
      <c r="H118" s="37"/>
      <c r="I118" s="37"/>
    </row>
    <row r="119">
      <c r="A119" s="37" t="e">
        <v>#N/A</v>
      </c>
      <c r="B119" s="13"/>
      <c r="C119" s="13"/>
      <c r="D119" s="13"/>
      <c r="E119" s="37"/>
      <c r="F119" s="13"/>
      <c r="G119" s="37"/>
      <c r="H119" s="37"/>
      <c r="I119" s="37"/>
    </row>
    <row r="120">
      <c r="A120" s="37" t="e">
        <v>#N/A</v>
      </c>
      <c r="B120" s="13"/>
      <c r="C120" s="13"/>
      <c r="D120" s="13"/>
      <c r="E120" s="37"/>
      <c r="F120" s="13"/>
      <c r="G120" s="37"/>
      <c r="H120" s="37"/>
      <c r="I120" s="37"/>
    </row>
    <row r="121">
      <c r="A121" s="37" t="e">
        <v>#N/A</v>
      </c>
      <c r="B121" s="13"/>
      <c r="C121" s="13"/>
      <c r="D121" s="13"/>
      <c r="E121" s="37"/>
      <c r="F121" s="13"/>
      <c r="G121" s="37"/>
      <c r="H121" s="37"/>
      <c r="I121" s="37"/>
    </row>
    <row r="122">
      <c r="A122" s="37" t="e">
        <v>#N/A</v>
      </c>
      <c r="B122" s="13"/>
      <c r="C122" s="13"/>
      <c r="D122" s="13"/>
      <c r="E122" s="37"/>
      <c r="F122" s="13"/>
      <c r="G122" s="37"/>
      <c r="H122" s="37"/>
      <c r="I122" s="37"/>
    </row>
    <row r="123">
      <c r="A123" s="37" t="e">
        <v>#N/A</v>
      </c>
      <c r="B123" s="13"/>
      <c r="C123" s="13"/>
      <c r="D123" s="13"/>
      <c r="E123" s="37"/>
      <c r="F123" s="13"/>
      <c r="G123" s="37"/>
      <c r="H123" s="37"/>
      <c r="I123" s="37"/>
    </row>
    <row r="124">
      <c r="A124" s="37" t="e">
        <v>#N/A</v>
      </c>
      <c r="B124" s="13"/>
      <c r="C124" s="13"/>
      <c r="D124" s="13"/>
      <c r="E124" s="37"/>
      <c r="F124" s="13"/>
      <c r="G124" s="37"/>
      <c r="H124" s="37"/>
      <c r="I124" s="37"/>
    </row>
    <row r="125">
      <c r="A125" s="37" t="e">
        <v>#N/A</v>
      </c>
      <c r="B125" s="13"/>
      <c r="C125" s="13"/>
      <c r="D125" s="13"/>
      <c r="E125" s="37"/>
      <c r="F125" s="13"/>
      <c r="G125" s="37"/>
      <c r="H125" s="37"/>
      <c r="I125" s="37"/>
    </row>
    <row r="126">
      <c r="A126" s="37" t="e">
        <v>#N/A</v>
      </c>
      <c r="B126" s="13"/>
      <c r="C126" s="13"/>
      <c r="D126" s="13"/>
      <c r="E126" s="37"/>
      <c r="F126" s="13"/>
      <c r="G126" s="37"/>
      <c r="H126" s="37"/>
      <c r="I126" s="37"/>
    </row>
    <row r="127">
      <c r="A127" s="37" t="e">
        <v>#N/A</v>
      </c>
      <c r="B127" s="13"/>
      <c r="C127" s="13"/>
      <c r="D127" s="13"/>
      <c r="E127" s="37"/>
      <c r="F127" s="13"/>
      <c r="G127" s="37"/>
      <c r="H127" s="37"/>
      <c r="I127" s="37"/>
    </row>
    <row r="128">
      <c r="A128" s="37" t="e">
        <v>#N/A</v>
      </c>
      <c r="B128" s="13"/>
      <c r="C128" s="13"/>
      <c r="D128" s="13"/>
      <c r="E128" s="13"/>
      <c r="F128" s="13"/>
      <c r="G128" s="37"/>
      <c r="H128" s="37"/>
      <c r="I128" s="37"/>
    </row>
    <row r="129">
      <c r="A129" s="37" t="e">
        <v>#N/A</v>
      </c>
      <c r="B129" s="13"/>
      <c r="C129" s="13"/>
      <c r="D129" s="13"/>
      <c r="E129" s="37"/>
      <c r="F129" s="13"/>
      <c r="G129" s="37"/>
      <c r="H129" s="37"/>
      <c r="I129" s="37"/>
    </row>
    <row r="130">
      <c r="A130" s="37" t="e">
        <v>#N/A</v>
      </c>
      <c r="B130" s="13"/>
      <c r="C130" s="13"/>
      <c r="D130" s="13"/>
      <c r="E130" s="37"/>
      <c r="F130" s="13"/>
      <c r="G130" s="37"/>
      <c r="H130" s="37"/>
      <c r="I130" s="37"/>
    </row>
    <row r="131">
      <c r="A131" s="37" t="e">
        <v>#N/A</v>
      </c>
      <c r="B131" s="13"/>
      <c r="C131" s="13"/>
      <c r="D131" s="13"/>
      <c r="E131" s="37"/>
      <c r="F131" s="13"/>
      <c r="G131" s="37"/>
      <c r="H131" s="37"/>
      <c r="I131" s="37"/>
    </row>
    <row r="132">
      <c r="A132" s="37" t="e">
        <v>#N/A</v>
      </c>
      <c r="B132" s="13"/>
      <c r="C132" s="13"/>
      <c r="D132" s="13"/>
      <c r="E132" s="37"/>
      <c r="F132" s="13"/>
      <c r="G132" s="37"/>
      <c r="H132" s="37"/>
      <c r="I132" s="37"/>
    </row>
    <row r="133">
      <c r="A133" s="37" t="e">
        <v>#N/A</v>
      </c>
      <c r="B133" s="13"/>
      <c r="C133" s="13"/>
      <c r="D133" s="13"/>
      <c r="E133" s="37"/>
      <c r="F133" s="13"/>
      <c r="G133" s="37"/>
      <c r="H133" s="37"/>
      <c r="I133" s="37"/>
    </row>
    <row r="134">
      <c r="A134" s="37" t="e">
        <v>#N/A</v>
      </c>
      <c r="B134" s="13"/>
      <c r="C134" s="13"/>
      <c r="D134" s="13"/>
      <c r="E134" s="37"/>
      <c r="F134" s="13"/>
      <c r="G134" s="37"/>
      <c r="H134" s="37"/>
      <c r="I134" s="37"/>
    </row>
    <row r="135">
      <c r="A135" s="37" t="e">
        <v>#N/A</v>
      </c>
      <c r="B135" s="13"/>
      <c r="C135" s="13"/>
      <c r="D135" s="13"/>
      <c r="E135" s="37"/>
      <c r="F135" s="13"/>
      <c r="G135" s="37"/>
      <c r="H135" s="37"/>
      <c r="I135" s="37"/>
    </row>
    <row r="136">
      <c r="A136" s="37" t="e">
        <v>#N/A</v>
      </c>
      <c r="B136" s="13"/>
      <c r="C136" s="13"/>
      <c r="D136" s="13"/>
      <c r="E136" s="37"/>
      <c r="F136" s="13"/>
      <c r="G136" s="37"/>
      <c r="H136" s="37"/>
      <c r="I136" s="37"/>
    </row>
    <row r="137">
      <c r="A137" s="37" t="e">
        <v>#N/A</v>
      </c>
      <c r="B137" s="13"/>
      <c r="C137" s="13"/>
      <c r="D137" s="13"/>
      <c r="E137" s="37"/>
      <c r="F137" s="13"/>
      <c r="G137" s="37"/>
      <c r="H137" s="37"/>
      <c r="I137" s="37"/>
    </row>
    <row r="138">
      <c r="A138" s="37" t="e">
        <v>#N/A</v>
      </c>
      <c r="B138" s="13"/>
      <c r="C138" s="13"/>
      <c r="D138" s="13"/>
      <c r="E138" s="37"/>
      <c r="F138" s="13"/>
      <c r="G138" s="37"/>
      <c r="H138" s="37"/>
      <c r="I138" s="37"/>
    </row>
    <row r="139">
      <c r="A139" s="37" t="e">
        <v>#N/A</v>
      </c>
      <c r="B139" s="13"/>
      <c r="C139" s="13"/>
      <c r="D139" s="13"/>
      <c r="E139" s="37"/>
      <c r="F139" s="13"/>
      <c r="G139" s="37"/>
      <c r="H139" s="37"/>
      <c r="I139" s="37"/>
    </row>
    <row r="140">
      <c r="A140" s="37" t="e">
        <v>#N/A</v>
      </c>
      <c r="B140" s="13"/>
      <c r="C140" s="13"/>
      <c r="D140" s="13"/>
      <c r="E140" s="37"/>
      <c r="F140" s="13"/>
      <c r="G140" s="37"/>
      <c r="H140" s="37"/>
      <c r="I140" s="37"/>
    </row>
    <row r="141">
      <c r="A141" s="37" t="e">
        <v>#N/A</v>
      </c>
      <c r="B141" s="13"/>
      <c r="C141" s="13"/>
      <c r="D141" s="13"/>
      <c r="E141" s="37"/>
      <c r="F141" s="13"/>
      <c r="G141" s="37"/>
      <c r="H141" s="37"/>
      <c r="I141" s="37"/>
    </row>
    <row r="142">
      <c r="A142" s="37" t="e">
        <v>#N/A</v>
      </c>
      <c r="B142" s="13"/>
      <c r="C142" s="13"/>
      <c r="D142" s="13"/>
      <c r="E142" s="37"/>
      <c r="F142" s="13"/>
      <c r="G142" s="37"/>
      <c r="H142" s="37"/>
      <c r="I142" s="37"/>
    </row>
    <row r="143">
      <c r="A143" s="37" t="e">
        <v>#N/A</v>
      </c>
      <c r="B143" s="13"/>
      <c r="C143" s="13"/>
      <c r="D143" s="13"/>
      <c r="E143" s="37"/>
      <c r="F143" s="13"/>
      <c r="G143" s="37"/>
      <c r="H143" s="37"/>
      <c r="I143" s="37"/>
    </row>
    <row r="144">
      <c r="A144" s="37" t="e">
        <v>#N/A</v>
      </c>
      <c r="B144" s="13"/>
      <c r="C144" s="13"/>
      <c r="D144" s="13"/>
      <c r="E144" s="37"/>
      <c r="F144" s="13"/>
      <c r="G144" s="37"/>
      <c r="H144" s="37"/>
      <c r="I144" s="37"/>
    </row>
    <row r="145">
      <c r="A145" s="37" t="e">
        <v>#N/A</v>
      </c>
      <c r="B145" s="13"/>
      <c r="C145" s="13"/>
      <c r="D145" s="13"/>
      <c r="E145" s="37"/>
      <c r="F145" s="13"/>
      <c r="G145" s="37"/>
      <c r="H145" s="37"/>
      <c r="I145" s="37"/>
    </row>
    <row r="146">
      <c r="A146" s="37" t="e">
        <v>#N/A</v>
      </c>
      <c r="B146" s="13"/>
      <c r="C146" s="13"/>
      <c r="D146" s="13"/>
      <c r="E146" s="37"/>
      <c r="F146" s="13"/>
      <c r="G146" s="37"/>
      <c r="H146" s="37"/>
      <c r="I146" s="37"/>
    </row>
    <row r="147">
      <c r="A147" s="37" t="e">
        <v>#N/A</v>
      </c>
      <c r="B147" s="13"/>
      <c r="C147" s="13"/>
      <c r="D147" s="13"/>
      <c r="E147" s="37"/>
      <c r="F147" s="13"/>
      <c r="G147" s="37"/>
      <c r="H147" s="37"/>
      <c r="I147" s="37"/>
    </row>
    <row r="148">
      <c r="A148" s="37" t="e">
        <v>#N/A</v>
      </c>
      <c r="B148" s="13"/>
      <c r="C148" s="13"/>
      <c r="D148" s="13"/>
      <c r="E148" s="37"/>
      <c r="F148" s="13"/>
      <c r="G148" s="37"/>
      <c r="H148" s="37"/>
      <c r="I148" s="37"/>
    </row>
    <row r="149">
      <c r="A149" s="37" t="e">
        <v>#N/A</v>
      </c>
      <c r="B149" s="13"/>
      <c r="C149" s="13"/>
      <c r="D149" s="13"/>
      <c r="E149" s="37"/>
      <c r="F149" s="13"/>
      <c r="G149" s="37"/>
      <c r="H149" s="37"/>
      <c r="I149" s="37"/>
    </row>
    <row r="150">
      <c r="A150" s="37" t="e">
        <v>#N/A</v>
      </c>
      <c r="B150" s="13"/>
      <c r="C150" s="13"/>
      <c r="D150" s="13"/>
      <c r="E150" s="37"/>
      <c r="F150" s="13"/>
      <c r="G150" s="37"/>
      <c r="H150" s="37"/>
      <c r="I150" s="37"/>
    </row>
    <row r="151">
      <c r="A151" s="37" t="e">
        <v>#N/A</v>
      </c>
      <c r="B151" s="13"/>
      <c r="C151" s="13"/>
      <c r="D151" s="13"/>
      <c r="E151" s="37"/>
      <c r="F151" s="13"/>
      <c r="G151" s="37"/>
      <c r="H151" s="37"/>
      <c r="I151" s="37"/>
    </row>
    <row r="152">
      <c r="A152" s="37" t="e">
        <v>#N/A</v>
      </c>
      <c r="B152" s="13"/>
      <c r="C152" s="13"/>
      <c r="D152" s="13"/>
      <c r="E152" s="37"/>
      <c r="F152" s="13"/>
      <c r="G152" s="37"/>
      <c r="H152" s="37"/>
      <c r="I152" s="37"/>
    </row>
    <row r="153">
      <c r="A153" s="37" t="e">
        <v>#N/A</v>
      </c>
      <c r="B153" s="13"/>
      <c r="C153" s="13"/>
      <c r="D153" s="13"/>
      <c r="E153" s="37"/>
      <c r="F153" s="13"/>
      <c r="G153" s="37"/>
      <c r="H153" s="37"/>
      <c r="I153" s="37"/>
    </row>
    <row r="154">
      <c r="A154" s="37" t="e">
        <v>#N/A</v>
      </c>
      <c r="B154" s="13"/>
      <c r="C154" s="13"/>
      <c r="D154" s="13"/>
      <c r="E154" s="37"/>
      <c r="F154" s="13"/>
      <c r="G154" s="37"/>
      <c r="H154" s="37"/>
      <c r="I154" s="37"/>
    </row>
    <row r="155">
      <c r="A155" s="37" t="e">
        <v>#N/A</v>
      </c>
      <c r="B155" s="13"/>
      <c r="C155" s="13"/>
      <c r="D155" s="13"/>
      <c r="E155" s="37"/>
      <c r="F155" s="13"/>
      <c r="G155" s="37"/>
      <c r="H155" s="37"/>
      <c r="I155" s="37"/>
    </row>
    <row r="156">
      <c r="A156" s="37" t="e">
        <v>#N/A</v>
      </c>
      <c r="B156" s="13"/>
      <c r="C156" s="13"/>
      <c r="D156" s="13"/>
      <c r="E156" s="13"/>
      <c r="F156" s="13"/>
      <c r="G156" s="37"/>
      <c r="H156" s="37"/>
      <c r="I156" s="37"/>
    </row>
    <row r="157">
      <c r="A157" s="37" t="e">
        <v>#N/A</v>
      </c>
      <c r="B157" s="13"/>
      <c r="C157" s="13"/>
      <c r="D157" s="13"/>
      <c r="E157" s="37"/>
      <c r="F157" s="13"/>
      <c r="G157" s="37"/>
      <c r="H157" s="37"/>
      <c r="I157" s="37"/>
    </row>
    <row r="158">
      <c r="A158" s="37" t="e">
        <v>#N/A</v>
      </c>
      <c r="B158" s="13"/>
      <c r="C158" s="13"/>
      <c r="D158" s="13"/>
      <c r="E158" s="37"/>
      <c r="F158" s="13"/>
      <c r="G158" s="37"/>
      <c r="H158" s="37"/>
      <c r="I158" s="37"/>
    </row>
    <row r="159">
      <c r="A159" s="37" t="e">
        <v>#N/A</v>
      </c>
      <c r="B159" s="13"/>
      <c r="C159" s="13"/>
      <c r="D159" s="13"/>
      <c r="E159" s="37"/>
      <c r="F159" s="13"/>
      <c r="G159" s="37"/>
      <c r="H159" s="37"/>
      <c r="I159" s="37"/>
    </row>
    <row r="160">
      <c r="A160" s="37" t="e">
        <v>#N/A</v>
      </c>
      <c r="B160" s="13"/>
      <c r="C160" s="13"/>
      <c r="D160" s="13"/>
      <c r="E160" s="37"/>
      <c r="F160" s="13"/>
      <c r="G160" s="37"/>
      <c r="H160" s="37"/>
      <c r="I160" s="37"/>
    </row>
    <row r="161">
      <c r="A161" s="37" t="e">
        <v>#N/A</v>
      </c>
      <c r="B161" s="13"/>
      <c r="C161" s="13"/>
      <c r="D161" s="13"/>
      <c r="E161" s="37"/>
      <c r="F161" s="13"/>
      <c r="G161" s="37"/>
      <c r="H161" s="37"/>
      <c r="I161" s="37"/>
    </row>
    <row r="162">
      <c r="A162" s="40" t="e">
        <v>#N/A</v>
      </c>
      <c r="B162" s="13"/>
      <c r="C162" s="13"/>
      <c r="D162" s="13"/>
      <c r="E162" s="13"/>
      <c r="F162" s="13"/>
      <c r="G162" s="13"/>
      <c r="H162" s="13"/>
      <c r="I162" s="13"/>
    </row>
    <row r="163">
      <c r="A163" s="40" t="e">
        <v>#N/A</v>
      </c>
      <c r="B163" s="13"/>
      <c r="C163" s="13"/>
      <c r="D163" s="13"/>
      <c r="E163" s="13"/>
      <c r="F163" s="13"/>
      <c r="G163" s="13"/>
      <c r="H163" s="13"/>
      <c r="I163" s="13"/>
    </row>
    <row r="164">
      <c r="A164" s="40" t="e">
        <v>#N/A</v>
      </c>
      <c r="B164" s="13"/>
      <c r="C164" s="13"/>
      <c r="D164" s="13"/>
      <c r="E164" s="13"/>
      <c r="F164" s="13"/>
      <c r="G164" s="13"/>
      <c r="H164" s="13"/>
      <c r="I164" s="13"/>
    </row>
    <row r="165">
      <c r="A165" s="40" t="e">
        <v>#N/A</v>
      </c>
      <c r="B165" s="13"/>
      <c r="C165" s="13"/>
      <c r="D165" s="13"/>
      <c r="E165" s="13"/>
      <c r="F165" s="13"/>
      <c r="G165" s="13"/>
      <c r="H165" s="13"/>
      <c r="I165" s="13"/>
    </row>
    <row r="166">
      <c r="A166" s="40" t="e">
        <v>#N/A</v>
      </c>
      <c r="B166" s="13"/>
      <c r="C166" s="13"/>
      <c r="D166" s="13"/>
      <c r="E166" s="13"/>
      <c r="F166" s="13"/>
      <c r="G166" s="13"/>
      <c r="H166" s="13"/>
      <c r="I166" s="13"/>
    </row>
    <row r="167">
      <c r="A167" s="40" t="e">
        <v>#N/A</v>
      </c>
      <c r="B167" s="13"/>
      <c r="C167" s="13"/>
      <c r="D167" s="13"/>
      <c r="E167" s="13"/>
      <c r="F167" s="13"/>
      <c r="G167" s="13"/>
      <c r="H167" s="13"/>
      <c r="I167" s="13"/>
    </row>
    <row r="168">
      <c r="A168" s="40" t="e">
        <v>#N/A</v>
      </c>
      <c r="B168" s="13"/>
      <c r="C168" s="13"/>
      <c r="D168" s="13"/>
      <c r="E168" s="13"/>
      <c r="F168" s="13"/>
      <c r="G168" s="13"/>
      <c r="H168" s="13"/>
      <c r="I168" s="13"/>
    </row>
    <row r="169">
      <c r="A169" s="40" t="e">
        <v>#N/A</v>
      </c>
      <c r="B169" s="13"/>
      <c r="C169" s="13"/>
      <c r="D169" s="13"/>
      <c r="E169" s="13"/>
      <c r="F169" s="13"/>
      <c r="G169" s="13"/>
      <c r="H169" s="13"/>
      <c r="I169" s="13"/>
    </row>
    <row r="170">
      <c r="A170" s="40" t="e">
        <v>#N/A</v>
      </c>
      <c r="B170" s="13"/>
      <c r="C170" s="13"/>
      <c r="D170" s="13"/>
      <c r="E170" s="13"/>
      <c r="F170" s="13"/>
      <c r="G170" s="13"/>
      <c r="H170" s="13"/>
      <c r="I170" s="13"/>
    </row>
    <row r="171">
      <c r="A171" s="40" t="e">
        <v>#N/A</v>
      </c>
      <c r="B171" s="13"/>
      <c r="C171" s="13"/>
      <c r="D171" s="13"/>
      <c r="E171" s="13"/>
      <c r="F171" s="13"/>
      <c r="G171" s="13"/>
      <c r="H171" s="13"/>
      <c r="I171" s="13"/>
    </row>
    <row r="172">
      <c r="A172" s="40" t="e">
        <v>#N/A</v>
      </c>
      <c r="B172" s="13"/>
      <c r="C172" s="13"/>
      <c r="D172" s="13"/>
      <c r="E172" s="13"/>
      <c r="F172" s="13"/>
      <c r="G172" s="13"/>
      <c r="H172" s="13"/>
      <c r="I172" s="13"/>
    </row>
    <row r="173">
      <c r="A173" s="40" t="e">
        <v>#N/A</v>
      </c>
      <c r="B173" s="13"/>
      <c r="C173" s="13"/>
      <c r="D173" s="13"/>
      <c r="E173" s="13"/>
      <c r="F173" s="13"/>
      <c r="G173" s="13"/>
      <c r="H173" s="13"/>
      <c r="I173" s="13"/>
    </row>
    <row r="174">
      <c r="A174" s="40" t="e">
        <v>#N/A</v>
      </c>
      <c r="B174" s="13"/>
      <c r="C174" s="13"/>
      <c r="D174" s="13"/>
      <c r="E174" s="13"/>
      <c r="F174" s="13"/>
      <c r="G174" s="13"/>
      <c r="H174" s="13"/>
      <c r="I174" s="13"/>
    </row>
    <row r="175">
      <c r="A175" s="40" t="e">
        <v>#N/A</v>
      </c>
      <c r="B175" s="13"/>
      <c r="C175" s="13"/>
      <c r="D175" s="13"/>
      <c r="E175" s="13"/>
      <c r="F175" s="13"/>
      <c r="G175" s="13"/>
      <c r="H175" s="13"/>
      <c r="I175" s="13"/>
    </row>
    <row r="176">
      <c r="A176" s="40" t="e">
        <v>#N/A</v>
      </c>
      <c r="B176" s="13"/>
      <c r="C176" s="13"/>
      <c r="D176" s="13"/>
      <c r="E176" s="13"/>
      <c r="F176" s="13"/>
      <c r="G176" s="13"/>
      <c r="H176" s="13"/>
      <c r="I176" s="13"/>
    </row>
    <row r="177">
      <c r="A177" s="40" t="e">
        <v>#N/A</v>
      </c>
      <c r="B177" s="13"/>
      <c r="C177" s="13"/>
      <c r="D177" s="13"/>
      <c r="E177" s="13"/>
      <c r="F177" s="13"/>
      <c r="G177" s="13"/>
      <c r="H177" s="13"/>
      <c r="I177" s="13"/>
    </row>
    <row r="178">
      <c r="A178" s="40" t="e">
        <v>#N/A</v>
      </c>
      <c r="B178" s="13"/>
      <c r="C178" s="13"/>
      <c r="D178" s="13"/>
      <c r="E178" s="13"/>
      <c r="F178" s="13"/>
      <c r="G178" s="13"/>
      <c r="H178" s="13"/>
      <c r="I178" s="13"/>
    </row>
    <row r="179">
      <c r="A179" s="40" t="e">
        <v>#N/A</v>
      </c>
      <c r="B179" s="13"/>
      <c r="C179" s="13"/>
      <c r="D179" s="13"/>
      <c r="E179" s="13"/>
      <c r="F179" s="13"/>
      <c r="G179" s="13"/>
      <c r="H179" s="13"/>
      <c r="I179" s="13"/>
    </row>
    <row r="180">
      <c r="A180" s="40" t="e">
        <v>#N/A</v>
      </c>
      <c r="B180" s="13"/>
      <c r="C180" s="13"/>
      <c r="D180" s="13"/>
      <c r="E180" s="13"/>
      <c r="F180" s="13"/>
      <c r="G180" s="13"/>
      <c r="H180" s="13"/>
      <c r="I180" s="13"/>
    </row>
    <row r="181">
      <c r="A181" s="40" t="e">
        <v>#N/A</v>
      </c>
      <c r="B181" s="13"/>
      <c r="C181" s="13"/>
      <c r="D181" s="13"/>
      <c r="E181" s="13"/>
      <c r="F181" s="13"/>
      <c r="G181" s="13"/>
      <c r="H181" s="13"/>
      <c r="I181" s="13"/>
    </row>
    <row r="182">
      <c r="A182" s="40" t="e">
        <v>#N/A</v>
      </c>
      <c r="B182" s="13"/>
      <c r="C182" s="13"/>
      <c r="D182" s="13"/>
      <c r="E182" s="13"/>
      <c r="F182" s="13"/>
      <c r="G182" s="13"/>
      <c r="H182" s="13"/>
      <c r="I182" s="13"/>
    </row>
    <row r="183">
      <c r="A183" s="40" t="e">
        <v>#N/A</v>
      </c>
      <c r="B183" s="13"/>
      <c r="C183" s="13"/>
      <c r="D183" s="13"/>
      <c r="E183" s="13"/>
      <c r="F183" s="13"/>
      <c r="G183" s="13"/>
      <c r="H183" s="13"/>
      <c r="I183" s="13"/>
    </row>
    <row r="184">
      <c r="A184" s="40" t="e">
        <v>#N/A</v>
      </c>
      <c r="B184" s="13"/>
      <c r="C184" s="13"/>
      <c r="D184" s="13"/>
      <c r="E184" s="13"/>
      <c r="F184" s="13"/>
      <c r="G184" s="13"/>
      <c r="H184" s="13"/>
      <c r="I184" s="13"/>
    </row>
    <row r="185">
      <c r="A185" s="40" t="e">
        <v>#N/A</v>
      </c>
      <c r="B185" s="13"/>
      <c r="C185" s="13"/>
      <c r="D185" s="13"/>
      <c r="E185" s="13"/>
      <c r="F185" s="13"/>
      <c r="G185" s="13"/>
      <c r="H185" s="13"/>
      <c r="I185" s="13"/>
    </row>
    <row r="186">
      <c r="A186" s="40" t="e">
        <v>#N/A</v>
      </c>
      <c r="B186" s="13"/>
      <c r="C186" s="13"/>
      <c r="D186" s="13"/>
      <c r="E186" s="13"/>
      <c r="F186" s="13"/>
      <c r="G186" s="13"/>
      <c r="H186" s="13"/>
      <c r="I186" s="13"/>
    </row>
    <row r="187">
      <c r="A187" s="40" t="e">
        <v>#N/A</v>
      </c>
      <c r="B187" s="13"/>
      <c r="C187" s="13"/>
      <c r="D187" s="13"/>
      <c r="E187" s="13"/>
      <c r="F187" s="13"/>
      <c r="G187" s="13"/>
      <c r="H187" s="13"/>
      <c r="I187" s="13"/>
    </row>
    <row r="188">
      <c r="A188" s="40" t="e">
        <v>#N/A</v>
      </c>
      <c r="B188" s="13"/>
      <c r="C188" s="13"/>
      <c r="D188" s="13"/>
      <c r="E188" s="13"/>
      <c r="F188" s="13"/>
      <c r="G188" s="13"/>
      <c r="H188" s="13"/>
      <c r="I188" s="13"/>
    </row>
    <row r="189">
      <c r="A189" s="40" t="e">
        <v>#N/A</v>
      </c>
      <c r="B189" s="13"/>
      <c r="C189" s="13"/>
      <c r="D189" s="13"/>
      <c r="E189" s="13"/>
      <c r="F189" s="13"/>
      <c r="G189" s="13"/>
      <c r="H189" s="13"/>
      <c r="I189" s="13"/>
    </row>
    <row r="190">
      <c r="A190" s="40" t="e">
        <v>#N/A</v>
      </c>
      <c r="B190" s="13"/>
      <c r="C190" s="13"/>
      <c r="D190" s="13"/>
      <c r="E190" s="13"/>
      <c r="F190" s="13"/>
      <c r="G190" s="13"/>
      <c r="H190" s="13"/>
      <c r="I190" s="13"/>
    </row>
    <row r="191">
      <c r="A191" s="40" t="e">
        <v>#N/A</v>
      </c>
      <c r="B191" s="13"/>
      <c r="C191" s="13"/>
      <c r="D191" s="13"/>
      <c r="E191" s="13"/>
      <c r="F191" s="13"/>
      <c r="G191" s="13"/>
      <c r="H191" s="13"/>
      <c r="I191" s="13"/>
    </row>
    <row r="192">
      <c r="A192" s="40" t="e">
        <v>#N/A</v>
      </c>
      <c r="B192" s="13"/>
      <c r="C192" s="13"/>
      <c r="D192" s="13"/>
      <c r="E192" s="13"/>
      <c r="F192" s="13"/>
      <c r="G192" s="13"/>
      <c r="H192" s="13"/>
      <c r="I192" s="13"/>
    </row>
    <row r="193">
      <c r="A193" s="40" t="e">
        <v>#N/A</v>
      </c>
      <c r="B193" s="13"/>
      <c r="C193" s="13"/>
      <c r="D193" s="13"/>
      <c r="E193" s="13"/>
      <c r="F193" s="13"/>
      <c r="G193" s="13"/>
      <c r="H193" s="13"/>
      <c r="I193" s="13"/>
    </row>
    <row r="194">
      <c r="A194" s="40" t="e">
        <v>#N/A</v>
      </c>
      <c r="B194" s="13"/>
      <c r="C194" s="13"/>
      <c r="D194" s="13"/>
      <c r="E194" s="13"/>
      <c r="F194" s="13"/>
      <c r="G194" s="13"/>
      <c r="H194" s="13"/>
      <c r="I194" s="13"/>
    </row>
    <row r="195">
      <c r="A195" s="40" t="e">
        <v>#N/A</v>
      </c>
      <c r="B195" s="13"/>
      <c r="C195" s="13"/>
      <c r="D195" s="13"/>
      <c r="E195" s="13"/>
      <c r="F195" s="13"/>
      <c r="G195" s="13"/>
      <c r="H195" s="13"/>
      <c r="I195" s="13"/>
    </row>
    <row r="196">
      <c r="A196" s="40" t="e">
        <v>#N/A</v>
      </c>
      <c r="B196" s="13"/>
      <c r="C196" s="13"/>
      <c r="D196" s="13"/>
      <c r="E196" s="13"/>
      <c r="F196" s="13"/>
      <c r="G196" s="13"/>
      <c r="H196" s="13"/>
      <c r="I196" s="13"/>
    </row>
    <row r="197">
      <c r="A197" s="40" t="e">
        <v>#N/A</v>
      </c>
      <c r="B197" s="13"/>
      <c r="C197" s="13"/>
      <c r="D197" s="13"/>
      <c r="E197" s="13"/>
      <c r="F197" s="13"/>
      <c r="G197" s="13"/>
      <c r="H197" s="13"/>
      <c r="I197" s="13"/>
    </row>
    <row r="198">
      <c r="A198" s="40" t="e">
        <v>#N/A</v>
      </c>
      <c r="B198" s="13"/>
      <c r="C198" s="13"/>
      <c r="D198" s="13"/>
      <c r="E198" s="13"/>
      <c r="F198" s="13"/>
      <c r="G198" s="13"/>
      <c r="H198" s="13"/>
      <c r="I198" s="13"/>
    </row>
    <row r="199">
      <c r="A199" s="40" t="e">
        <v>#N/A</v>
      </c>
      <c r="B199" s="13"/>
      <c r="C199" s="13"/>
      <c r="D199" s="13"/>
      <c r="E199" s="13"/>
      <c r="F199" s="13"/>
      <c r="G199" s="13"/>
      <c r="H199" s="13"/>
      <c r="I199" s="13"/>
    </row>
    <row r="200">
      <c r="A200" s="40" t="e">
        <v>#N/A</v>
      </c>
      <c r="B200" s="13"/>
      <c r="C200" s="13"/>
      <c r="D200" s="13"/>
      <c r="E200" s="13"/>
      <c r="F200" s="13"/>
      <c r="G200" s="13"/>
      <c r="H200" s="13"/>
      <c r="I200" s="13"/>
    </row>
    <row r="201">
      <c r="A201" s="40" t="e">
        <v>#N/A</v>
      </c>
      <c r="B201" s="13"/>
      <c r="C201" s="13"/>
      <c r="D201" s="13"/>
      <c r="E201" s="13"/>
      <c r="F201" s="13"/>
      <c r="G201" s="13"/>
      <c r="H201" s="13"/>
      <c r="I201" s="13"/>
    </row>
    <row r="202">
      <c r="A202" s="40" t="e">
        <v>#N/A</v>
      </c>
      <c r="B202" s="13"/>
      <c r="C202" s="13"/>
      <c r="D202" s="13"/>
      <c r="E202" s="13"/>
      <c r="F202" s="13"/>
      <c r="G202" s="13"/>
      <c r="H202" s="13"/>
      <c r="I202" s="13"/>
    </row>
    <row r="203">
      <c r="A203" s="40" t="e">
        <v>#N/A</v>
      </c>
      <c r="B203" s="13"/>
      <c r="C203" s="13"/>
      <c r="D203" s="13"/>
      <c r="E203" s="13"/>
      <c r="F203" s="13"/>
      <c r="G203" s="13"/>
      <c r="H203" s="13"/>
      <c r="I203" s="13"/>
    </row>
    <row r="204">
      <c r="A204" s="40" t="e">
        <v>#N/A</v>
      </c>
      <c r="B204" s="13"/>
      <c r="C204" s="13"/>
      <c r="D204" s="13"/>
      <c r="E204" s="13"/>
      <c r="F204" s="13"/>
      <c r="G204" s="13"/>
      <c r="H204" s="13"/>
      <c r="I204" s="13"/>
    </row>
    <row r="205">
      <c r="A205" s="40" t="e">
        <v>#N/A</v>
      </c>
      <c r="B205" s="13"/>
      <c r="C205" s="13"/>
      <c r="D205" s="13"/>
      <c r="E205" s="13"/>
      <c r="F205" s="13"/>
      <c r="G205" s="13"/>
      <c r="H205" s="13"/>
      <c r="I205" s="13"/>
    </row>
    <row r="206">
      <c r="A206" s="40" t="e">
        <v>#N/A</v>
      </c>
      <c r="B206" s="13"/>
      <c r="C206" s="13"/>
      <c r="D206" s="13"/>
      <c r="E206" s="13"/>
      <c r="F206" s="13"/>
      <c r="G206" s="13"/>
      <c r="H206" s="13"/>
      <c r="I206" s="13"/>
    </row>
    <row r="207">
      <c r="A207" s="40" t="e">
        <v>#N/A</v>
      </c>
      <c r="B207" s="13"/>
      <c r="C207" s="13"/>
      <c r="D207" s="13"/>
      <c r="E207" s="13"/>
      <c r="F207" s="13"/>
      <c r="G207" s="13"/>
      <c r="H207" s="13"/>
      <c r="I207" s="13"/>
    </row>
    <row r="208">
      <c r="A208" s="40" t="e">
        <v>#N/A</v>
      </c>
      <c r="B208" s="13"/>
      <c r="C208" s="13"/>
      <c r="D208" s="13"/>
      <c r="E208" s="13"/>
      <c r="F208" s="13"/>
      <c r="G208" s="13"/>
      <c r="H208" s="13"/>
      <c r="I208" s="13"/>
    </row>
    <row r="209">
      <c r="A209" s="40" t="e">
        <v>#N/A</v>
      </c>
      <c r="B209" s="13"/>
      <c r="C209" s="13"/>
      <c r="D209" s="13"/>
      <c r="E209" s="13"/>
      <c r="F209" s="13"/>
      <c r="G209" s="13"/>
      <c r="H209" s="13"/>
      <c r="I209" s="13"/>
    </row>
    <row r="210">
      <c r="A210" s="40" t="e">
        <v>#N/A</v>
      </c>
      <c r="B210" s="13"/>
      <c r="C210" s="13"/>
      <c r="D210" s="13"/>
      <c r="E210" s="13"/>
      <c r="F210" s="13"/>
      <c r="G210" s="13"/>
      <c r="H210" s="13"/>
      <c r="I210" s="13"/>
    </row>
    <row r="211">
      <c r="A211" s="40" t="e">
        <v>#N/A</v>
      </c>
      <c r="B211" s="13"/>
      <c r="C211" s="13"/>
      <c r="D211" s="13"/>
      <c r="E211" s="13"/>
      <c r="F211" s="13"/>
      <c r="G211" s="13"/>
      <c r="H211" s="13"/>
      <c r="I211" s="13"/>
    </row>
    <row r="212">
      <c r="A212" s="40" t="e">
        <v>#N/A</v>
      </c>
      <c r="B212" s="13"/>
      <c r="C212" s="13"/>
      <c r="D212" s="13"/>
      <c r="E212" s="13"/>
      <c r="F212" s="13"/>
      <c r="G212" s="13"/>
      <c r="H212" s="13"/>
      <c r="I212" s="13"/>
    </row>
    <row r="213">
      <c r="A213" s="40" t="e">
        <v>#N/A</v>
      </c>
      <c r="B213" s="13"/>
      <c r="C213" s="13"/>
      <c r="D213" s="13"/>
      <c r="E213" s="13"/>
      <c r="F213" s="13"/>
      <c r="G213" s="13"/>
      <c r="H213" s="13"/>
      <c r="I213" s="13"/>
    </row>
    <row r="214">
      <c r="A214" s="40" t="e">
        <v>#N/A</v>
      </c>
      <c r="B214" s="13"/>
      <c r="C214" s="13"/>
      <c r="D214" s="13"/>
      <c r="E214" s="13"/>
      <c r="F214" s="13"/>
      <c r="G214" s="13"/>
      <c r="H214" s="13"/>
      <c r="I214" s="13"/>
    </row>
    <row r="215">
      <c r="A215" s="40" t="e">
        <v>#N/A</v>
      </c>
      <c r="B215" s="13"/>
      <c r="C215" s="13"/>
      <c r="D215" s="13"/>
      <c r="E215" s="13"/>
      <c r="F215" s="13"/>
      <c r="G215" s="13"/>
      <c r="H215" s="13"/>
      <c r="I215" s="13"/>
    </row>
    <row r="216">
      <c r="A216" s="40" t="e">
        <v>#N/A</v>
      </c>
      <c r="B216" s="13"/>
      <c r="C216" s="13"/>
      <c r="D216" s="13"/>
      <c r="E216" s="13"/>
      <c r="F216" s="13"/>
      <c r="G216" s="13"/>
      <c r="H216" s="13"/>
      <c r="I216" s="13"/>
    </row>
    <row r="217">
      <c r="A217" s="40" t="e">
        <v>#N/A</v>
      </c>
      <c r="B217" s="13"/>
      <c r="C217" s="13"/>
      <c r="D217" s="13"/>
      <c r="E217" s="13"/>
      <c r="F217" s="13"/>
      <c r="G217" s="13"/>
      <c r="H217" s="13"/>
      <c r="I217" s="13"/>
    </row>
    <row r="218">
      <c r="A218" s="40" t="e">
        <v>#N/A</v>
      </c>
      <c r="B218" s="13"/>
      <c r="C218" s="13"/>
      <c r="D218" s="13"/>
      <c r="E218" s="13"/>
      <c r="F218" s="13"/>
      <c r="G218" s="13"/>
      <c r="H218" s="13"/>
      <c r="I218" s="13"/>
    </row>
    <row r="219">
      <c r="A219" s="40" t="e">
        <v>#N/A</v>
      </c>
      <c r="B219" s="13"/>
      <c r="C219" s="13"/>
      <c r="D219" s="13"/>
      <c r="E219" s="13"/>
      <c r="F219" s="13"/>
      <c r="G219" s="13"/>
      <c r="H219" s="13"/>
      <c r="I219" s="13"/>
    </row>
    <row r="220">
      <c r="A220" s="40" t="e">
        <v>#N/A</v>
      </c>
      <c r="B220" s="13"/>
      <c r="C220" s="13"/>
      <c r="D220" s="13"/>
      <c r="E220" s="13"/>
      <c r="F220" s="13"/>
      <c r="G220" s="13"/>
      <c r="H220" s="13"/>
      <c r="I220" s="13"/>
    </row>
    <row r="221">
      <c r="A221" s="40" t="e">
        <v>#N/A</v>
      </c>
      <c r="B221" s="13"/>
      <c r="C221" s="13"/>
      <c r="D221" s="13"/>
      <c r="E221" s="13"/>
      <c r="F221" s="13"/>
      <c r="G221" s="13"/>
      <c r="H221" s="13"/>
      <c r="I221" s="13"/>
    </row>
    <row r="222">
      <c r="A222" s="40" t="e">
        <v>#N/A</v>
      </c>
      <c r="B222" s="13"/>
      <c r="C222" s="13"/>
      <c r="D222" s="13"/>
      <c r="E222" s="13"/>
      <c r="F222" s="13"/>
      <c r="G222" s="13"/>
      <c r="H222" s="13"/>
      <c r="I222" s="13"/>
    </row>
    <row r="223">
      <c r="A223" s="40" t="e">
        <v>#N/A</v>
      </c>
      <c r="B223" s="13"/>
      <c r="C223" s="13"/>
      <c r="D223" s="13"/>
      <c r="E223" s="13"/>
      <c r="F223" s="13"/>
      <c r="G223" s="13"/>
      <c r="H223" s="13"/>
      <c r="I223" s="13"/>
    </row>
    <row r="224">
      <c r="A224" s="40" t="e">
        <v>#N/A</v>
      </c>
      <c r="B224" s="13"/>
      <c r="C224" s="13"/>
      <c r="D224" s="13"/>
      <c r="E224" s="13"/>
      <c r="F224" s="13"/>
      <c r="G224" s="13"/>
      <c r="H224" s="13"/>
      <c r="I224" s="13"/>
    </row>
    <row r="225">
      <c r="A225" s="40" t="e">
        <v>#N/A</v>
      </c>
      <c r="B225" s="13"/>
      <c r="C225" s="13"/>
      <c r="D225" s="13"/>
      <c r="E225" s="13"/>
      <c r="F225" s="13"/>
      <c r="G225" s="13"/>
      <c r="H225" s="13"/>
      <c r="I225" s="13"/>
    </row>
    <row r="226">
      <c r="A226" s="40" t="e">
        <v>#N/A</v>
      </c>
      <c r="B226" s="13"/>
      <c r="C226" s="13"/>
      <c r="D226" s="13"/>
      <c r="E226" s="13"/>
      <c r="F226" s="13"/>
      <c r="G226" s="13"/>
      <c r="H226" s="13"/>
      <c r="I226" s="13"/>
    </row>
    <row r="227">
      <c r="A227" s="40" t="e">
        <v>#N/A</v>
      </c>
      <c r="B227" s="13"/>
      <c r="C227" s="13"/>
      <c r="D227" s="13"/>
      <c r="E227" s="13"/>
      <c r="F227" s="13"/>
      <c r="G227" s="13"/>
      <c r="H227" s="13"/>
      <c r="I227" s="13"/>
    </row>
    <row r="228">
      <c r="A228" s="40" t="e">
        <v>#N/A</v>
      </c>
      <c r="B228" s="13"/>
      <c r="C228" s="13"/>
      <c r="D228" s="13"/>
      <c r="E228" s="13"/>
      <c r="F228" s="13"/>
      <c r="G228" s="13"/>
      <c r="H228" s="13"/>
      <c r="I228" s="13"/>
    </row>
    <row r="229">
      <c r="A229" s="40" t="e">
        <v>#N/A</v>
      </c>
      <c r="B229" s="13"/>
      <c r="C229" s="13"/>
      <c r="D229" s="13"/>
      <c r="E229" s="13"/>
      <c r="F229" s="13"/>
      <c r="G229" s="13"/>
      <c r="H229" s="13"/>
      <c r="I229" s="13"/>
    </row>
    <row r="230">
      <c r="A230" s="40" t="e">
        <v>#N/A</v>
      </c>
      <c r="B230" s="13"/>
      <c r="C230" s="13"/>
      <c r="D230" s="13"/>
      <c r="E230" s="13"/>
      <c r="F230" s="13"/>
      <c r="G230" s="13"/>
      <c r="H230" s="13"/>
      <c r="I230" s="13"/>
    </row>
    <row r="231">
      <c r="A231" s="40" t="e">
        <v>#N/A</v>
      </c>
      <c r="B231" s="13"/>
      <c r="C231" s="13"/>
      <c r="D231" s="13"/>
      <c r="E231" s="13"/>
      <c r="F231" s="13"/>
      <c r="G231" s="13"/>
      <c r="H231" s="13"/>
      <c r="I231" s="13"/>
    </row>
    <row r="232">
      <c r="A232" s="40" t="e">
        <v>#N/A</v>
      </c>
      <c r="B232" s="13"/>
      <c r="C232" s="13"/>
      <c r="D232" s="13"/>
      <c r="E232" s="13"/>
      <c r="F232" s="13"/>
      <c r="G232" s="13"/>
      <c r="H232" s="13"/>
      <c r="I232" s="13"/>
    </row>
    <row r="233">
      <c r="A233" s="40" t="e">
        <v>#N/A</v>
      </c>
      <c r="B233" s="13"/>
      <c r="C233" s="13"/>
      <c r="D233" s="13"/>
      <c r="E233" s="13"/>
      <c r="F233" s="13"/>
      <c r="G233" s="13"/>
      <c r="H233" s="13"/>
      <c r="I233" s="13"/>
    </row>
    <row r="234">
      <c r="A234" s="40" t="e">
        <v>#N/A</v>
      </c>
      <c r="B234" s="13"/>
      <c r="C234" s="13"/>
      <c r="D234" s="13"/>
      <c r="E234" s="13"/>
      <c r="F234" s="13"/>
      <c r="G234" s="13"/>
      <c r="H234" s="13"/>
      <c r="I234" s="13"/>
    </row>
    <row r="235">
      <c r="A235" s="40" t="e">
        <v>#N/A</v>
      </c>
      <c r="B235" s="13"/>
      <c r="C235" s="13"/>
      <c r="D235" s="13"/>
      <c r="E235" s="13"/>
      <c r="F235" s="13"/>
      <c r="G235" s="13"/>
      <c r="H235" s="13"/>
      <c r="I235" s="13"/>
    </row>
    <row r="236">
      <c r="A236" s="40" t="e">
        <v>#N/A</v>
      </c>
      <c r="B236" s="13"/>
      <c r="C236" s="13"/>
      <c r="D236" s="13"/>
      <c r="E236" s="13"/>
      <c r="F236" s="13"/>
      <c r="G236" s="13"/>
      <c r="H236" s="13"/>
      <c r="I236" s="13"/>
    </row>
    <row r="237">
      <c r="A237" s="40" t="e">
        <v>#N/A</v>
      </c>
      <c r="B237" s="13"/>
      <c r="C237" s="13"/>
      <c r="D237" s="13"/>
      <c r="E237" s="13"/>
      <c r="F237" s="13"/>
      <c r="G237" s="13"/>
      <c r="H237" s="13"/>
      <c r="I237" s="13"/>
    </row>
    <row r="238">
      <c r="A238" s="40" t="e">
        <v>#N/A</v>
      </c>
      <c r="B238" s="13"/>
      <c r="C238" s="13"/>
      <c r="D238" s="13"/>
      <c r="E238" s="13"/>
      <c r="F238" s="13"/>
      <c r="G238" s="13"/>
      <c r="H238" s="13"/>
      <c r="I238" s="13"/>
    </row>
    <row r="239">
      <c r="A239" s="40" t="e">
        <v>#N/A</v>
      </c>
      <c r="B239" s="13"/>
      <c r="C239" s="13"/>
      <c r="D239" s="13"/>
      <c r="E239" s="13"/>
      <c r="F239" s="13"/>
      <c r="G239" s="13"/>
      <c r="H239" s="13"/>
      <c r="I239" s="13"/>
    </row>
    <row r="240">
      <c r="A240" s="40" t="e">
        <v>#N/A</v>
      </c>
      <c r="B240" s="13"/>
      <c r="C240" s="13"/>
      <c r="D240" s="13"/>
      <c r="E240" s="13"/>
      <c r="F240" s="13"/>
      <c r="G240" s="13"/>
      <c r="H240" s="13"/>
      <c r="I240" s="13"/>
    </row>
    <row r="241">
      <c r="A241" s="40" t="e">
        <v>#N/A</v>
      </c>
      <c r="B241" s="13"/>
      <c r="C241" s="13"/>
      <c r="D241" s="13"/>
      <c r="E241" s="13"/>
      <c r="F241" s="13"/>
      <c r="G241" s="13"/>
      <c r="H241" s="13"/>
      <c r="I241" s="13"/>
    </row>
    <row r="242">
      <c r="A242" s="40" t="e">
        <v>#N/A</v>
      </c>
      <c r="B242" s="13"/>
      <c r="C242" s="13"/>
      <c r="D242" s="13"/>
      <c r="E242" s="13"/>
      <c r="F242" s="13"/>
      <c r="G242" s="13"/>
      <c r="H242" s="13"/>
      <c r="I242" s="13"/>
    </row>
    <row r="243">
      <c r="A243" s="40" t="e">
        <v>#N/A</v>
      </c>
      <c r="B243" s="13"/>
      <c r="C243" s="13"/>
      <c r="D243" s="13"/>
      <c r="E243" s="13"/>
      <c r="F243" s="13"/>
      <c r="G243" s="13"/>
      <c r="H243" s="13"/>
      <c r="I243" s="13"/>
    </row>
    <row r="244">
      <c r="A244" s="40" t="e">
        <v>#N/A</v>
      </c>
      <c r="B244" s="13"/>
      <c r="C244" s="13"/>
      <c r="D244" s="13"/>
      <c r="E244" s="13"/>
      <c r="F244" s="13"/>
      <c r="G244" s="13"/>
      <c r="H244" s="13"/>
      <c r="I244" s="13"/>
    </row>
    <row r="245">
      <c r="A245" s="40" t="e">
        <v>#N/A</v>
      </c>
      <c r="B245" s="13"/>
      <c r="C245" s="13"/>
      <c r="D245" s="13"/>
      <c r="E245" s="13"/>
      <c r="F245" s="13"/>
      <c r="G245" s="13"/>
      <c r="H245" s="13"/>
      <c r="I245" s="13"/>
    </row>
    <row r="246">
      <c r="A246" s="40" t="e">
        <v>#N/A</v>
      </c>
      <c r="B246" s="13"/>
      <c r="C246" s="13"/>
      <c r="D246" s="13"/>
      <c r="E246" s="13"/>
      <c r="F246" s="13"/>
      <c r="G246" s="13"/>
      <c r="H246" s="13"/>
      <c r="I246" s="13"/>
    </row>
    <row r="247">
      <c r="A247" s="40" t="e">
        <v>#N/A</v>
      </c>
      <c r="B247" s="13"/>
      <c r="C247" s="13"/>
      <c r="D247" s="13"/>
      <c r="E247" s="13"/>
      <c r="F247" s="13"/>
      <c r="G247" s="13"/>
      <c r="H247" s="13"/>
      <c r="I247" s="13"/>
    </row>
    <row r="248">
      <c r="A248" s="40" t="e">
        <v>#N/A</v>
      </c>
      <c r="B248" s="13"/>
      <c r="C248" s="13"/>
      <c r="D248" s="13"/>
      <c r="E248" s="13"/>
      <c r="F248" s="13"/>
      <c r="G248" s="13"/>
      <c r="H248" s="13"/>
      <c r="I248" s="13"/>
    </row>
    <row r="249">
      <c r="A249" s="40" t="e">
        <v>#N/A</v>
      </c>
      <c r="B249" s="13"/>
      <c r="C249" s="13"/>
      <c r="D249" s="13"/>
      <c r="E249" s="13"/>
      <c r="F249" s="13"/>
      <c r="G249" s="13"/>
      <c r="H249" s="13"/>
      <c r="I249" s="13"/>
    </row>
    <row r="250">
      <c r="A250" s="40" t="e">
        <v>#N/A</v>
      </c>
      <c r="B250" s="13"/>
      <c r="C250" s="13"/>
      <c r="D250" s="13"/>
      <c r="E250" s="13"/>
      <c r="F250" s="13"/>
      <c r="G250" s="13"/>
      <c r="H250" s="13"/>
      <c r="I250" s="13"/>
    </row>
    <row r="251">
      <c r="A251" s="40" t="e">
        <v>#N/A</v>
      </c>
      <c r="B251" s="13"/>
      <c r="C251" s="13"/>
      <c r="D251" s="13"/>
      <c r="E251" s="13"/>
      <c r="F251" s="13"/>
      <c r="G251" s="13"/>
      <c r="H251" s="13"/>
      <c r="I251" s="13"/>
    </row>
    <row r="252">
      <c r="A252" s="40" t="e">
        <v>#N/A</v>
      </c>
      <c r="B252" s="13"/>
      <c r="C252" s="13"/>
      <c r="D252" s="13"/>
      <c r="E252" s="13"/>
      <c r="F252" s="13"/>
      <c r="G252" s="13"/>
      <c r="H252" s="13"/>
      <c r="I252" s="13"/>
    </row>
    <row r="253">
      <c r="A253" s="40" t="e">
        <v>#N/A</v>
      </c>
      <c r="B253" s="13"/>
      <c r="C253" s="13"/>
      <c r="D253" s="13"/>
      <c r="E253" s="13"/>
      <c r="F253" s="13"/>
      <c r="G253" s="13"/>
      <c r="H253" s="13"/>
      <c r="I253" s="13"/>
    </row>
    <row r="254">
      <c r="A254" s="40" t="e">
        <v>#N/A</v>
      </c>
      <c r="B254" s="13"/>
      <c r="C254" s="13"/>
      <c r="D254" s="13"/>
      <c r="E254" s="13"/>
      <c r="F254" s="13"/>
      <c r="G254" s="13"/>
      <c r="H254" s="13"/>
      <c r="I254" s="13"/>
    </row>
    <row r="255">
      <c r="A255" s="40" t="e">
        <v>#N/A</v>
      </c>
      <c r="B255" s="13"/>
      <c r="C255" s="13"/>
      <c r="D255" s="13"/>
      <c r="E255" s="13"/>
      <c r="F255" s="13"/>
      <c r="G255" s="13"/>
      <c r="H255" s="13"/>
      <c r="I255" s="13"/>
    </row>
    <row r="256">
      <c r="A256" s="40" t="e">
        <v>#N/A</v>
      </c>
      <c r="B256" s="13"/>
      <c r="C256" s="13"/>
      <c r="D256" s="13"/>
      <c r="E256" s="13"/>
      <c r="F256" s="13"/>
      <c r="G256" s="13"/>
      <c r="H256" s="13"/>
      <c r="I256" s="13"/>
    </row>
    <row r="257">
      <c r="A257" s="40" t="e">
        <v>#N/A</v>
      </c>
      <c r="B257" s="13"/>
      <c r="C257" s="13"/>
      <c r="D257" s="13"/>
      <c r="E257" s="13"/>
      <c r="F257" s="13"/>
      <c r="G257" s="13"/>
      <c r="H257" s="13"/>
      <c r="I257" s="13"/>
    </row>
    <row r="258">
      <c r="A258" s="40" t="e">
        <v>#N/A</v>
      </c>
      <c r="B258" s="13"/>
      <c r="C258" s="13"/>
      <c r="D258" s="13"/>
      <c r="E258" s="13"/>
      <c r="F258" s="13"/>
      <c r="G258" s="13"/>
      <c r="H258" s="13"/>
      <c r="I258" s="13"/>
    </row>
    <row r="259">
      <c r="A259" s="40" t="e">
        <v>#N/A</v>
      </c>
      <c r="B259" s="13"/>
      <c r="C259" s="13"/>
      <c r="D259" s="13"/>
      <c r="E259" s="13"/>
      <c r="F259" s="13"/>
      <c r="G259" s="13"/>
      <c r="H259" s="13"/>
      <c r="I259" s="13"/>
    </row>
    <row r="260">
      <c r="A260" s="40" t="e">
        <v>#N/A</v>
      </c>
      <c r="B260" s="13"/>
      <c r="C260" s="13"/>
      <c r="D260" s="13"/>
      <c r="E260" s="13"/>
      <c r="F260" s="13"/>
      <c r="G260" s="13"/>
      <c r="H260" s="13"/>
      <c r="I260" s="13"/>
    </row>
    <row r="261">
      <c r="A261" s="40" t="e">
        <v>#N/A</v>
      </c>
      <c r="B261" s="13"/>
      <c r="C261" s="13"/>
      <c r="D261" s="13"/>
      <c r="E261" s="13"/>
      <c r="F261" s="13"/>
      <c r="G261" s="13"/>
      <c r="H261" s="13"/>
      <c r="I261" s="13"/>
    </row>
    <row r="262">
      <c r="A262" s="40" t="e">
        <v>#N/A</v>
      </c>
      <c r="B262" s="13"/>
      <c r="C262" s="13"/>
      <c r="D262" s="13"/>
      <c r="E262" s="13"/>
      <c r="F262" s="13"/>
      <c r="G262" s="13"/>
      <c r="H262" s="13"/>
      <c r="I262" s="13"/>
    </row>
    <row r="263">
      <c r="A263" s="40" t="e">
        <v>#N/A</v>
      </c>
      <c r="B263" s="13"/>
      <c r="C263" s="13"/>
      <c r="D263" s="13"/>
      <c r="E263" s="13"/>
      <c r="F263" s="13"/>
      <c r="G263" s="13"/>
      <c r="H263" s="13"/>
      <c r="I263" s="13"/>
    </row>
    <row r="264">
      <c r="A264" s="40" t="e">
        <v>#N/A</v>
      </c>
      <c r="B264" s="13"/>
      <c r="C264" s="13"/>
      <c r="D264" s="13"/>
      <c r="E264" s="13"/>
      <c r="F264" s="13"/>
      <c r="G264" s="13"/>
      <c r="H264" s="13"/>
      <c r="I264" s="13"/>
    </row>
    <row r="265">
      <c r="A265" s="40" t="e">
        <v>#N/A</v>
      </c>
      <c r="B265" s="13"/>
      <c r="C265" s="13"/>
      <c r="D265" s="13"/>
      <c r="E265" s="13"/>
      <c r="F265" s="13"/>
      <c r="G265" s="13"/>
      <c r="H265" s="13"/>
      <c r="I265" s="13"/>
    </row>
    <row r="266">
      <c r="A266" s="40" t="e">
        <v>#N/A</v>
      </c>
      <c r="B266" s="13"/>
      <c r="C266" s="13"/>
      <c r="D266" s="13"/>
      <c r="E266" s="13"/>
      <c r="F266" s="13"/>
      <c r="G266" s="13"/>
      <c r="H266" s="13"/>
      <c r="I266" s="13"/>
    </row>
    <row r="267">
      <c r="A267" s="40" t="e">
        <v>#N/A</v>
      </c>
      <c r="B267" s="13"/>
      <c r="C267" s="13"/>
      <c r="D267" s="13"/>
      <c r="E267" s="13"/>
      <c r="F267" s="13"/>
      <c r="G267" s="13"/>
      <c r="H267" s="13"/>
      <c r="I267" s="13"/>
    </row>
    <row r="268">
      <c r="A268" s="40" t="e">
        <v>#N/A</v>
      </c>
      <c r="B268" s="13"/>
      <c r="C268" s="13"/>
      <c r="D268" s="13"/>
      <c r="E268" s="13"/>
      <c r="F268" s="13"/>
      <c r="G268" s="13"/>
      <c r="H268" s="13"/>
      <c r="I268" s="13"/>
    </row>
    <row r="269">
      <c r="A269" s="40" t="e">
        <v>#N/A</v>
      </c>
      <c r="B269" s="13"/>
      <c r="C269" s="13"/>
      <c r="D269" s="13"/>
      <c r="E269" s="13"/>
      <c r="F269" s="13"/>
      <c r="G269" s="13"/>
      <c r="H269" s="13"/>
      <c r="I269" s="13"/>
    </row>
    <row r="270">
      <c r="A270" s="40" t="e">
        <v>#N/A</v>
      </c>
      <c r="B270" s="13"/>
      <c r="C270" s="13"/>
      <c r="D270" s="13"/>
      <c r="E270" s="13"/>
      <c r="F270" s="13"/>
      <c r="G270" s="13"/>
      <c r="H270" s="13"/>
      <c r="I270" s="13"/>
    </row>
    <row r="271">
      <c r="A271" s="40" t="e">
        <v>#N/A</v>
      </c>
      <c r="B271" s="13"/>
      <c r="C271" s="13"/>
      <c r="D271" s="13"/>
      <c r="E271" s="13"/>
      <c r="F271" s="13"/>
      <c r="G271" s="13"/>
      <c r="H271" s="13"/>
      <c r="I271" s="13"/>
    </row>
    <row r="272">
      <c r="A272" s="40" t="e">
        <v>#N/A</v>
      </c>
      <c r="B272" s="13"/>
      <c r="C272" s="13"/>
      <c r="D272" s="13"/>
      <c r="E272" s="13"/>
      <c r="F272" s="13"/>
      <c r="G272" s="13"/>
      <c r="H272" s="13"/>
      <c r="I272" s="13"/>
    </row>
    <row r="273">
      <c r="A273" s="40" t="e">
        <v>#N/A</v>
      </c>
      <c r="B273" s="13"/>
      <c r="C273" s="13"/>
      <c r="D273" s="13"/>
      <c r="E273" s="13"/>
      <c r="F273" s="13"/>
      <c r="G273" s="13"/>
      <c r="H273" s="13"/>
      <c r="I273" s="13"/>
    </row>
    <row r="274">
      <c r="A274" s="40" t="e">
        <v>#N/A</v>
      </c>
      <c r="B274" s="13"/>
      <c r="C274" s="13"/>
      <c r="D274" s="13"/>
      <c r="E274" s="13"/>
      <c r="F274" s="13"/>
      <c r="G274" s="13"/>
      <c r="H274" s="13"/>
      <c r="I274" s="13"/>
    </row>
    <row r="275">
      <c r="A275" s="40" t="e">
        <v>#N/A</v>
      </c>
      <c r="B275" s="13"/>
      <c r="C275" s="13"/>
      <c r="D275" s="13"/>
      <c r="E275" s="13"/>
      <c r="F275" s="13"/>
      <c r="G275" s="13"/>
      <c r="H275" s="13"/>
      <c r="I275" s="13"/>
    </row>
    <row r="276">
      <c r="A276" s="40" t="e">
        <v>#N/A</v>
      </c>
      <c r="B276" s="13"/>
      <c r="C276" s="13"/>
      <c r="D276" s="13"/>
      <c r="E276" s="13"/>
      <c r="F276" s="13"/>
      <c r="G276" s="13"/>
      <c r="H276" s="13"/>
      <c r="I276" s="13"/>
    </row>
    <row r="277">
      <c r="A277" s="40" t="e">
        <v>#N/A</v>
      </c>
      <c r="B277" s="13"/>
      <c r="C277" s="13"/>
      <c r="D277" s="13"/>
      <c r="E277" s="13"/>
      <c r="F277" s="13"/>
      <c r="G277" s="13"/>
      <c r="H277" s="13"/>
      <c r="I277" s="13"/>
    </row>
    <row r="278">
      <c r="A278" s="40" t="e">
        <v>#N/A</v>
      </c>
      <c r="B278" s="13"/>
      <c r="C278" s="13"/>
      <c r="D278" s="13"/>
      <c r="E278" s="13"/>
      <c r="F278" s="13"/>
      <c r="G278" s="13"/>
      <c r="H278" s="13"/>
      <c r="I278" s="13"/>
    </row>
    <row r="279">
      <c r="A279" s="40" t="e">
        <v>#N/A</v>
      </c>
      <c r="B279" s="13"/>
      <c r="C279" s="13"/>
      <c r="D279" s="13"/>
      <c r="E279" s="13"/>
      <c r="F279" s="13"/>
      <c r="G279" s="13"/>
      <c r="H279" s="13"/>
      <c r="I279" s="13"/>
    </row>
    <row r="280">
      <c r="A280" s="40" t="e">
        <v>#N/A</v>
      </c>
      <c r="B280" s="13"/>
      <c r="C280" s="13"/>
      <c r="D280" s="13"/>
      <c r="E280" s="13"/>
      <c r="F280" s="13"/>
      <c r="G280" s="13"/>
      <c r="H280" s="13"/>
      <c r="I280" s="13"/>
    </row>
    <row r="281">
      <c r="A281" s="40" t="e">
        <v>#N/A</v>
      </c>
      <c r="B281" s="13"/>
      <c r="C281" s="13"/>
      <c r="D281" s="13"/>
      <c r="E281" s="13"/>
      <c r="F281" s="13"/>
      <c r="G281" s="13"/>
      <c r="H281" s="13"/>
      <c r="I281" s="13"/>
    </row>
    <row r="282">
      <c r="A282" s="40" t="e">
        <v>#N/A</v>
      </c>
      <c r="B282" s="13"/>
      <c r="C282" s="13"/>
      <c r="D282" s="13"/>
      <c r="E282" s="13"/>
      <c r="F282" s="13"/>
      <c r="G282" s="13"/>
      <c r="H282" s="13"/>
      <c r="I282" s="13"/>
    </row>
    <row r="283">
      <c r="A283" s="40" t="e">
        <v>#N/A</v>
      </c>
      <c r="B283" s="13"/>
      <c r="C283" s="13"/>
      <c r="D283" s="13"/>
      <c r="E283" s="13"/>
      <c r="F283" s="13"/>
      <c r="G283" s="13"/>
      <c r="H283" s="13"/>
      <c r="I283" s="13"/>
    </row>
    <row r="284">
      <c r="A284" s="40" t="e">
        <v>#N/A</v>
      </c>
      <c r="B284" s="13"/>
      <c r="C284" s="13"/>
      <c r="D284" s="13"/>
      <c r="E284" s="13"/>
      <c r="F284" s="13"/>
      <c r="G284" s="13"/>
      <c r="H284" s="13"/>
      <c r="I284" s="13"/>
    </row>
    <row r="285">
      <c r="A285" s="40" t="e">
        <v>#N/A</v>
      </c>
      <c r="B285" s="13"/>
      <c r="C285" s="13"/>
      <c r="D285" s="13"/>
      <c r="E285" s="13"/>
      <c r="F285" s="13"/>
      <c r="G285" s="13"/>
      <c r="H285" s="13"/>
      <c r="I285" s="13"/>
    </row>
    <row r="286">
      <c r="A286" s="40" t="e">
        <v>#N/A</v>
      </c>
      <c r="B286" s="13"/>
      <c r="C286" s="13"/>
      <c r="D286" s="13"/>
      <c r="E286" s="13"/>
      <c r="F286" s="13"/>
      <c r="G286" s="13"/>
      <c r="H286" s="13"/>
      <c r="I286" s="13"/>
    </row>
    <row r="287">
      <c r="A287" s="40" t="e">
        <v>#N/A</v>
      </c>
      <c r="B287" s="13"/>
      <c r="C287" s="13"/>
      <c r="D287" s="13"/>
      <c r="E287" s="13"/>
      <c r="F287" s="13"/>
      <c r="G287" s="13"/>
      <c r="H287" s="13"/>
      <c r="I287" s="13"/>
    </row>
    <row r="288">
      <c r="A288" s="40" t="e">
        <v>#N/A</v>
      </c>
      <c r="B288" s="13"/>
      <c r="C288" s="13"/>
      <c r="D288" s="13"/>
      <c r="E288" s="13"/>
      <c r="F288" s="13"/>
      <c r="G288" s="13"/>
      <c r="H288" s="13"/>
      <c r="I288" s="13"/>
    </row>
    <row r="289">
      <c r="A289" s="40" t="e">
        <v>#N/A</v>
      </c>
      <c r="B289" s="13"/>
      <c r="C289" s="13"/>
      <c r="D289" s="13"/>
      <c r="E289" s="13"/>
      <c r="F289" s="13"/>
      <c r="G289" s="13"/>
      <c r="H289" s="13"/>
      <c r="I289" s="13"/>
    </row>
    <row r="290">
      <c r="A290" s="40" t="e">
        <v>#N/A</v>
      </c>
      <c r="B290" s="13"/>
      <c r="C290" s="13"/>
      <c r="D290" s="13"/>
      <c r="E290" s="13"/>
      <c r="F290" s="13"/>
      <c r="G290" s="13"/>
      <c r="H290" s="13"/>
      <c r="I290" s="13"/>
    </row>
    <row r="291">
      <c r="A291" s="40" t="e">
        <v>#N/A</v>
      </c>
      <c r="B291" s="13"/>
      <c r="C291" s="13"/>
      <c r="D291" s="13"/>
      <c r="E291" s="13"/>
      <c r="F291" s="13"/>
      <c r="G291" s="13"/>
      <c r="H291" s="13"/>
      <c r="I291" s="13"/>
    </row>
    <row r="292">
      <c r="A292" s="40" t="e">
        <v>#N/A</v>
      </c>
      <c r="B292" s="13"/>
      <c r="C292" s="13"/>
      <c r="D292" s="13"/>
      <c r="E292" s="13"/>
      <c r="F292" s="13"/>
      <c r="G292" s="13"/>
      <c r="H292" s="13"/>
      <c r="I292" s="13"/>
    </row>
    <row r="293">
      <c r="A293" s="40" t="e">
        <v>#N/A</v>
      </c>
      <c r="B293" s="13"/>
      <c r="C293" s="13"/>
      <c r="D293" s="13"/>
      <c r="E293" s="13"/>
      <c r="F293" s="13"/>
      <c r="G293" s="13"/>
      <c r="H293" s="13"/>
      <c r="I293" s="13"/>
    </row>
    <row r="294">
      <c r="A294" s="40" t="e">
        <v>#N/A</v>
      </c>
      <c r="B294" s="13"/>
      <c r="C294" s="13"/>
      <c r="D294" s="13"/>
      <c r="E294" s="13"/>
      <c r="F294" s="13"/>
      <c r="G294" s="13"/>
      <c r="H294" s="13"/>
      <c r="I294" s="13"/>
    </row>
    <row r="295">
      <c r="A295" s="40" t="e">
        <v>#N/A</v>
      </c>
      <c r="B295" s="13"/>
      <c r="C295" s="13"/>
      <c r="D295" s="13"/>
      <c r="E295" s="13"/>
      <c r="F295" s="13"/>
      <c r="G295" s="13"/>
      <c r="H295" s="13"/>
      <c r="I295" s="13"/>
    </row>
    <row r="296">
      <c r="A296" s="40" t="e">
        <v>#N/A</v>
      </c>
      <c r="B296" s="13"/>
      <c r="C296" s="13"/>
      <c r="D296" s="13"/>
      <c r="E296" s="13"/>
      <c r="F296" s="13"/>
      <c r="G296" s="13"/>
      <c r="H296" s="13"/>
      <c r="I296" s="13"/>
    </row>
    <row r="297">
      <c r="A297" s="40" t="e">
        <v>#N/A</v>
      </c>
      <c r="B297" s="13"/>
      <c r="C297" s="13"/>
      <c r="D297" s="13"/>
      <c r="E297" s="13"/>
      <c r="F297" s="13"/>
      <c r="G297" s="13"/>
      <c r="H297" s="13"/>
      <c r="I297" s="13"/>
    </row>
    <row r="298">
      <c r="A298" s="40" t="e">
        <v>#N/A</v>
      </c>
      <c r="B298" s="13"/>
      <c r="C298" s="13"/>
      <c r="D298" s="13"/>
      <c r="E298" s="13"/>
      <c r="F298" s="13"/>
      <c r="G298" s="13"/>
      <c r="H298" s="13"/>
      <c r="I298" s="13"/>
    </row>
    <row r="299">
      <c r="A299" s="40" t="e">
        <v>#N/A</v>
      </c>
      <c r="B299" s="13"/>
      <c r="C299" s="13"/>
      <c r="D299" s="13"/>
      <c r="E299" s="13"/>
      <c r="F299" s="13"/>
      <c r="G299" s="13"/>
      <c r="H299" s="13"/>
      <c r="I299" s="13"/>
    </row>
    <row r="300">
      <c r="A300" s="40" t="e">
        <v>#N/A</v>
      </c>
      <c r="B300" s="13"/>
      <c r="C300" s="13"/>
      <c r="D300" s="13"/>
      <c r="E300" s="13"/>
      <c r="F300" s="13"/>
      <c r="G300" s="13"/>
      <c r="H300" s="13"/>
      <c r="I300" s="13"/>
    </row>
    <row r="301">
      <c r="A301" s="40" t="e">
        <v>#N/A</v>
      </c>
      <c r="B301" s="13"/>
      <c r="C301" s="13"/>
      <c r="D301" s="13"/>
      <c r="E301" s="13"/>
      <c r="F301" s="13"/>
      <c r="G301" s="13"/>
      <c r="H301" s="13"/>
      <c r="I301" s="13"/>
    </row>
    <row r="302">
      <c r="A302" s="40" t="e">
        <v>#N/A</v>
      </c>
      <c r="B302" s="13"/>
      <c r="C302" s="13"/>
      <c r="D302" s="13"/>
      <c r="E302" s="13"/>
      <c r="F302" s="13"/>
      <c r="G302" s="13"/>
      <c r="H302" s="13"/>
      <c r="I302" s="13"/>
    </row>
    <row r="303">
      <c r="A303" s="40" t="e">
        <v>#N/A</v>
      </c>
      <c r="B303" s="13"/>
      <c r="C303" s="13"/>
      <c r="D303" s="13"/>
      <c r="E303" s="13"/>
      <c r="F303" s="13"/>
      <c r="G303" s="13"/>
      <c r="H303" s="13"/>
      <c r="I303" s="13"/>
    </row>
    <row r="304">
      <c r="A304" s="40" t="e">
        <v>#N/A</v>
      </c>
      <c r="B304" s="13"/>
      <c r="C304" s="13"/>
      <c r="D304" s="13"/>
      <c r="E304" s="13"/>
      <c r="F304" s="13"/>
      <c r="G304" s="13"/>
      <c r="H304" s="13"/>
      <c r="I304" s="13"/>
    </row>
    <row r="305">
      <c r="A305" s="40" t="e">
        <v>#N/A</v>
      </c>
      <c r="B305" s="13"/>
      <c r="C305" s="13"/>
      <c r="D305" s="13"/>
      <c r="E305" s="13"/>
      <c r="F305" s="13"/>
      <c r="G305" s="13"/>
      <c r="H305" s="13"/>
      <c r="I305" s="13"/>
    </row>
    <row r="306">
      <c r="A306" s="40" t="e">
        <v>#N/A</v>
      </c>
      <c r="B306" s="13"/>
      <c r="C306" s="13"/>
      <c r="D306" s="13"/>
      <c r="E306" s="13"/>
      <c r="F306" s="13"/>
      <c r="G306" s="13"/>
      <c r="H306" s="13"/>
      <c r="I306" s="13"/>
    </row>
    <row r="307">
      <c r="A307" s="40" t="e">
        <v>#N/A</v>
      </c>
      <c r="B307" s="13"/>
      <c r="C307" s="13"/>
      <c r="D307" s="13"/>
      <c r="E307" s="13"/>
      <c r="F307" s="13"/>
      <c r="G307" s="13"/>
      <c r="H307" s="13"/>
      <c r="I307" s="13"/>
    </row>
    <row r="308">
      <c r="A308" s="40" t="e">
        <v>#N/A</v>
      </c>
      <c r="B308" s="13"/>
      <c r="C308" s="13"/>
      <c r="D308" s="13"/>
      <c r="E308" s="13"/>
      <c r="F308" s="13"/>
      <c r="G308" s="13"/>
      <c r="H308" s="13"/>
      <c r="I308" s="13"/>
    </row>
    <row r="309">
      <c r="A309" s="40" t="e">
        <v>#N/A</v>
      </c>
      <c r="B309" s="13"/>
      <c r="C309" s="13"/>
      <c r="D309" s="13"/>
      <c r="E309" s="13"/>
      <c r="F309" s="13"/>
      <c r="G309" s="13"/>
      <c r="H309" s="13"/>
      <c r="I309" s="13"/>
    </row>
    <row r="310">
      <c r="A310" s="40" t="e">
        <v>#N/A</v>
      </c>
      <c r="B310" s="13"/>
      <c r="C310" s="13"/>
      <c r="D310" s="13"/>
      <c r="E310" s="13"/>
      <c r="F310" s="13"/>
      <c r="G310" s="13"/>
      <c r="H310" s="13"/>
      <c r="I310" s="13"/>
    </row>
    <row r="311">
      <c r="A311" s="40" t="e">
        <v>#N/A</v>
      </c>
      <c r="B311" s="13"/>
      <c r="C311" s="13"/>
      <c r="D311" s="13"/>
      <c r="E311" s="13"/>
      <c r="F311" s="13"/>
      <c r="G311" s="13"/>
      <c r="H311" s="13"/>
      <c r="I311" s="13"/>
    </row>
    <row r="312">
      <c r="A312" s="40" t="e">
        <v>#N/A</v>
      </c>
      <c r="B312" s="13"/>
      <c r="C312" s="13"/>
      <c r="D312" s="13"/>
      <c r="E312" s="13"/>
      <c r="F312" s="13"/>
      <c r="G312" s="13"/>
      <c r="H312" s="13"/>
      <c r="I312" s="13"/>
    </row>
    <row r="313">
      <c r="A313" s="40" t="e">
        <v>#N/A</v>
      </c>
      <c r="B313" s="13"/>
      <c r="C313" s="13"/>
      <c r="D313" s="13"/>
      <c r="E313" s="13"/>
      <c r="F313" s="13"/>
      <c r="G313" s="13"/>
      <c r="H313" s="13"/>
      <c r="I313" s="13"/>
    </row>
    <row r="314">
      <c r="A314" s="40" t="e">
        <v>#N/A</v>
      </c>
      <c r="B314" s="13"/>
      <c r="C314" s="13"/>
      <c r="D314" s="13"/>
      <c r="E314" s="13"/>
      <c r="F314" s="13"/>
      <c r="G314" s="13"/>
      <c r="H314" s="13"/>
      <c r="I314" s="13"/>
    </row>
    <row r="315">
      <c r="A315" s="40" t="e">
        <v>#N/A</v>
      </c>
      <c r="B315" s="13"/>
      <c r="C315" s="13"/>
      <c r="D315" s="13"/>
      <c r="E315" s="13"/>
      <c r="F315" s="13"/>
      <c r="G315" s="13"/>
      <c r="H315" s="13"/>
      <c r="I315" s="13"/>
    </row>
    <row r="316">
      <c r="A316" s="40" t="e">
        <v>#N/A</v>
      </c>
      <c r="B316" s="13"/>
      <c r="C316" s="13"/>
      <c r="D316" s="13"/>
      <c r="E316" s="13"/>
      <c r="F316" s="13"/>
      <c r="G316" s="13"/>
      <c r="H316" s="13"/>
      <c r="I316" s="13"/>
    </row>
    <row r="317">
      <c r="A317" s="40" t="e">
        <v>#N/A</v>
      </c>
      <c r="B317" s="13"/>
      <c r="C317" s="13"/>
      <c r="D317" s="13"/>
      <c r="E317" s="13"/>
      <c r="F317" s="13"/>
      <c r="G317" s="13"/>
      <c r="H317" s="13"/>
      <c r="I317" s="13"/>
    </row>
    <row r="318">
      <c r="A318" s="40" t="e">
        <v>#N/A</v>
      </c>
      <c r="B318" s="13"/>
      <c r="C318" s="13"/>
      <c r="D318" s="13"/>
      <c r="E318" s="13"/>
      <c r="F318" s="13"/>
      <c r="G318" s="13"/>
      <c r="H318" s="13"/>
      <c r="I318" s="13"/>
    </row>
    <row r="319">
      <c r="A319" s="40" t="e">
        <v>#N/A</v>
      </c>
      <c r="B319" s="13"/>
      <c r="C319" s="13"/>
      <c r="D319" s="13"/>
      <c r="E319" s="13"/>
      <c r="F319" s="13"/>
      <c r="G319" s="13"/>
      <c r="H319" s="13"/>
      <c r="I319" s="13"/>
    </row>
    <row r="320">
      <c r="A320" s="40" t="e">
        <v>#N/A</v>
      </c>
      <c r="B320" s="13"/>
      <c r="C320" s="13"/>
      <c r="D320" s="13"/>
      <c r="E320" s="13"/>
      <c r="F320" s="13"/>
      <c r="G320" s="13"/>
      <c r="H320" s="13"/>
      <c r="I320" s="13"/>
    </row>
    <row r="321">
      <c r="A321" s="40" t="e">
        <v>#N/A</v>
      </c>
      <c r="B321" s="13"/>
      <c r="C321" s="13"/>
      <c r="D321" s="13"/>
      <c r="E321" s="13"/>
      <c r="F321" s="13"/>
      <c r="G321" s="13"/>
      <c r="H321" s="13"/>
      <c r="I321" s="13"/>
    </row>
    <row r="322">
      <c r="A322" s="40" t="e">
        <v>#N/A</v>
      </c>
      <c r="B322" s="13"/>
      <c r="C322" s="13"/>
      <c r="D322" s="13"/>
      <c r="E322" s="13"/>
      <c r="F322" s="13"/>
      <c r="G322" s="13"/>
      <c r="H322" s="13"/>
      <c r="I322" s="13"/>
    </row>
    <row r="323">
      <c r="A323" s="40" t="e">
        <v>#N/A</v>
      </c>
      <c r="B323" s="13"/>
      <c r="C323" s="13"/>
      <c r="D323" s="13"/>
      <c r="E323" s="13"/>
      <c r="F323" s="13"/>
      <c r="G323" s="13"/>
      <c r="H323" s="13"/>
      <c r="I323" s="13"/>
    </row>
    <row r="324">
      <c r="A324" s="40" t="e">
        <v>#N/A</v>
      </c>
      <c r="B324" s="13"/>
      <c r="C324" s="13"/>
      <c r="D324" s="13"/>
      <c r="E324" s="13"/>
      <c r="F324" s="13"/>
      <c r="G324" s="13"/>
      <c r="H324" s="13"/>
      <c r="I324" s="13"/>
    </row>
    <row r="325">
      <c r="A325" s="40" t="e">
        <v>#N/A</v>
      </c>
      <c r="B325" s="13"/>
      <c r="C325" s="13"/>
      <c r="D325" s="13"/>
      <c r="E325" s="13"/>
      <c r="F325" s="13"/>
      <c r="G325" s="13"/>
      <c r="H325" s="13"/>
      <c r="I325" s="13"/>
    </row>
    <row r="326">
      <c r="A326" s="40" t="e">
        <v>#N/A</v>
      </c>
      <c r="B326" s="13"/>
      <c r="C326" s="13"/>
      <c r="D326" s="13"/>
      <c r="E326" s="13"/>
      <c r="F326" s="13"/>
      <c r="G326" s="13"/>
      <c r="H326" s="13"/>
      <c r="I326" s="13"/>
    </row>
    <row r="327">
      <c r="A327" s="40" t="e">
        <v>#N/A</v>
      </c>
      <c r="B327" s="13"/>
      <c r="C327" s="13"/>
      <c r="D327" s="13"/>
      <c r="E327" s="13"/>
      <c r="F327" s="13"/>
      <c r="G327" s="13"/>
      <c r="H327" s="13"/>
      <c r="I327" s="13"/>
    </row>
    <row r="328">
      <c r="A328" s="40" t="e">
        <v>#N/A</v>
      </c>
      <c r="B328" s="13"/>
      <c r="C328" s="13"/>
      <c r="D328" s="13"/>
      <c r="E328" s="13"/>
      <c r="F328" s="13"/>
      <c r="G328" s="13"/>
      <c r="H328" s="13"/>
      <c r="I328" s="13"/>
    </row>
    <row r="329">
      <c r="A329" s="40" t="e">
        <v>#N/A</v>
      </c>
      <c r="B329" s="13"/>
      <c r="C329" s="13"/>
      <c r="D329" s="13"/>
      <c r="E329" s="13"/>
      <c r="F329" s="13"/>
      <c r="G329" s="13"/>
      <c r="H329" s="13"/>
      <c r="I329" s="13"/>
    </row>
    <row r="330">
      <c r="A330" s="40" t="e">
        <v>#N/A</v>
      </c>
      <c r="B330" s="13"/>
      <c r="C330" s="13"/>
      <c r="D330" s="13"/>
      <c r="E330" s="13"/>
      <c r="F330" s="13"/>
      <c r="G330" s="13"/>
      <c r="H330" s="13"/>
      <c r="I330" s="13"/>
    </row>
    <row r="331">
      <c r="A331" s="40" t="e">
        <v>#N/A</v>
      </c>
      <c r="B331" s="13"/>
      <c r="C331" s="13"/>
      <c r="D331" s="13"/>
      <c r="E331" s="13"/>
      <c r="F331" s="13"/>
      <c r="G331" s="13"/>
      <c r="H331" s="13"/>
      <c r="I331" s="13"/>
    </row>
    <row r="332">
      <c r="A332" s="40" t="e">
        <v>#N/A</v>
      </c>
      <c r="B332" s="13"/>
      <c r="C332" s="13"/>
      <c r="D332" s="13"/>
      <c r="E332" s="13"/>
      <c r="F332" s="13"/>
      <c r="G332" s="13"/>
      <c r="H332" s="13"/>
      <c r="I332" s="13"/>
    </row>
    <row r="333">
      <c r="A333" s="40" t="e">
        <v>#N/A</v>
      </c>
      <c r="B333" s="13"/>
      <c r="C333" s="13"/>
      <c r="D333" s="13"/>
      <c r="E333" s="13"/>
      <c r="F333" s="13"/>
      <c r="G333" s="13"/>
      <c r="H333" s="13"/>
      <c r="I333" s="13"/>
    </row>
    <row r="334">
      <c r="A334" s="40" t="e">
        <v>#N/A</v>
      </c>
      <c r="B334" s="13"/>
      <c r="C334" s="13"/>
      <c r="D334" s="13"/>
      <c r="E334" s="13"/>
      <c r="F334" s="13"/>
      <c r="G334" s="13"/>
      <c r="H334" s="13"/>
      <c r="I334" s="13"/>
    </row>
    <row r="335">
      <c r="A335" s="40" t="e">
        <v>#N/A</v>
      </c>
      <c r="B335" s="13"/>
      <c r="C335" s="13"/>
      <c r="D335" s="13"/>
      <c r="E335" s="13"/>
      <c r="F335" s="13"/>
      <c r="G335" s="13"/>
      <c r="H335" s="13"/>
      <c r="I335" s="13"/>
    </row>
    <row r="336">
      <c r="A336" s="40" t="e">
        <v>#N/A</v>
      </c>
      <c r="B336" s="13"/>
      <c r="C336" s="13"/>
      <c r="D336" s="13"/>
      <c r="E336" s="13"/>
      <c r="F336" s="13"/>
      <c r="G336" s="13"/>
      <c r="H336" s="13"/>
      <c r="I336" s="13"/>
    </row>
    <row r="337">
      <c r="A337" s="40" t="e">
        <v>#N/A</v>
      </c>
      <c r="B337" s="13"/>
      <c r="C337" s="13"/>
      <c r="D337" s="13"/>
      <c r="E337" s="13"/>
      <c r="F337" s="13"/>
      <c r="G337" s="13"/>
      <c r="H337" s="13"/>
      <c r="I337" s="13"/>
    </row>
    <row r="338">
      <c r="A338" s="40" t="e">
        <v>#N/A</v>
      </c>
      <c r="B338" s="13"/>
      <c r="C338" s="13"/>
      <c r="D338" s="13"/>
      <c r="E338" s="13"/>
      <c r="F338" s="13"/>
      <c r="G338" s="13"/>
      <c r="H338" s="13"/>
      <c r="I338" s="13"/>
    </row>
    <row r="339">
      <c r="A339" s="40" t="e">
        <v>#N/A</v>
      </c>
      <c r="B339" s="13"/>
      <c r="C339" s="13"/>
      <c r="D339" s="13"/>
      <c r="E339" s="13"/>
      <c r="F339" s="13"/>
      <c r="G339" s="13"/>
      <c r="H339" s="13"/>
      <c r="I339" s="13"/>
    </row>
    <row r="340">
      <c r="A340" s="40" t="e">
        <v>#N/A</v>
      </c>
      <c r="B340" s="13"/>
      <c r="C340" s="13"/>
      <c r="D340" s="13"/>
      <c r="E340" s="13"/>
      <c r="F340" s="13"/>
      <c r="G340" s="13"/>
      <c r="H340" s="13"/>
      <c r="I340" s="13"/>
    </row>
    <row r="341">
      <c r="A341" s="40" t="e">
        <v>#N/A</v>
      </c>
      <c r="B341" s="13"/>
      <c r="C341" s="13"/>
      <c r="D341" s="13"/>
      <c r="E341" s="13"/>
      <c r="F341" s="13"/>
      <c r="G341" s="13"/>
      <c r="H341" s="13"/>
      <c r="I341" s="13"/>
    </row>
    <row r="342">
      <c r="A342" s="40" t="e">
        <v>#N/A</v>
      </c>
      <c r="B342" s="13"/>
      <c r="C342" s="13"/>
      <c r="D342" s="13"/>
      <c r="E342" s="13"/>
      <c r="F342" s="13"/>
      <c r="G342" s="13"/>
      <c r="H342" s="13"/>
      <c r="I342" s="13"/>
    </row>
    <row r="343">
      <c r="A343" s="40" t="e">
        <v>#N/A</v>
      </c>
      <c r="B343" s="13"/>
      <c r="C343" s="13"/>
      <c r="D343" s="13"/>
      <c r="E343" s="13"/>
      <c r="F343" s="13"/>
      <c r="G343" s="13"/>
      <c r="H343" s="13"/>
      <c r="I343" s="13"/>
    </row>
    <row r="344">
      <c r="A344" s="40" t="e">
        <v>#N/A</v>
      </c>
      <c r="B344" s="13"/>
      <c r="C344" s="13"/>
      <c r="D344" s="13"/>
      <c r="E344" s="13"/>
      <c r="F344" s="13"/>
      <c r="G344" s="13"/>
      <c r="H344" s="13"/>
      <c r="I344" s="13"/>
    </row>
    <row r="345">
      <c r="A345" s="40" t="e">
        <v>#N/A</v>
      </c>
      <c r="B345" s="13"/>
      <c r="C345" s="13"/>
      <c r="D345" s="13"/>
      <c r="E345" s="13"/>
      <c r="F345" s="13"/>
      <c r="G345" s="13"/>
      <c r="H345" s="13"/>
      <c r="I345" s="13"/>
    </row>
    <row r="346">
      <c r="A346" s="40" t="e">
        <v>#N/A</v>
      </c>
      <c r="B346" s="13"/>
      <c r="C346" s="13"/>
      <c r="D346" s="13"/>
      <c r="E346" s="13"/>
      <c r="F346" s="13"/>
      <c r="G346" s="13"/>
      <c r="H346" s="13"/>
      <c r="I346" s="13"/>
    </row>
    <row r="347">
      <c r="A347" s="40" t="e">
        <v>#N/A</v>
      </c>
      <c r="B347" s="13"/>
      <c r="C347" s="13"/>
      <c r="D347" s="13"/>
      <c r="E347" s="13"/>
      <c r="F347" s="13"/>
      <c r="G347" s="13"/>
      <c r="H347" s="13"/>
      <c r="I347" s="13"/>
    </row>
    <row r="348">
      <c r="A348" s="40" t="e">
        <v>#N/A</v>
      </c>
      <c r="B348" s="13"/>
      <c r="C348" s="13"/>
      <c r="D348" s="13"/>
      <c r="E348" s="13"/>
      <c r="F348" s="13"/>
      <c r="G348" s="13"/>
      <c r="H348" s="13"/>
      <c r="I348" s="13"/>
    </row>
    <row r="349">
      <c r="A349" s="40" t="e">
        <v>#N/A</v>
      </c>
      <c r="B349" s="13"/>
      <c r="C349" s="13"/>
      <c r="D349" s="13"/>
      <c r="E349" s="13"/>
      <c r="F349" s="13"/>
      <c r="G349" s="13"/>
      <c r="H349" s="13"/>
      <c r="I349" s="13"/>
    </row>
    <row r="350">
      <c r="A350" s="40" t="e">
        <v>#N/A</v>
      </c>
      <c r="B350" s="13"/>
      <c r="C350" s="13"/>
      <c r="D350" s="13"/>
      <c r="E350" s="13"/>
      <c r="F350" s="13"/>
      <c r="G350" s="13"/>
      <c r="H350" s="13"/>
      <c r="I350" s="13"/>
    </row>
    <row r="351">
      <c r="A351" s="40" t="e">
        <v>#N/A</v>
      </c>
      <c r="B351" s="13"/>
      <c r="C351" s="13"/>
      <c r="D351" s="13"/>
      <c r="E351" s="13"/>
      <c r="F351" s="13"/>
      <c r="G351" s="13"/>
      <c r="H351" s="13"/>
      <c r="I351" s="13"/>
    </row>
    <row r="352">
      <c r="A352" s="40" t="e">
        <v>#N/A</v>
      </c>
      <c r="B352" s="13"/>
      <c r="C352" s="13"/>
      <c r="D352" s="13"/>
      <c r="E352" s="13"/>
      <c r="F352" s="13"/>
      <c r="G352" s="13"/>
      <c r="H352" s="13"/>
      <c r="I352" s="13"/>
    </row>
    <row r="353">
      <c r="A353" s="40" t="e">
        <v>#N/A</v>
      </c>
      <c r="B353" s="13"/>
      <c r="C353" s="13"/>
      <c r="D353" s="13"/>
      <c r="E353" s="13"/>
      <c r="F353" s="13"/>
      <c r="G353" s="13"/>
      <c r="H353" s="13"/>
      <c r="I353" s="13"/>
    </row>
    <row r="354">
      <c r="A354" s="40" t="e">
        <v>#N/A</v>
      </c>
      <c r="B354" s="13"/>
      <c r="C354" s="13"/>
      <c r="D354" s="13"/>
      <c r="E354" s="13"/>
      <c r="F354" s="13"/>
      <c r="G354" s="13"/>
      <c r="H354" s="13"/>
      <c r="I354" s="13"/>
    </row>
    <row r="355">
      <c r="A355" s="40" t="e">
        <v>#N/A</v>
      </c>
      <c r="B355" s="13"/>
      <c r="C355" s="13"/>
      <c r="D355" s="13"/>
      <c r="E355" s="13"/>
      <c r="F355" s="13"/>
      <c r="G355" s="13"/>
      <c r="H355" s="13"/>
      <c r="I355" s="13"/>
    </row>
    <row r="356">
      <c r="A356" s="40" t="e">
        <v>#N/A</v>
      </c>
      <c r="B356" s="13"/>
      <c r="C356" s="13"/>
      <c r="D356" s="13"/>
      <c r="E356" s="13"/>
      <c r="F356" s="13"/>
      <c r="G356" s="13"/>
      <c r="H356" s="13"/>
      <c r="I356" s="13"/>
    </row>
    <row r="357">
      <c r="A357" s="40" t="e">
        <v>#N/A</v>
      </c>
      <c r="B357" s="13"/>
      <c r="C357" s="13"/>
      <c r="D357" s="13"/>
      <c r="E357" s="13"/>
      <c r="F357" s="13"/>
      <c r="G357" s="13"/>
      <c r="H357" s="13"/>
      <c r="I357" s="13"/>
    </row>
    <row r="358">
      <c r="A358" s="40" t="e">
        <v>#N/A</v>
      </c>
      <c r="B358" s="13"/>
      <c r="C358" s="13"/>
      <c r="D358" s="13"/>
      <c r="E358" s="13"/>
      <c r="F358" s="13"/>
      <c r="G358" s="13"/>
      <c r="H358" s="13"/>
      <c r="I358" s="13"/>
    </row>
    <row r="359">
      <c r="A359" s="40" t="e">
        <v>#N/A</v>
      </c>
      <c r="B359" s="13"/>
      <c r="C359" s="13"/>
      <c r="D359" s="13"/>
      <c r="E359" s="13"/>
      <c r="F359" s="13"/>
      <c r="G359" s="13"/>
      <c r="H359" s="13"/>
      <c r="I359" s="13"/>
    </row>
    <row r="360">
      <c r="A360" s="40" t="e">
        <v>#N/A</v>
      </c>
      <c r="B360" s="13"/>
      <c r="C360" s="13"/>
      <c r="D360" s="13"/>
      <c r="E360" s="13"/>
      <c r="F360" s="13"/>
      <c r="G360" s="13"/>
      <c r="H360" s="13"/>
      <c r="I360" s="13"/>
    </row>
    <row r="361">
      <c r="A361" s="40" t="e">
        <v>#N/A</v>
      </c>
      <c r="B361" s="13"/>
      <c r="C361" s="13"/>
      <c r="D361" s="13"/>
      <c r="E361" s="13"/>
      <c r="F361" s="13"/>
      <c r="G361" s="13"/>
      <c r="H361" s="13"/>
      <c r="I361" s="13"/>
    </row>
    <row r="362">
      <c r="A362" s="40" t="e">
        <v>#N/A</v>
      </c>
      <c r="B362" s="13"/>
      <c r="C362" s="13"/>
      <c r="D362" s="13"/>
      <c r="E362" s="13"/>
      <c r="F362" s="13"/>
      <c r="G362" s="13"/>
      <c r="H362" s="13"/>
      <c r="I362" s="13"/>
    </row>
    <row r="363">
      <c r="A363" s="40" t="e">
        <v>#N/A</v>
      </c>
      <c r="B363" s="13"/>
      <c r="C363" s="13"/>
      <c r="D363" s="13"/>
      <c r="E363" s="13"/>
      <c r="F363" s="13"/>
      <c r="G363" s="13"/>
      <c r="H363" s="13"/>
      <c r="I363" s="13"/>
    </row>
    <row r="364">
      <c r="A364" s="40" t="e">
        <v>#N/A</v>
      </c>
      <c r="B364" s="13"/>
      <c r="C364" s="13"/>
      <c r="D364" s="13"/>
      <c r="E364" s="13"/>
      <c r="F364" s="13"/>
      <c r="G364" s="13"/>
      <c r="H364" s="13"/>
      <c r="I364" s="13"/>
    </row>
    <row r="365">
      <c r="A365" s="40" t="e">
        <v>#N/A</v>
      </c>
      <c r="B365" s="13"/>
      <c r="C365" s="13"/>
      <c r="D365" s="13"/>
      <c r="E365" s="13"/>
      <c r="F365" s="13"/>
      <c r="G365" s="13"/>
      <c r="H365" s="13"/>
      <c r="I365" s="13"/>
    </row>
    <row r="366">
      <c r="A366" s="40" t="e">
        <v>#N/A</v>
      </c>
      <c r="B366" s="13"/>
      <c r="C366" s="13"/>
      <c r="D366" s="13"/>
      <c r="E366" s="13"/>
      <c r="F366" s="13"/>
      <c r="G366" s="13"/>
      <c r="H366" s="13"/>
      <c r="I366" s="13"/>
    </row>
    <row r="367">
      <c r="A367" s="40" t="e">
        <v>#N/A</v>
      </c>
      <c r="B367" s="13"/>
      <c r="C367" s="13"/>
      <c r="D367" s="13"/>
      <c r="E367" s="13"/>
      <c r="F367" s="13"/>
      <c r="G367" s="13"/>
      <c r="H367" s="13"/>
      <c r="I367" s="13"/>
    </row>
    <row r="368">
      <c r="A368" s="40" t="e">
        <v>#N/A</v>
      </c>
      <c r="B368" s="13"/>
      <c r="C368" s="13"/>
      <c r="D368" s="13"/>
      <c r="E368" s="13"/>
      <c r="F368" s="13"/>
      <c r="G368" s="13"/>
      <c r="H368" s="13"/>
      <c r="I368" s="13"/>
    </row>
    <row r="369">
      <c r="A369" s="40" t="e">
        <v>#N/A</v>
      </c>
      <c r="B369" s="13"/>
      <c r="C369" s="13"/>
      <c r="D369" s="13"/>
      <c r="E369" s="13"/>
      <c r="F369" s="13"/>
      <c r="G369" s="13"/>
      <c r="H369" s="13"/>
      <c r="I369" s="13"/>
    </row>
    <row r="370">
      <c r="A370" s="40" t="e">
        <v>#N/A</v>
      </c>
      <c r="B370" s="13"/>
      <c r="C370" s="13"/>
      <c r="D370" s="13"/>
      <c r="E370" s="13"/>
      <c r="F370" s="13"/>
      <c r="G370" s="13"/>
      <c r="H370" s="13"/>
      <c r="I370" s="13"/>
    </row>
    <row r="371">
      <c r="A371" s="40" t="e">
        <v>#N/A</v>
      </c>
      <c r="B371" s="13"/>
      <c r="C371" s="13"/>
      <c r="D371" s="13"/>
      <c r="E371" s="13"/>
      <c r="F371" s="13"/>
      <c r="G371" s="13"/>
      <c r="H371" s="13"/>
      <c r="I371" s="13"/>
    </row>
    <row r="372">
      <c r="A372" s="40" t="e">
        <v>#N/A</v>
      </c>
      <c r="B372" s="13"/>
      <c r="C372" s="13"/>
      <c r="D372" s="13"/>
      <c r="E372" s="13"/>
      <c r="F372" s="13"/>
      <c r="G372" s="13"/>
      <c r="H372" s="13"/>
      <c r="I372" s="13"/>
    </row>
    <row r="373">
      <c r="A373" s="40" t="e">
        <v>#N/A</v>
      </c>
      <c r="B373" s="13"/>
      <c r="C373" s="13"/>
      <c r="D373" s="13"/>
      <c r="E373" s="13"/>
      <c r="F373" s="13"/>
      <c r="G373" s="13"/>
      <c r="H373" s="13"/>
      <c r="I373" s="13"/>
    </row>
    <row r="374">
      <c r="A374" s="40" t="e">
        <v>#N/A</v>
      </c>
      <c r="B374" s="13"/>
      <c r="C374" s="13"/>
      <c r="D374" s="13"/>
      <c r="E374" s="13"/>
      <c r="F374" s="13"/>
      <c r="G374" s="13"/>
      <c r="H374" s="13"/>
      <c r="I374" s="13"/>
    </row>
    <row r="375">
      <c r="A375" s="40" t="e">
        <v>#N/A</v>
      </c>
      <c r="B375" s="13"/>
      <c r="C375" s="13"/>
      <c r="D375" s="13"/>
      <c r="E375" s="13"/>
      <c r="F375" s="13"/>
      <c r="G375" s="13"/>
      <c r="H375" s="13"/>
      <c r="I375" s="13"/>
    </row>
    <row r="376">
      <c r="A376" s="40" t="e">
        <v>#N/A</v>
      </c>
      <c r="B376" s="13"/>
      <c r="C376" s="13"/>
      <c r="D376" s="13"/>
      <c r="E376" s="13"/>
      <c r="F376" s="13"/>
      <c r="G376" s="13"/>
      <c r="H376" s="13"/>
      <c r="I376" s="13"/>
    </row>
    <row r="377">
      <c r="A377" s="40" t="e">
        <v>#N/A</v>
      </c>
      <c r="B377" s="13"/>
      <c r="C377" s="13"/>
      <c r="D377" s="13"/>
      <c r="E377" s="13"/>
      <c r="F377" s="13"/>
      <c r="G377" s="13"/>
      <c r="H377" s="13"/>
      <c r="I377" s="13"/>
    </row>
    <row r="378">
      <c r="A378" s="40" t="e">
        <v>#N/A</v>
      </c>
      <c r="B378" s="13"/>
      <c r="C378" s="13"/>
      <c r="D378" s="13"/>
      <c r="E378" s="13"/>
      <c r="F378" s="13"/>
      <c r="G378" s="13"/>
      <c r="H378" s="13"/>
      <c r="I378" s="13"/>
    </row>
    <row r="379">
      <c r="A379" s="40" t="e">
        <v>#N/A</v>
      </c>
      <c r="B379" s="13"/>
      <c r="C379" s="13"/>
      <c r="D379" s="13"/>
      <c r="E379" s="13"/>
      <c r="F379" s="13"/>
      <c r="G379" s="13"/>
      <c r="H379" s="13"/>
      <c r="I379" s="13"/>
    </row>
    <row r="380">
      <c r="A380" s="40" t="e">
        <v>#N/A</v>
      </c>
      <c r="B380" s="13"/>
      <c r="C380" s="13"/>
      <c r="D380" s="13"/>
      <c r="E380" s="13"/>
      <c r="F380" s="13"/>
      <c r="G380" s="13"/>
      <c r="H380" s="13"/>
      <c r="I380" s="13"/>
    </row>
    <row r="381">
      <c r="A381" s="40" t="e">
        <v>#N/A</v>
      </c>
      <c r="B381" s="13"/>
      <c r="C381" s="13"/>
      <c r="D381" s="13"/>
      <c r="E381" s="13"/>
      <c r="F381" s="13"/>
      <c r="G381" s="13"/>
      <c r="H381" s="13"/>
      <c r="I381" s="13"/>
    </row>
    <row r="382">
      <c r="A382" s="40" t="e">
        <v>#N/A</v>
      </c>
      <c r="B382" s="13"/>
      <c r="C382" s="13"/>
      <c r="D382" s="13"/>
      <c r="E382" s="13"/>
      <c r="F382" s="13"/>
      <c r="G382" s="13"/>
      <c r="H382" s="13"/>
      <c r="I382" s="13"/>
    </row>
    <row r="383">
      <c r="A383" s="40" t="e">
        <v>#N/A</v>
      </c>
      <c r="B383" s="13"/>
      <c r="C383" s="13"/>
      <c r="D383" s="13"/>
      <c r="E383" s="13"/>
      <c r="F383" s="13"/>
      <c r="G383" s="13"/>
      <c r="H383" s="13"/>
      <c r="I383" s="13"/>
    </row>
    <row r="384">
      <c r="A384" s="40" t="e">
        <v>#N/A</v>
      </c>
      <c r="B384" s="13"/>
      <c r="C384" s="13"/>
      <c r="D384" s="13"/>
      <c r="E384" s="13"/>
      <c r="F384" s="13"/>
      <c r="G384" s="13"/>
      <c r="H384" s="13"/>
      <c r="I384" s="13"/>
    </row>
    <row r="385">
      <c r="A385" s="40" t="e">
        <v>#N/A</v>
      </c>
      <c r="B385" s="13"/>
      <c r="C385" s="13"/>
      <c r="D385" s="13"/>
      <c r="E385" s="13"/>
      <c r="F385" s="13"/>
      <c r="G385" s="13"/>
      <c r="H385" s="13"/>
      <c r="I385" s="13"/>
    </row>
    <row r="386">
      <c r="A386" s="40" t="e">
        <v>#N/A</v>
      </c>
      <c r="B386" s="13"/>
      <c r="C386" s="13"/>
      <c r="D386" s="13"/>
      <c r="E386" s="13"/>
      <c r="F386" s="13"/>
      <c r="G386" s="13"/>
      <c r="H386" s="13"/>
      <c r="I386" s="13"/>
    </row>
    <row r="387">
      <c r="A387" s="40" t="e">
        <v>#N/A</v>
      </c>
      <c r="B387" s="13"/>
      <c r="C387" s="13"/>
      <c r="D387" s="13"/>
      <c r="E387" s="13"/>
      <c r="F387" s="13"/>
      <c r="G387" s="13"/>
      <c r="H387" s="13"/>
      <c r="I387" s="13"/>
    </row>
    <row r="388">
      <c r="A388" s="40" t="e">
        <v>#N/A</v>
      </c>
      <c r="B388" s="13"/>
      <c r="C388" s="13"/>
      <c r="D388" s="13"/>
      <c r="E388" s="13"/>
      <c r="F388" s="13"/>
      <c r="G388" s="13"/>
      <c r="H388" s="13"/>
      <c r="I388" s="13"/>
    </row>
    <row r="389">
      <c r="A389" s="40" t="e">
        <v>#N/A</v>
      </c>
      <c r="B389" s="13"/>
      <c r="C389" s="13"/>
      <c r="D389" s="13"/>
      <c r="E389" s="13"/>
      <c r="F389" s="13"/>
      <c r="G389" s="13"/>
      <c r="H389" s="13"/>
      <c r="I389" s="13"/>
    </row>
    <row r="390">
      <c r="A390" s="40" t="e">
        <v>#N/A</v>
      </c>
      <c r="B390" s="13"/>
      <c r="C390" s="13"/>
      <c r="D390" s="13"/>
      <c r="E390" s="13"/>
      <c r="F390" s="13"/>
      <c r="G390" s="13"/>
      <c r="H390" s="13"/>
      <c r="I390" s="13"/>
    </row>
    <row r="391">
      <c r="A391" s="40" t="e">
        <v>#N/A</v>
      </c>
      <c r="B391" s="13"/>
      <c r="C391" s="13"/>
      <c r="D391" s="13"/>
      <c r="E391" s="13"/>
      <c r="F391" s="13"/>
      <c r="G391" s="13"/>
      <c r="H391" s="13"/>
      <c r="I391" s="13"/>
    </row>
    <row r="392">
      <c r="A392" s="40" t="e">
        <v>#N/A</v>
      </c>
      <c r="B392" s="13"/>
      <c r="C392" s="13"/>
      <c r="D392" s="13"/>
      <c r="E392" s="13"/>
      <c r="F392" s="13"/>
      <c r="G392" s="13"/>
      <c r="H392" s="13"/>
      <c r="I392" s="13"/>
    </row>
    <row r="393">
      <c r="A393" s="40" t="e">
        <v>#N/A</v>
      </c>
      <c r="B393" s="13"/>
      <c r="C393" s="13"/>
      <c r="D393" s="13"/>
      <c r="E393" s="13"/>
      <c r="F393" s="13"/>
      <c r="G393" s="13"/>
      <c r="H393" s="13"/>
      <c r="I393" s="13"/>
    </row>
    <row r="394">
      <c r="A394" s="40" t="e">
        <v>#N/A</v>
      </c>
      <c r="B394" s="13"/>
      <c r="C394" s="13"/>
      <c r="D394" s="13"/>
      <c r="E394" s="13"/>
      <c r="F394" s="13"/>
      <c r="G394" s="13"/>
      <c r="H394" s="13"/>
      <c r="I394" s="13"/>
    </row>
    <row r="395">
      <c r="A395" s="40" t="e">
        <v>#N/A</v>
      </c>
      <c r="B395" s="13"/>
      <c r="C395" s="13"/>
      <c r="D395" s="13"/>
      <c r="E395" s="13"/>
      <c r="F395" s="13"/>
      <c r="G395" s="13"/>
      <c r="H395" s="13"/>
      <c r="I395" s="13"/>
    </row>
    <row r="396">
      <c r="A396" s="40" t="e">
        <v>#N/A</v>
      </c>
      <c r="B396" s="13"/>
      <c r="C396" s="13"/>
      <c r="D396" s="13"/>
      <c r="E396" s="13"/>
      <c r="F396" s="13"/>
      <c r="G396" s="13"/>
      <c r="H396" s="13"/>
      <c r="I396" s="13"/>
    </row>
    <row r="397">
      <c r="A397" s="40" t="e">
        <v>#N/A</v>
      </c>
      <c r="B397" s="13"/>
      <c r="C397" s="13"/>
      <c r="D397" s="13"/>
      <c r="E397" s="13"/>
      <c r="F397" s="13"/>
      <c r="G397" s="13"/>
      <c r="H397" s="13"/>
      <c r="I397" s="13"/>
    </row>
    <row r="398">
      <c r="A398" s="40" t="e">
        <v>#N/A</v>
      </c>
      <c r="B398" s="13"/>
      <c r="C398" s="13"/>
      <c r="D398" s="13"/>
      <c r="E398" s="13"/>
      <c r="F398" s="13"/>
      <c r="G398" s="13"/>
      <c r="H398" s="13"/>
      <c r="I398" s="13"/>
    </row>
    <row r="399">
      <c r="A399" s="40" t="e">
        <v>#N/A</v>
      </c>
      <c r="B399" s="13"/>
      <c r="C399" s="13"/>
      <c r="D399" s="13"/>
      <c r="E399" s="13"/>
      <c r="F399" s="13"/>
      <c r="G399" s="13"/>
      <c r="H399" s="13"/>
      <c r="I399" s="13"/>
    </row>
    <row r="400">
      <c r="A400" s="40" t="e">
        <v>#N/A</v>
      </c>
      <c r="B400" s="13"/>
      <c r="C400" s="13"/>
      <c r="D400" s="13"/>
      <c r="E400" s="13"/>
      <c r="F400" s="13"/>
      <c r="G400" s="13"/>
      <c r="H400" s="13"/>
      <c r="I400" s="13"/>
    </row>
    <row r="401">
      <c r="A401" s="40" t="e">
        <v>#N/A</v>
      </c>
      <c r="B401" s="13"/>
      <c r="C401" s="13"/>
      <c r="D401" s="13"/>
      <c r="E401" s="13"/>
      <c r="F401" s="13"/>
      <c r="G401" s="13"/>
      <c r="H401" s="13"/>
      <c r="I401" s="13"/>
    </row>
    <row r="402">
      <c r="A402" s="40" t="e">
        <v>#N/A</v>
      </c>
      <c r="B402" s="13"/>
      <c r="C402" s="13"/>
      <c r="D402" s="13"/>
      <c r="E402" s="13"/>
      <c r="F402" s="13"/>
      <c r="G402" s="13"/>
      <c r="H402" s="13"/>
      <c r="I402" s="13"/>
    </row>
    <row r="403">
      <c r="A403" s="40" t="e">
        <v>#N/A</v>
      </c>
      <c r="B403" s="13"/>
      <c r="C403" s="13"/>
      <c r="D403" s="13"/>
      <c r="E403" s="13"/>
      <c r="F403" s="13"/>
      <c r="G403" s="13"/>
      <c r="H403" s="13"/>
      <c r="I403" s="13"/>
    </row>
    <row r="404">
      <c r="A404" s="40" t="e">
        <v>#N/A</v>
      </c>
      <c r="B404" s="13"/>
      <c r="C404" s="13"/>
      <c r="D404" s="13"/>
      <c r="E404" s="13"/>
      <c r="F404" s="13"/>
      <c r="G404" s="13"/>
      <c r="H404" s="13"/>
      <c r="I404" s="13"/>
    </row>
    <row r="405">
      <c r="A405" s="40" t="e">
        <v>#N/A</v>
      </c>
      <c r="B405" s="13"/>
      <c r="C405" s="13"/>
      <c r="D405" s="13"/>
      <c r="E405" s="13"/>
      <c r="F405" s="13"/>
      <c r="G405" s="13"/>
      <c r="H405" s="13"/>
      <c r="I405" s="13"/>
    </row>
    <row r="406">
      <c r="A406" s="40" t="e">
        <v>#N/A</v>
      </c>
      <c r="B406" s="13"/>
      <c r="C406" s="13"/>
      <c r="D406" s="13"/>
      <c r="E406" s="13"/>
      <c r="F406" s="13"/>
      <c r="G406" s="13"/>
      <c r="H406" s="13"/>
      <c r="I406" s="13"/>
    </row>
    <row r="407">
      <c r="A407" s="40" t="e">
        <v>#N/A</v>
      </c>
      <c r="B407" s="13"/>
      <c r="C407" s="13"/>
      <c r="D407" s="13"/>
      <c r="E407" s="13"/>
      <c r="F407" s="13"/>
      <c r="G407" s="13"/>
      <c r="H407" s="13"/>
      <c r="I407" s="13"/>
    </row>
    <row r="408">
      <c r="A408" s="40" t="e">
        <v>#N/A</v>
      </c>
      <c r="B408" s="13"/>
      <c r="C408" s="13"/>
      <c r="D408" s="13"/>
      <c r="E408" s="13"/>
      <c r="F408" s="13"/>
      <c r="G408" s="13"/>
      <c r="H408" s="13"/>
      <c r="I408" s="13"/>
    </row>
    <row r="409">
      <c r="A409" s="40" t="e">
        <v>#N/A</v>
      </c>
      <c r="B409" s="13"/>
      <c r="C409" s="13"/>
      <c r="D409" s="13"/>
      <c r="E409" s="13"/>
      <c r="F409" s="13"/>
      <c r="G409" s="13"/>
      <c r="H409" s="13"/>
      <c r="I409" s="13"/>
    </row>
    <row r="410">
      <c r="A410" s="40" t="e">
        <v>#N/A</v>
      </c>
      <c r="B410" s="13"/>
      <c r="C410" s="13"/>
      <c r="D410" s="13"/>
      <c r="E410" s="13"/>
      <c r="F410" s="13"/>
      <c r="G410" s="13"/>
      <c r="H410" s="13"/>
      <c r="I410" s="13"/>
    </row>
    <row r="411">
      <c r="A411" s="40" t="e">
        <v>#N/A</v>
      </c>
      <c r="B411" s="13"/>
      <c r="C411" s="13"/>
      <c r="D411" s="13"/>
      <c r="E411" s="13"/>
      <c r="F411" s="13"/>
      <c r="G411" s="13"/>
      <c r="H411" s="13"/>
      <c r="I411" s="13"/>
    </row>
    <row r="412">
      <c r="A412" s="40" t="e">
        <v>#N/A</v>
      </c>
      <c r="B412" s="13"/>
      <c r="C412" s="13"/>
      <c r="D412" s="13"/>
      <c r="E412" s="13"/>
      <c r="F412" s="13"/>
      <c r="G412" s="13"/>
      <c r="H412" s="13"/>
      <c r="I412" s="13"/>
    </row>
    <row r="413">
      <c r="A413" s="40" t="e">
        <v>#N/A</v>
      </c>
      <c r="B413" s="13"/>
      <c r="C413" s="13"/>
      <c r="D413" s="13"/>
      <c r="E413" s="13"/>
      <c r="F413" s="13"/>
      <c r="G413" s="13"/>
      <c r="H413" s="13"/>
      <c r="I413" s="13"/>
    </row>
    <row r="414">
      <c r="A414" s="40" t="e">
        <v>#N/A</v>
      </c>
      <c r="B414" s="13"/>
      <c r="C414" s="13"/>
      <c r="D414" s="13"/>
      <c r="E414" s="13"/>
      <c r="F414" s="13"/>
      <c r="G414" s="13"/>
      <c r="H414" s="13"/>
      <c r="I414" s="13"/>
    </row>
    <row r="415">
      <c r="A415" s="40" t="e">
        <v>#N/A</v>
      </c>
      <c r="B415" s="13"/>
      <c r="C415" s="13"/>
      <c r="D415" s="13"/>
      <c r="E415" s="13"/>
      <c r="F415" s="13"/>
      <c r="G415" s="13"/>
      <c r="H415" s="13"/>
      <c r="I415" s="13"/>
    </row>
    <row r="416">
      <c r="A416" s="40" t="e">
        <v>#N/A</v>
      </c>
      <c r="B416" s="13"/>
      <c r="C416" s="13"/>
      <c r="D416" s="13"/>
      <c r="E416" s="13"/>
      <c r="F416" s="13"/>
      <c r="G416" s="13"/>
      <c r="H416" s="13"/>
      <c r="I416" s="13"/>
    </row>
    <row r="417">
      <c r="A417" s="40" t="e">
        <v>#N/A</v>
      </c>
      <c r="B417" s="13"/>
      <c r="C417" s="13"/>
      <c r="D417" s="13"/>
      <c r="E417" s="13"/>
      <c r="F417" s="13"/>
      <c r="G417" s="13"/>
      <c r="H417" s="13"/>
      <c r="I417" s="13"/>
    </row>
    <row r="418">
      <c r="A418" s="40" t="e">
        <v>#N/A</v>
      </c>
      <c r="B418" s="13"/>
      <c r="C418" s="13"/>
      <c r="D418" s="13"/>
      <c r="E418" s="13"/>
      <c r="F418" s="13"/>
      <c r="G418" s="13"/>
      <c r="H418" s="13"/>
      <c r="I418" s="13"/>
    </row>
    <row r="419">
      <c r="A419" s="40" t="e">
        <v>#N/A</v>
      </c>
      <c r="B419" s="13"/>
      <c r="C419" s="13"/>
      <c r="D419" s="13"/>
      <c r="E419" s="13"/>
      <c r="F419" s="13"/>
      <c r="G419" s="13"/>
      <c r="H419" s="13"/>
      <c r="I419" s="13"/>
    </row>
    <row r="420">
      <c r="A420" s="40" t="e">
        <v>#N/A</v>
      </c>
      <c r="B420" s="13"/>
      <c r="C420" s="13"/>
      <c r="D420" s="13"/>
      <c r="E420" s="13"/>
      <c r="F420" s="13"/>
      <c r="G420" s="13"/>
      <c r="H420" s="13"/>
      <c r="I420" s="13"/>
    </row>
    <row r="421">
      <c r="A421" s="40" t="e">
        <v>#N/A</v>
      </c>
      <c r="B421" s="13"/>
      <c r="C421" s="13"/>
      <c r="D421" s="13"/>
      <c r="E421" s="13"/>
      <c r="F421" s="13"/>
      <c r="G421" s="13"/>
      <c r="H421" s="13"/>
      <c r="I421" s="13"/>
    </row>
    <row r="422">
      <c r="A422" s="40" t="e">
        <v>#N/A</v>
      </c>
      <c r="B422" s="13"/>
      <c r="C422" s="13"/>
      <c r="D422" s="13"/>
      <c r="E422" s="13"/>
      <c r="F422" s="13"/>
      <c r="G422" s="13"/>
      <c r="H422" s="13"/>
      <c r="I422" s="13"/>
    </row>
    <row r="423">
      <c r="A423" s="40" t="e">
        <v>#N/A</v>
      </c>
      <c r="B423" s="13"/>
      <c r="C423" s="13"/>
      <c r="D423" s="13"/>
      <c r="E423" s="13"/>
      <c r="F423" s="13"/>
      <c r="G423" s="13"/>
      <c r="H423" s="13"/>
      <c r="I423" s="13"/>
    </row>
    <row r="424">
      <c r="A424" s="40" t="e">
        <v>#N/A</v>
      </c>
      <c r="B424" s="13"/>
      <c r="C424" s="13"/>
      <c r="D424" s="13"/>
      <c r="E424" s="13"/>
      <c r="F424" s="13"/>
      <c r="G424" s="13"/>
      <c r="H424" s="13"/>
      <c r="I424" s="13"/>
    </row>
    <row r="425">
      <c r="A425" s="40" t="e">
        <v>#N/A</v>
      </c>
      <c r="B425" s="13"/>
      <c r="C425" s="13"/>
      <c r="D425" s="13"/>
      <c r="E425" s="13"/>
      <c r="F425" s="13"/>
      <c r="G425" s="13"/>
      <c r="H425" s="13"/>
      <c r="I425" s="13"/>
    </row>
    <row r="426">
      <c r="A426" s="40" t="e">
        <v>#N/A</v>
      </c>
      <c r="B426" s="13"/>
      <c r="C426" s="13"/>
      <c r="D426" s="13"/>
      <c r="E426" s="13"/>
      <c r="F426" s="13"/>
      <c r="G426" s="13"/>
      <c r="H426" s="13"/>
      <c r="I426" s="13"/>
    </row>
    <row r="427">
      <c r="A427" s="40" t="e">
        <v>#N/A</v>
      </c>
      <c r="B427" s="13"/>
      <c r="C427" s="13"/>
      <c r="D427" s="13"/>
      <c r="E427" s="13"/>
      <c r="F427" s="13"/>
      <c r="G427" s="13"/>
      <c r="H427" s="13"/>
      <c r="I427" s="13"/>
    </row>
    <row r="428">
      <c r="A428" s="40" t="e">
        <v>#N/A</v>
      </c>
      <c r="B428" s="13"/>
      <c r="C428" s="13"/>
      <c r="D428" s="13"/>
      <c r="E428" s="13"/>
      <c r="F428" s="13"/>
      <c r="G428" s="13"/>
      <c r="H428" s="13"/>
      <c r="I428" s="13"/>
    </row>
    <row r="429">
      <c r="A429" s="40" t="e">
        <v>#N/A</v>
      </c>
      <c r="B429" s="13"/>
      <c r="C429" s="13"/>
      <c r="D429" s="13"/>
      <c r="E429" s="13"/>
      <c r="F429" s="13"/>
      <c r="G429" s="13"/>
      <c r="H429" s="13"/>
      <c r="I429" s="13"/>
    </row>
    <row r="430">
      <c r="A430" s="40" t="e">
        <v>#N/A</v>
      </c>
      <c r="B430" s="13"/>
      <c r="C430" s="13"/>
      <c r="D430" s="13"/>
      <c r="E430" s="13"/>
      <c r="F430" s="13"/>
      <c r="G430" s="13"/>
      <c r="H430" s="13"/>
      <c r="I430" s="13"/>
    </row>
    <row r="431">
      <c r="A431" s="40" t="e">
        <v>#N/A</v>
      </c>
      <c r="B431" s="13"/>
      <c r="C431" s="13"/>
      <c r="D431" s="13"/>
      <c r="E431" s="13"/>
      <c r="F431" s="13"/>
      <c r="G431" s="13"/>
      <c r="H431" s="13"/>
      <c r="I431" s="13"/>
    </row>
    <row r="432">
      <c r="A432" s="40" t="e">
        <v>#N/A</v>
      </c>
      <c r="B432" s="13"/>
      <c r="C432" s="13"/>
      <c r="D432" s="13"/>
      <c r="E432" s="13"/>
      <c r="F432" s="13"/>
      <c r="G432" s="13"/>
      <c r="H432" s="13"/>
      <c r="I432" s="13"/>
    </row>
    <row r="433">
      <c r="A433" s="40" t="e">
        <v>#N/A</v>
      </c>
      <c r="B433" s="13"/>
      <c r="C433" s="13"/>
      <c r="D433" s="13"/>
      <c r="E433" s="13"/>
      <c r="F433" s="13"/>
      <c r="G433" s="13"/>
      <c r="H433" s="13"/>
      <c r="I433" s="13"/>
    </row>
    <row r="434">
      <c r="A434" s="40" t="e">
        <v>#N/A</v>
      </c>
      <c r="B434" s="13"/>
      <c r="C434" s="13"/>
      <c r="D434" s="13"/>
      <c r="E434" s="13"/>
      <c r="F434" s="13"/>
      <c r="G434" s="13"/>
      <c r="H434" s="13"/>
      <c r="I434" s="13"/>
    </row>
    <row r="435">
      <c r="A435" s="40" t="e">
        <v>#N/A</v>
      </c>
      <c r="B435" s="13"/>
      <c r="C435" s="13"/>
      <c r="D435" s="13"/>
      <c r="E435" s="13"/>
      <c r="F435" s="13"/>
      <c r="G435" s="13"/>
      <c r="H435" s="13"/>
      <c r="I435" s="13"/>
    </row>
    <row r="436">
      <c r="A436" s="40" t="e">
        <v>#N/A</v>
      </c>
      <c r="B436" s="13"/>
      <c r="C436" s="13"/>
      <c r="D436" s="13"/>
      <c r="E436" s="13"/>
      <c r="F436" s="13"/>
      <c r="G436" s="13"/>
      <c r="H436" s="13"/>
      <c r="I436" s="13"/>
    </row>
    <row r="437">
      <c r="A437" s="40" t="e">
        <v>#N/A</v>
      </c>
      <c r="B437" s="13"/>
      <c r="C437" s="13"/>
      <c r="D437" s="13"/>
      <c r="E437" s="13"/>
      <c r="F437" s="13"/>
      <c r="G437" s="13"/>
      <c r="H437" s="13"/>
      <c r="I437" s="13"/>
    </row>
    <row r="438">
      <c r="A438" s="40" t="e">
        <v>#N/A</v>
      </c>
      <c r="B438" s="13"/>
      <c r="C438" s="13"/>
      <c r="D438" s="13"/>
      <c r="E438" s="13"/>
      <c r="F438" s="13"/>
      <c r="G438" s="13"/>
      <c r="H438" s="13"/>
      <c r="I438" s="13"/>
    </row>
    <row r="439">
      <c r="A439" s="40" t="e">
        <v>#N/A</v>
      </c>
      <c r="B439" s="13"/>
      <c r="C439" s="13"/>
      <c r="D439" s="13"/>
      <c r="E439" s="13"/>
      <c r="F439" s="13"/>
      <c r="G439" s="13"/>
      <c r="H439" s="13"/>
      <c r="I439" s="13"/>
    </row>
    <row r="440">
      <c r="A440" s="40" t="e">
        <v>#N/A</v>
      </c>
      <c r="B440" s="13"/>
      <c r="C440" s="13"/>
      <c r="D440" s="13"/>
      <c r="E440" s="13"/>
      <c r="F440" s="13"/>
      <c r="G440" s="13"/>
      <c r="H440" s="13"/>
      <c r="I440" s="13"/>
    </row>
    <row r="441">
      <c r="A441" s="40" t="e">
        <v>#N/A</v>
      </c>
      <c r="B441" s="13"/>
      <c r="C441" s="13"/>
      <c r="D441" s="13"/>
      <c r="E441" s="13"/>
      <c r="F441" s="13"/>
      <c r="G441" s="13"/>
      <c r="H441" s="13"/>
      <c r="I441" s="13"/>
    </row>
    <row r="442">
      <c r="A442" s="40" t="e">
        <v>#N/A</v>
      </c>
      <c r="B442" s="13"/>
      <c r="C442" s="13"/>
      <c r="D442" s="13"/>
      <c r="E442" s="13"/>
      <c r="F442" s="13"/>
      <c r="G442" s="13"/>
      <c r="H442" s="13"/>
      <c r="I442" s="13"/>
    </row>
    <row r="443">
      <c r="A443" s="40" t="e">
        <v>#N/A</v>
      </c>
      <c r="B443" s="13"/>
      <c r="C443" s="13"/>
      <c r="D443" s="13"/>
      <c r="E443" s="13"/>
      <c r="F443" s="13"/>
      <c r="G443" s="13"/>
      <c r="H443" s="13"/>
      <c r="I443" s="13"/>
    </row>
    <row r="444">
      <c r="A444" s="40" t="e">
        <v>#N/A</v>
      </c>
      <c r="B444" s="13"/>
      <c r="C444" s="13"/>
      <c r="D444" s="13"/>
      <c r="E444" s="13"/>
      <c r="F444" s="13"/>
      <c r="G444" s="13"/>
      <c r="H444" s="13"/>
      <c r="I444" s="13"/>
    </row>
    <row r="445">
      <c r="A445" s="40" t="e">
        <v>#N/A</v>
      </c>
      <c r="B445" s="13"/>
      <c r="C445" s="13"/>
      <c r="D445" s="13"/>
      <c r="E445" s="13"/>
      <c r="F445" s="13"/>
      <c r="G445" s="13"/>
      <c r="H445" s="13"/>
      <c r="I445" s="13"/>
    </row>
    <row r="446">
      <c r="A446" s="40" t="e">
        <v>#N/A</v>
      </c>
      <c r="B446" s="13"/>
      <c r="C446" s="13"/>
      <c r="D446" s="13"/>
      <c r="E446" s="13"/>
      <c r="F446" s="13"/>
      <c r="G446" s="13"/>
      <c r="H446" s="13"/>
      <c r="I446" s="13"/>
    </row>
    <row r="447">
      <c r="A447" s="40" t="e">
        <v>#N/A</v>
      </c>
      <c r="B447" s="13"/>
      <c r="C447" s="13"/>
      <c r="D447" s="13"/>
      <c r="E447" s="13"/>
      <c r="F447" s="13"/>
      <c r="G447" s="13"/>
      <c r="H447" s="13"/>
      <c r="I447" s="13"/>
    </row>
    <row r="448">
      <c r="A448" s="40" t="e">
        <v>#N/A</v>
      </c>
      <c r="B448" s="13"/>
      <c r="C448" s="13"/>
      <c r="D448" s="13"/>
      <c r="E448" s="13"/>
      <c r="F448" s="13"/>
      <c r="G448" s="13"/>
      <c r="H448" s="13"/>
      <c r="I448" s="13"/>
    </row>
    <row r="449">
      <c r="A449" s="40" t="e">
        <v>#N/A</v>
      </c>
      <c r="B449" s="13"/>
      <c r="C449" s="13"/>
      <c r="D449" s="13"/>
      <c r="E449" s="13"/>
      <c r="F449" s="13"/>
      <c r="G449" s="13"/>
      <c r="H449" s="13"/>
      <c r="I449" s="13"/>
    </row>
    <row r="450">
      <c r="A450" s="40" t="e">
        <v>#N/A</v>
      </c>
      <c r="B450" s="13"/>
      <c r="C450" s="13"/>
      <c r="D450" s="13"/>
      <c r="E450" s="13"/>
      <c r="F450" s="13"/>
      <c r="G450" s="13"/>
      <c r="H450" s="13"/>
      <c r="I450" s="13"/>
    </row>
    <row r="451">
      <c r="A451" s="40" t="e">
        <v>#N/A</v>
      </c>
      <c r="B451" s="13"/>
      <c r="C451" s="13"/>
      <c r="D451" s="13"/>
      <c r="E451" s="13"/>
      <c r="F451" s="13"/>
      <c r="G451" s="13"/>
      <c r="H451" s="13"/>
      <c r="I451" s="13"/>
    </row>
    <row r="452">
      <c r="A452" s="40" t="e">
        <v>#N/A</v>
      </c>
      <c r="B452" s="13"/>
      <c r="C452" s="13"/>
      <c r="D452" s="13"/>
      <c r="E452" s="13"/>
      <c r="F452" s="13"/>
      <c r="G452" s="13"/>
      <c r="H452" s="13"/>
      <c r="I452" s="13"/>
    </row>
    <row r="453">
      <c r="A453" s="40" t="e">
        <v>#N/A</v>
      </c>
      <c r="B453" s="13"/>
      <c r="C453" s="13"/>
      <c r="D453" s="13"/>
      <c r="E453" s="13"/>
      <c r="F453" s="13"/>
      <c r="G453" s="13"/>
      <c r="H453" s="13"/>
      <c r="I453" s="13"/>
    </row>
    <row r="454">
      <c r="A454" s="40" t="e">
        <v>#N/A</v>
      </c>
      <c r="B454" s="13"/>
      <c r="C454" s="13"/>
      <c r="D454" s="13"/>
      <c r="E454" s="13"/>
      <c r="F454" s="13"/>
      <c r="G454" s="13"/>
      <c r="H454" s="13"/>
      <c r="I454" s="13"/>
    </row>
    <row r="455">
      <c r="A455" s="40" t="e">
        <v>#N/A</v>
      </c>
      <c r="B455" s="13"/>
      <c r="C455" s="13"/>
      <c r="D455" s="13"/>
      <c r="E455" s="13"/>
      <c r="F455" s="13"/>
      <c r="G455" s="13"/>
      <c r="H455" s="13"/>
      <c r="I455" s="13"/>
    </row>
    <row r="456">
      <c r="A456" s="40" t="e">
        <v>#N/A</v>
      </c>
      <c r="B456" s="13"/>
      <c r="C456" s="13"/>
      <c r="D456" s="13"/>
      <c r="E456" s="13"/>
      <c r="F456" s="13"/>
      <c r="G456" s="13"/>
      <c r="H456" s="13"/>
      <c r="I456" s="13"/>
    </row>
    <row r="457">
      <c r="A457" s="40" t="e">
        <v>#N/A</v>
      </c>
      <c r="B457" s="13"/>
      <c r="C457" s="13"/>
      <c r="D457" s="13"/>
      <c r="E457" s="13"/>
      <c r="F457" s="13"/>
      <c r="G457" s="13"/>
      <c r="H457" s="13"/>
      <c r="I457" s="13"/>
    </row>
    <row r="458">
      <c r="A458" s="40" t="e">
        <v>#N/A</v>
      </c>
      <c r="B458" s="13"/>
      <c r="C458" s="13"/>
      <c r="D458" s="13"/>
      <c r="E458" s="13"/>
      <c r="F458" s="13"/>
      <c r="G458" s="13"/>
      <c r="H458" s="13"/>
      <c r="I458" s="13"/>
    </row>
    <row r="459">
      <c r="A459" s="40" t="e">
        <v>#N/A</v>
      </c>
      <c r="B459" s="13"/>
      <c r="C459" s="13"/>
      <c r="D459" s="13"/>
      <c r="E459" s="13"/>
      <c r="F459" s="13"/>
      <c r="G459" s="13"/>
      <c r="H459" s="13"/>
      <c r="I459" s="13"/>
    </row>
    <row r="460">
      <c r="A460" s="40" t="e">
        <v>#N/A</v>
      </c>
      <c r="B460" s="13"/>
      <c r="C460" s="13"/>
      <c r="D460" s="13"/>
      <c r="E460" s="13"/>
      <c r="F460" s="13"/>
      <c r="G460" s="13"/>
      <c r="H460" s="13"/>
      <c r="I460" s="13"/>
    </row>
    <row r="461">
      <c r="A461" s="40" t="e">
        <v>#N/A</v>
      </c>
      <c r="B461" s="13"/>
      <c r="C461" s="13"/>
      <c r="D461" s="13"/>
      <c r="E461" s="13"/>
      <c r="F461" s="13"/>
      <c r="G461" s="13"/>
      <c r="H461" s="13"/>
      <c r="I461" s="13"/>
    </row>
    <row r="462">
      <c r="A462" s="40" t="e">
        <v>#N/A</v>
      </c>
      <c r="B462" s="13"/>
      <c r="C462" s="13"/>
      <c r="D462" s="13"/>
      <c r="E462" s="13"/>
      <c r="F462" s="13"/>
      <c r="G462" s="13"/>
      <c r="H462" s="13"/>
      <c r="I462" s="13"/>
    </row>
    <row r="463">
      <c r="A463" s="40" t="e">
        <v>#N/A</v>
      </c>
      <c r="B463" s="13"/>
      <c r="C463" s="13"/>
      <c r="D463" s="13"/>
      <c r="E463" s="13"/>
      <c r="F463" s="13"/>
      <c r="G463" s="13"/>
      <c r="H463" s="13"/>
      <c r="I463" s="13"/>
    </row>
    <row r="464">
      <c r="A464" s="40" t="e">
        <v>#N/A</v>
      </c>
      <c r="B464" s="13"/>
      <c r="C464" s="13"/>
      <c r="D464" s="13"/>
      <c r="E464" s="13"/>
      <c r="F464" s="13"/>
      <c r="G464" s="13"/>
      <c r="H464" s="13"/>
      <c r="I464" s="13"/>
    </row>
    <row r="465">
      <c r="A465" s="40" t="e">
        <v>#N/A</v>
      </c>
      <c r="B465" s="13"/>
      <c r="C465" s="13"/>
      <c r="D465" s="13"/>
      <c r="E465" s="13"/>
      <c r="F465" s="13"/>
      <c r="G465" s="13"/>
      <c r="H465" s="13"/>
      <c r="I465" s="13"/>
    </row>
    <row r="466">
      <c r="A466" s="40" t="e">
        <v>#N/A</v>
      </c>
      <c r="B466" s="13"/>
      <c r="C466" s="13"/>
      <c r="D466" s="13"/>
      <c r="E466" s="13"/>
      <c r="F466" s="13"/>
      <c r="G466" s="13"/>
      <c r="H466" s="13"/>
      <c r="I466" s="13"/>
    </row>
    <row r="467">
      <c r="A467" s="40" t="e">
        <v>#N/A</v>
      </c>
      <c r="B467" s="13"/>
      <c r="C467" s="13"/>
      <c r="D467" s="13"/>
      <c r="E467" s="13"/>
      <c r="F467" s="13"/>
      <c r="G467" s="13"/>
      <c r="H467" s="13"/>
      <c r="I467" s="13"/>
    </row>
    <row r="468">
      <c r="A468" s="40" t="e">
        <v>#N/A</v>
      </c>
      <c r="B468" s="13"/>
      <c r="C468" s="13"/>
      <c r="D468" s="13"/>
      <c r="E468" s="13"/>
      <c r="F468" s="13"/>
      <c r="G468" s="13"/>
      <c r="H468" s="13"/>
      <c r="I468" s="13"/>
    </row>
    <row r="469">
      <c r="A469" s="40" t="e">
        <v>#N/A</v>
      </c>
      <c r="B469" s="13"/>
      <c r="C469" s="13"/>
      <c r="D469" s="13"/>
      <c r="E469" s="13"/>
      <c r="F469" s="13"/>
      <c r="G469" s="13"/>
      <c r="H469" s="13"/>
      <c r="I469" s="13"/>
    </row>
    <row r="470">
      <c r="A470" s="40" t="e">
        <v>#N/A</v>
      </c>
      <c r="B470" s="13"/>
      <c r="C470" s="13"/>
      <c r="D470" s="13"/>
      <c r="E470" s="13"/>
      <c r="F470" s="13"/>
      <c r="G470" s="13"/>
      <c r="H470" s="13"/>
      <c r="I470" s="13"/>
    </row>
    <row r="471">
      <c r="A471" s="40" t="e">
        <v>#N/A</v>
      </c>
      <c r="B471" s="13"/>
      <c r="C471" s="13"/>
      <c r="D471" s="13"/>
      <c r="E471" s="13"/>
      <c r="F471" s="13"/>
      <c r="G471" s="13"/>
      <c r="H471" s="13"/>
      <c r="I471" s="13"/>
    </row>
    <row r="472">
      <c r="A472" s="40" t="e">
        <v>#N/A</v>
      </c>
      <c r="B472" s="13"/>
      <c r="C472" s="13"/>
      <c r="D472" s="13"/>
      <c r="E472" s="13"/>
      <c r="F472" s="13"/>
      <c r="G472" s="13"/>
      <c r="H472" s="13"/>
      <c r="I472" s="13"/>
    </row>
    <row r="473">
      <c r="A473" s="40" t="e">
        <v>#N/A</v>
      </c>
      <c r="B473" s="13"/>
      <c r="C473" s="13"/>
      <c r="D473" s="13"/>
      <c r="E473" s="13"/>
      <c r="F473" s="13"/>
      <c r="G473" s="13"/>
      <c r="H473" s="13"/>
      <c r="I473" s="13"/>
    </row>
    <row r="474">
      <c r="A474" s="40" t="e">
        <v>#N/A</v>
      </c>
      <c r="B474" s="13"/>
      <c r="C474" s="13"/>
      <c r="D474" s="13"/>
      <c r="E474" s="13"/>
      <c r="F474" s="13"/>
      <c r="G474" s="13"/>
      <c r="H474" s="13"/>
      <c r="I474" s="13"/>
    </row>
    <row r="475">
      <c r="A475" s="40" t="e">
        <v>#N/A</v>
      </c>
      <c r="B475" s="13"/>
      <c r="C475" s="13"/>
      <c r="D475" s="13"/>
      <c r="E475" s="13"/>
      <c r="F475" s="13"/>
      <c r="G475" s="13"/>
      <c r="H475" s="13"/>
      <c r="I475" s="13"/>
    </row>
    <row r="476">
      <c r="A476" s="40" t="e">
        <v>#N/A</v>
      </c>
      <c r="B476" s="13"/>
      <c r="C476" s="13"/>
      <c r="D476" s="13"/>
      <c r="E476" s="13"/>
      <c r="F476" s="13"/>
      <c r="G476" s="13"/>
      <c r="H476" s="13"/>
      <c r="I476" s="13"/>
    </row>
    <row r="477">
      <c r="A477" s="40" t="e">
        <v>#N/A</v>
      </c>
      <c r="B477" s="13"/>
      <c r="C477" s="13"/>
      <c r="D477" s="13"/>
      <c r="E477" s="13"/>
      <c r="F477" s="13"/>
      <c r="G477" s="13"/>
      <c r="H477" s="13"/>
      <c r="I477" s="13"/>
    </row>
    <row r="478">
      <c r="A478" s="40" t="e">
        <v>#N/A</v>
      </c>
      <c r="B478" s="13"/>
      <c r="C478" s="13"/>
      <c r="D478" s="13"/>
      <c r="E478" s="13"/>
      <c r="F478" s="13"/>
      <c r="G478" s="13"/>
      <c r="H478" s="13"/>
      <c r="I478" s="13"/>
    </row>
    <row r="479">
      <c r="A479" s="40" t="e">
        <v>#N/A</v>
      </c>
      <c r="B479" s="13"/>
      <c r="C479" s="13"/>
      <c r="D479" s="13"/>
      <c r="E479" s="13"/>
      <c r="F479" s="13"/>
      <c r="G479" s="13"/>
      <c r="H479" s="13"/>
      <c r="I479" s="13"/>
    </row>
    <row r="480">
      <c r="A480" s="40" t="e">
        <v>#N/A</v>
      </c>
      <c r="B480" s="13"/>
      <c r="C480" s="13"/>
      <c r="D480" s="13"/>
      <c r="E480" s="13"/>
      <c r="F480" s="13"/>
      <c r="G480" s="13"/>
      <c r="H480" s="13"/>
      <c r="I480" s="13"/>
    </row>
    <row r="481">
      <c r="A481" s="40" t="e">
        <v>#N/A</v>
      </c>
      <c r="B481" s="13"/>
      <c r="C481" s="13"/>
      <c r="D481" s="13"/>
      <c r="E481" s="13"/>
      <c r="F481" s="13"/>
      <c r="G481" s="13"/>
      <c r="H481" s="13"/>
      <c r="I481" s="13"/>
    </row>
    <row r="482">
      <c r="A482" s="40" t="e">
        <v>#N/A</v>
      </c>
      <c r="B482" s="13"/>
      <c r="C482" s="13"/>
      <c r="D482" s="13"/>
      <c r="E482" s="13"/>
      <c r="F482" s="13"/>
      <c r="G482" s="13"/>
      <c r="H482" s="13"/>
      <c r="I482" s="13"/>
    </row>
    <row r="483">
      <c r="A483" s="40" t="e">
        <v>#N/A</v>
      </c>
      <c r="B483" s="13"/>
      <c r="C483" s="13"/>
      <c r="D483" s="13"/>
      <c r="E483" s="13"/>
      <c r="F483" s="13"/>
      <c r="G483" s="13"/>
      <c r="H483" s="13"/>
      <c r="I483" s="13"/>
    </row>
    <row r="484">
      <c r="A484" s="40" t="e">
        <v>#N/A</v>
      </c>
      <c r="B484" s="13"/>
      <c r="C484" s="13"/>
      <c r="D484" s="13"/>
      <c r="E484" s="13"/>
      <c r="F484" s="13"/>
      <c r="G484" s="13"/>
      <c r="H484" s="13"/>
      <c r="I484" s="13"/>
    </row>
    <row r="485">
      <c r="A485" s="40" t="e">
        <v>#N/A</v>
      </c>
      <c r="B485" s="13"/>
      <c r="C485" s="13"/>
      <c r="D485" s="13"/>
      <c r="E485" s="13"/>
      <c r="F485" s="13"/>
      <c r="G485" s="13"/>
      <c r="H485" s="13"/>
      <c r="I485" s="13"/>
    </row>
    <row r="486">
      <c r="A486" s="40" t="e">
        <v>#N/A</v>
      </c>
      <c r="B486" s="13"/>
      <c r="C486" s="13"/>
      <c r="D486" s="13"/>
      <c r="E486" s="13"/>
      <c r="F486" s="13"/>
      <c r="G486" s="13"/>
      <c r="H486" s="13"/>
      <c r="I486" s="13"/>
    </row>
    <row r="487">
      <c r="A487" s="40" t="e">
        <v>#N/A</v>
      </c>
      <c r="B487" s="13"/>
      <c r="C487" s="13"/>
      <c r="D487" s="13"/>
      <c r="E487" s="13"/>
      <c r="F487" s="13"/>
      <c r="G487" s="13"/>
      <c r="H487" s="13"/>
      <c r="I487" s="13"/>
    </row>
    <row r="488">
      <c r="A488" s="40" t="e">
        <v>#N/A</v>
      </c>
      <c r="B488" s="13"/>
      <c r="C488" s="13"/>
      <c r="D488" s="13"/>
      <c r="E488" s="13"/>
      <c r="F488" s="13"/>
      <c r="G488" s="13"/>
      <c r="H488" s="13"/>
      <c r="I488" s="13"/>
    </row>
    <row r="489">
      <c r="A489" s="40" t="e">
        <v>#N/A</v>
      </c>
      <c r="B489" s="13"/>
      <c r="C489" s="13"/>
      <c r="D489" s="13"/>
      <c r="E489" s="13"/>
      <c r="F489" s="13"/>
      <c r="G489" s="13"/>
      <c r="H489" s="13"/>
      <c r="I489" s="13"/>
    </row>
    <row r="490">
      <c r="A490" s="40" t="e">
        <v>#N/A</v>
      </c>
      <c r="B490" s="13"/>
      <c r="C490" s="13"/>
      <c r="D490" s="13"/>
      <c r="E490" s="13"/>
      <c r="F490" s="13"/>
      <c r="G490" s="13"/>
      <c r="H490" s="13"/>
      <c r="I490" s="13"/>
    </row>
    <row r="491">
      <c r="A491" s="40" t="e">
        <v>#N/A</v>
      </c>
      <c r="B491" s="13"/>
      <c r="C491" s="13"/>
      <c r="D491" s="13"/>
      <c r="E491" s="13"/>
      <c r="F491" s="13"/>
      <c r="G491" s="13"/>
      <c r="H491" s="13"/>
      <c r="I491" s="13"/>
    </row>
    <row r="492">
      <c r="A492" s="40" t="e">
        <v>#N/A</v>
      </c>
      <c r="B492" s="13"/>
      <c r="C492" s="13"/>
      <c r="D492" s="13"/>
      <c r="E492" s="13"/>
      <c r="F492" s="13"/>
      <c r="G492" s="13"/>
      <c r="H492" s="13"/>
      <c r="I492" s="13"/>
    </row>
    <row r="493">
      <c r="A493" s="40" t="e">
        <v>#N/A</v>
      </c>
      <c r="B493" s="13"/>
      <c r="C493" s="13"/>
      <c r="D493" s="13"/>
      <c r="E493" s="13"/>
      <c r="F493" s="13"/>
      <c r="G493" s="13"/>
      <c r="H493" s="13"/>
      <c r="I493" s="13"/>
    </row>
    <row r="494">
      <c r="A494" s="40" t="e">
        <v>#N/A</v>
      </c>
      <c r="B494" s="13"/>
      <c r="C494" s="13"/>
      <c r="D494" s="13"/>
      <c r="E494" s="13"/>
      <c r="F494" s="13"/>
      <c r="G494" s="13"/>
      <c r="H494" s="13"/>
      <c r="I494" s="13"/>
    </row>
    <row r="495">
      <c r="A495" s="40" t="e">
        <v>#N/A</v>
      </c>
      <c r="B495" s="13"/>
      <c r="C495" s="13"/>
      <c r="D495" s="13"/>
      <c r="E495" s="13"/>
      <c r="F495" s="13"/>
      <c r="G495" s="13"/>
      <c r="H495" s="13"/>
      <c r="I495" s="13"/>
    </row>
    <row r="496">
      <c r="A496" s="40" t="e">
        <v>#N/A</v>
      </c>
      <c r="B496" s="13"/>
      <c r="C496" s="13"/>
      <c r="D496" s="13"/>
      <c r="E496" s="13"/>
      <c r="F496" s="13"/>
      <c r="G496" s="13"/>
      <c r="H496" s="13"/>
      <c r="I496" s="13"/>
    </row>
    <row r="497">
      <c r="A497" s="40" t="e">
        <v>#N/A</v>
      </c>
      <c r="B497" s="13"/>
      <c r="C497" s="13"/>
      <c r="D497" s="13"/>
      <c r="E497" s="13"/>
      <c r="F497" s="13"/>
      <c r="G497" s="13"/>
      <c r="H497" s="13"/>
      <c r="I497" s="13"/>
    </row>
    <row r="498">
      <c r="A498" s="40" t="e">
        <v>#N/A</v>
      </c>
      <c r="B498" s="13"/>
      <c r="C498" s="13"/>
      <c r="D498" s="13"/>
      <c r="E498" s="13"/>
      <c r="F498" s="13"/>
      <c r="G498" s="13"/>
      <c r="H498" s="13"/>
      <c r="I498" s="13"/>
    </row>
    <row r="499">
      <c r="A499" s="40" t="e">
        <v>#N/A</v>
      </c>
      <c r="B499" s="13"/>
      <c r="C499" s="13"/>
      <c r="D499" s="13"/>
      <c r="E499" s="13"/>
      <c r="F499" s="13"/>
      <c r="G499" s="13"/>
      <c r="H499" s="13"/>
      <c r="I499" s="13"/>
    </row>
    <row r="500">
      <c r="A500" s="40" t="e">
        <v>#N/A</v>
      </c>
      <c r="B500" s="13"/>
      <c r="C500" s="13"/>
      <c r="D500" s="13"/>
      <c r="E500" s="13"/>
      <c r="F500" s="13"/>
      <c r="G500" s="13"/>
      <c r="H500" s="13"/>
      <c r="I500" s="13"/>
    </row>
    <row r="501">
      <c r="A501" s="40" t="e">
        <v>#N/A</v>
      </c>
      <c r="B501" s="13"/>
      <c r="C501" s="13"/>
      <c r="D501" s="13"/>
      <c r="E501" s="13"/>
      <c r="F501" s="13"/>
      <c r="G501" s="13"/>
      <c r="H501" s="13"/>
      <c r="I501" s="13"/>
    </row>
    <row r="502">
      <c r="A502" s="40" t="e">
        <v>#N/A</v>
      </c>
      <c r="B502" s="13"/>
      <c r="C502" s="13"/>
      <c r="D502" s="13"/>
      <c r="E502" s="13"/>
      <c r="F502" s="13"/>
      <c r="G502" s="13"/>
      <c r="H502" s="13"/>
      <c r="I502" s="13"/>
    </row>
    <row r="503">
      <c r="A503" s="40" t="e">
        <v>#N/A</v>
      </c>
      <c r="B503" s="13"/>
      <c r="C503" s="13"/>
      <c r="D503" s="13"/>
      <c r="E503" s="13"/>
      <c r="F503" s="13"/>
      <c r="G503" s="13"/>
      <c r="H503" s="13"/>
      <c r="I503" s="13"/>
    </row>
    <row r="504">
      <c r="A504" s="40" t="e">
        <v>#N/A</v>
      </c>
      <c r="B504" s="13"/>
      <c r="C504" s="13"/>
      <c r="D504" s="13"/>
      <c r="E504" s="13"/>
      <c r="F504" s="13"/>
      <c r="G504" s="13"/>
      <c r="H504" s="13"/>
      <c r="I504" s="13"/>
    </row>
    <row r="505">
      <c r="A505" s="40" t="e">
        <v>#N/A</v>
      </c>
      <c r="B505" s="13"/>
      <c r="C505" s="13"/>
      <c r="D505" s="13"/>
      <c r="E505" s="13"/>
      <c r="F505" s="13"/>
      <c r="G505" s="13"/>
      <c r="H505" s="13"/>
      <c r="I505" s="13"/>
    </row>
    <row r="506">
      <c r="A506" s="40" t="e">
        <v>#N/A</v>
      </c>
      <c r="B506" s="13"/>
      <c r="C506" s="13"/>
      <c r="D506" s="13"/>
      <c r="E506" s="13"/>
      <c r="F506" s="13"/>
      <c r="G506" s="13"/>
      <c r="H506" s="13"/>
      <c r="I506" s="13"/>
    </row>
    <row r="507">
      <c r="A507" s="40" t="e">
        <v>#N/A</v>
      </c>
      <c r="B507" s="13"/>
      <c r="C507" s="13"/>
      <c r="D507" s="13"/>
      <c r="E507" s="13"/>
      <c r="F507" s="13"/>
      <c r="G507" s="13"/>
      <c r="H507" s="13"/>
      <c r="I507" s="13"/>
    </row>
    <row r="508">
      <c r="A508" s="40" t="e">
        <v>#N/A</v>
      </c>
      <c r="B508" s="13"/>
      <c r="C508" s="13"/>
      <c r="D508" s="13"/>
      <c r="E508" s="13"/>
      <c r="F508" s="13"/>
      <c r="G508" s="13"/>
      <c r="H508" s="13"/>
      <c r="I508" s="13"/>
    </row>
    <row r="509">
      <c r="A509" s="40" t="e">
        <v>#N/A</v>
      </c>
      <c r="B509" s="13"/>
      <c r="C509" s="13"/>
      <c r="D509" s="13"/>
      <c r="E509" s="13"/>
      <c r="F509" s="13"/>
      <c r="G509" s="13"/>
      <c r="H509" s="13"/>
      <c r="I509" s="13"/>
    </row>
    <row r="510">
      <c r="A510" s="40" t="e">
        <v>#N/A</v>
      </c>
      <c r="B510" s="13"/>
      <c r="C510" s="13"/>
      <c r="D510" s="13"/>
      <c r="E510" s="13"/>
      <c r="F510" s="13"/>
      <c r="G510" s="13"/>
      <c r="H510" s="13"/>
      <c r="I510" s="13"/>
    </row>
    <row r="511">
      <c r="A511" s="40" t="e">
        <v>#N/A</v>
      </c>
      <c r="B511" s="13"/>
      <c r="C511" s="13"/>
      <c r="D511" s="13"/>
      <c r="E511" s="13"/>
      <c r="F511" s="13"/>
      <c r="G511" s="13"/>
      <c r="H511" s="13"/>
      <c r="I511" s="13"/>
    </row>
    <row r="512">
      <c r="A512" s="40" t="e">
        <v>#N/A</v>
      </c>
      <c r="B512" s="13"/>
      <c r="C512" s="13"/>
      <c r="D512" s="13"/>
      <c r="E512" s="13"/>
      <c r="F512" s="13"/>
      <c r="G512" s="13"/>
      <c r="H512" s="13"/>
      <c r="I512" s="13"/>
    </row>
    <row r="513">
      <c r="A513" s="40" t="e">
        <v>#N/A</v>
      </c>
      <c r="B513" s="13"/>
      <c r="C513" s="13"/>
      <c r="D513" s="13"/>
      <c r="E513" s="13"/>
      <c r="F513" s="13"/>
      <c r="G513" s="13"/>
      <c r="H513" s="13"/>
      <c r="I513" s="13"/>
    </row>
    <row r="514">
      <c r="A514" s="40" t="e">
        <v>#N/A</v>
      </c>
      <c r="B514" s="13"/>
      <c r="C514" s="13"/>
      <c r="D514" s="13"/>
      <c r="E514" s="13"/>
      <c r="F514" s="13"/>
      <c r="G514" s="13"/>
      <c r="H514" s="13"/>
      <c r="I514" s="13"/>
    </row>
    <row r="515">
      <c r="A515" s="40" t="e">
        <v>#N/A</v>
      </c>
      <c r="B515" s="13"/>
      <c r="C515" s="13"/>
      <c r="D515" s="13"/>
      <c r="E515" s="13"/>
      <c r="F515" s="13"/>
      <c r="G515" s="13"/>
      <c r="H515" s="13"/>
      <c r="I515" s="13"/>
    </row>
    <row r="516">
      <c r="A516" s="40" t="e">
        <v>#N/A</v>
      </c>
      <c r="B516" s="13"/>
      <c r="C516" s="13"/>
      <c r="D516" s="13"/>
      <c r="E516" s="13"/>
      <c r="F516" s="13"/>
      <c r="G516" s="13"/>
      <c r="H516" s="13"/>
      <c r="I516" s="13"/>
    </row>
    <row r="517">
      <c r="A517" s="40" t="e">
        <v>#N/A</v>
      </c>
      <c r="B517" s="13"/>
      <c r="C517" s="13"/>
      <c r="D517" s="13"/>
      <c r="E517" s="13"/>
      <c r="F517" s="13"/>
      <c r="G517" s="13"/>
      <c r="H517" s="13"/>
      <c r="I517" s="13"/>
    </row>
    <row r="518">
      <c r="A518" s="40" t="e">
        <v>#N/A</v>
      </c>
      <c r="B518" s="13"/>
      <c r="C518" s="13"/>
      <c r="D518" s="13"/>
      <c r="E518" s="13"/>
      <c r="F518" s="13"/>
      <c r="G518" s="13"/>
      <c r="H518" s="13"/>
      <c r="I518" s="13"/>
    </row>
    <row r="519">
      <c r="A519" s="40" t="e">
        <v>#N/A</v>
      </c>
      <c r="B519" s="13"/>
      <c r="C519" s="13"/>
      <c r="D519" s="13"/>
      <c r="E519" s="13"/>
      <c r="F519" s="13"/>
      <c r="G519" s="13"/>
      <c r="H519" s="13"/>
      <c r="I519" s="13"/>
    </row>
    <row r="520">
      <c r="A520" s="40" t="e">
        <v>#N/A</v>
      </c>
      <c r="B520" s="13"/>
      <c r="C520" s="13"/>
      <c r="D520" s="13"/>
      <c r="E520" s="13"/>
      <c r="F520" s="13"/>
      <c r="G520" s="13"/>
      <c r="H520" s="13"/>
      <c r="I520" s="13"/>
    </row>
    <row r="521">
      <c r="A521" s="40" t="e">
        <v>#N/A</v>
      </c>
      <c r="B521" s="13"/>
      <c r="C521" s="13"/>
      <c r="D521" s="13"/>
      <c r="E521" s="13"/>
      <c r="F521" s="13"/>
      <c r="G521" s="13"/>
      <c r="H521" s="13"/>
      <c r="I521" s="13"/>
    </row>
    <row r="522">
      <c r="A522" s="40" t="e">
        <v>#N/A</v>
      </c>
      <c r="B522" s="13"/>
      <c r="C522" s="13"/>
      <c r="D522" s="13"/>
      <c r="E522" s="13"/>
      <c r="F522" s="13"/>
      <c r="G522" s="13"/>
      <c r="H522" s="13"/>
      <c r="I522" s="13"/>
    </row>
    <row r="523">
      <c r="A523" s="40" t="e">
        <v>#N/A</v>
      </c>
      <c r="B523" s="13"/>
      <c r="C523" s="13"/>
      <c r="D523" s="13"/>
      <c r="E523" s="13"/>
      <c r="F523" s="13"/>
      <c r="G523" s="13"/>
      <c r="H523" s="13"/>
      <c r="I523" s="13"/>
    </row>
    <row r="524">
      <c r="A524" s="40" t="e">
        <v>#N/A</v>
      </c>
      <c r="B524" s="13"/>
      <c r="C524" s="13"/>
      <c r="D524" s="13"/>
      <c r="E524" s="13"/>
      <c r="F524" s="13"/>
      <c r="G524" s="13"/>
      <c r="H524" s="13"/>
      <c r="I524" s="13"/>
    </row>
    <row r="525">
      <c r="A525" s="40" t="e">
        <v>#N/A</v>
      </c>
      <c r="B525" s="13"/>
      <c r="C525" s="13"/>
      <c r="D525" s="13"/>
      <c r="E525" s="13"/>
      <c r="F525" s="13"/>
      <c r="G525" s="13"/>
      <c r="H525" s="13"/>
      <c r="I525" s="13"/>
    </row>
    <row r="526">
      <c r="A526" s="40" t="e">
        <v>#N/A</v>
      </c>
      <c r="B526" s="13"/>
      <c r="C526" s="13"/>
      <c r="D526" s="13"/>
      <c r="E526" s="13"/>
      <c r="F526" s="13"/>
      <c r="G526" s="13"/>
      <c r="H526" s="13"/>
      <c r="I526" s="13"/>
    </row>
    <row r="527">
      <c r="A527" s="40" t="e">
        <v>#N/A</v>
      </c>
      <c r="B527" s="13"/>
      <c r="C527" s="13"/>
      <c r="D527" s="13"/>
      <c r="E527" s="13"/>
      <c r="F527" s="13"/>
      <c r="G527" s="13"/>
      <c r="H527" s="13"/>
      <c r="I527" s="13"/>
    </row>
    <row r="528">
      <c r="A528" s="40" t="e">
        <v>#N/A</v>
      </c>
      <c r="B528" s="13"/>
      <c r="C528" s="13"/>
      <c r="D528" s="13"/>
      <c r="E528" s="13"/>
      <c r="F528" s="13"/>
      <c r="G528" s="13"/>
      <c r="H528" s="13"/>
      <c r="I528" s="13"/>
    </row>
    <row r="529">
      <c r="A529" s="40" t="e">
        <v>#N/A</v>
      </c>
      <c r="B529" s="13"/>
      <c r="C529" s="13"/>
      <c r="D529" s="13"/>
      <c r="E529" s="13"/>
      <c r="F529" s="13"/>
      <c r="G529" s="13"/>
      <c r="H529" s="13"/>
      <c r="I529" s="13"/>
    </row>
    <row r="530">
      <c r="A530" s="40" t="e">
        <v>#N/A</v>
      </c>
      <c r="B530" s="13"/>
      <c r="C530" s="13"/>
      <c r="D530" s="13"/>
      <c r="E530" s="13"/>
      <c r="F530" s="13"/>
      <c r="G530" s="13"/>
      <c r="H530" s="13"/>
      <c r="I530" s="13"/>
    </row>
    <row r="531">
      <c r="A531" s="40" t="e">
        <v>#N/A</v>
      </c>
      <c r="B531" s="13"/>
      <c r="C531" s="13"/>
      <c r="D531" s="13"/>
      <c r="E531" s="13"/>
      <c r="F531" s="13"/>
      <c r="G531" s="13"/>
      <c r="H531" s="13"/>
      <c r="I531" s="13"/>
    </row>
    <row r="532">
      <c r="A532" s="40" t="e">
        <v>#N/A</v>
      </c>
      <c r="B532" s="13"/>
      <c r="C532" s="13"/>
      <c r="D532" s="13"/>
      <c r="E532" s="13"/>
      <c r="F532" s="13"/>
      <c r="G532" s="13"/>
      <c r="H532" s="13"/>
      <c r="I532" s="13"/>
    </row>
    <row r="533">
      <c r="A533" s="40" t="e">
        <v>#N/A</v>
      </c>
      <c r="B533" s="13"/>
      <c r="C533" s="13"/>
      <c r="D533" s="13"/>
      <c r="E533" s="13"/>
      <c r="F533" s="13"/>
      <c r="G533" s="13"/>
      <c r="H533" s="13"/>
      <c r="I533" s="13"/>
    </row>
    <row r="534">
      <c r="A534" s="40" t="e">
        <v>#N/A</v>
      </c>
      <c r="B534" s="13"/>
      <c r="C534" s="13"/>
      <c r="D534" s="13"/>
      <c r="E534" s="13"/>
      <c r="F534" s="13"/>
      <c r="G534" s="13"/>
      <c r="H534" s="13"/>
      <c r="I534" s="13"/>
    </row>
    <row r="535">
      <c r="A535" s="40" t="e">
        <v>#N/A</v>
      </c>
      <c r="B535" s="13"/>
      <c r="C535" s="13"/>
      <c r="D535" s="13"/>
      <c r="E535" s="13"/>
      <c r="F535" s="13"/>
      <c r="G535" s="13"/>
      <c r="H535" s="13"/>
      <c r="I535" s="13"/>
    </row>
    <row r="536">
      <c r="A536" s="40" t="e">
        <v>#N/A</v>
      </c>
      <c r="B536" s="13"/>
      <c r="C536" s="13"/>
      <c r="D536" s="13"/>
      <c r="E536" s="13"/>
      <c r="F536" s="13"/>
      <c r="G536" s="13"/>
      <c r="H536" s="13"/>
      <c r="I536" s="13"/>
    </row>
    <row r="537">
      <c r="A537" s="40" t="e">
        <v>#N/A</v>
      </c>
      <c r="B537" s="13"/>
      <c r="C537" s="13"/>
      <c r="D537" s="13"/>
      <c r="E537" s="13"/>
      <c r="F537" s="13"/>
      <c r="G537" s="13"/>
      <c r="H537" s="13"/>
      <c r="I537" s="13"/>
    </row>
    <row r="538">
      <c r="A538" s="40" t="e">
        <v>#N/A</v>
      </c>
      <c r="B538" s="13"/>
      <c r="C538" s="13"/>
      <c r="D538" s="13"/>
      <c r="E538" s="13"/>
      <c r="F538" s="13"/>
      <c r="G538" s="13"/>
      <c r="H538" s="13"/>
      <c r="I538" s="13"/>
    </row>
    <row r="539">
      <c r="A539" s="40" t="e">
        <v>#N/A</v>
      </c>
      <c r="B539" s="13"/>
      <c r="C539" s="13"/>
      <c r="D539" s="13"/>
      <c r="E539" s="13"/>
      <c r="F539" s="13"/>
      <c r="G539" s="13"/>
      <c r="H539" s="13"/>
      <c r="I539" s="13"/>
    </row>
    <row r="540">
      <c r="A540" s="40" t="e">
        <v>#N/A</v>
      </c>
      <c r="B540" s="13"/>
      <c r="C540" s="13"/>
      <c r="D540" s="13"/>
      <c r="E540" s="13"/>
      <c r="F540" s="13"/>
      <c r="G540" s="13"/>
      <c r="H540" s="13"/>
      <c r="I540" s="13"/>
    </row>
    <row r="541">
      <c r="A541" s="40" t="e">
        <v>#N/A</v>
      </c>
      <c r="B541" s="13"/>
      <c r="C541" s="13"/>
      <c r="D541" s="13"/>
      <c r="E541" s="13"/>
      <c r="F541" s="13"/>
      <c r="G541" s="13"/>
      <c r="H541" s="13"/>
      <c r="I541" s="13"/>
    </row>
    <row r="542">
      <c r="A542" s="40" t="e">
        <v>#N/A</v>
      </c>
      <c r="B542" s="13"/>
      <c r="C542" s="13"/>
      <c r="D542" s="13"/>
      <c r="E542" s="13"/>
      <c r="F542" s="13"/>
      <c r="G542" s="13"/>
      <c r="H542" s="13"/>
      <c r="I542" s="13"/>
    </row>
    <row r="543">
      <c r="A543" s="40" t="e">
        <v>#N/A</v>
      </c>
      <c r="B543" s="13"/>
      <c r="C543" s="13"/>
      <c r="D543" s="13"/>
      <c r="E543" s="13"/>
      <c r="F543" s="13"/>
      <c r="G543" s="13"/>
      <c r="H543" s="13"/>
      <c r="I543" s="13"/>
    </row>
    <row r="544">
      <c r="A544" s="40" t="e">
        <v>#N/A</v>
      </c>
      <c r="B544" s="13"/>
      <c r="C544" s="13"/>
      <c r="D544" s="13"/>
      <c r="E544" s="13"/>
      <c r="F544" s="13"/>
      <c r="G544" s="13"/>
      <c r="H544" s="13"/>
      <c r="I544" s="13"/>
    </row>
    <row r="545">
      <c r="A545" s="40" t="e">
        <v>#N/A</v>
      </c>
      <c r="B545" s="13"/>
      <c r="C545" s="13"/>
      <c r="D545" s="13"/>
      <c r="E545" s="13"/>
      <c r="F545" s="13"/>
      <c r="G545" s="13"/>
      <c r="H545" s="13"/>
      <c r="I545" s="13"/>
    </row>
    <row r="546">
      <c r="A546" s="40" t="e">
        <v>#N/A</v>
      </c>
      <c r="B546" s="13"/>
      <c r="C546" s="13"/>
      <c r="D546" s="13"/>
      <c r="E546" s="13"/>
      <c r="F546" s="13"/>
      <c r="G546" s="13"/>
      <c r="H546" s="13"/>
      <c r="I546" s="13"/>
    </row>
    <row r="547">
      <c r="A547" s="40" t="e">
        <v>#N/A</v>
      </c>
      <c r="B547" s="13"/>
      <c r="C547" s="13"/>
      <c r="D547" s="13"/>
      <c r="E547" s="13"/>
      <c r="F547" s="13"/>
      <c r="G547" s="13"/>
      <c r="H547" s="13"/>
      <c r="I547" s="13"/>
    </row>
    <row r="548">
      <c r="A548" s="40" t="e">
        <v>#N/A</v>
      </c>
      <c r="B548" s="13"/>
      <c r="C548" s="13"/>
      <c r="D548" s="13"/>
      <c r="E548" s="13"/>
      <c r="F548" s="13"/>
      <c r="G548" s="13"/>
      <c r="H548" s="13"/>
      <c r="I548" s="13"/>
    </row>
    <row r="549">
      <c r="A549" s="40" t="e">
        <v>#N/A</v>
      </c>
      <c r="B549" s="13"/>
      <c r="C549" s="13"/>
      <c r="D549" s="13"/>
      <c r="E549" s="13"/>
      <c r="F549" s="13"/>
      <c r="G549" s="13"/>
      <c r="H549" s="13"/>
      <c r="I549" s="13"/>
    </row>
    <row r="550">
      <c r="A550" s="40" t="e">
        <v>#N/A</v>
      </c>
      <c r="B550" s="13"/>
      <c r="C550" s="13"/>
      <c r="D550" s="13"/>
      <c r="E550" s="13"/>
      <c r="F550" s="13"/>
      <c r="G550" s="13"/>
      <c r="H550" s="13"/>
      <c r="I550" s="13"/>
    </row>
    <row r="551">
      <c r="A551" s="40" t="e">
        <v>#N/A</v>
      </c>
      <c r="B551" s="13"/>
      <c r="C551" s="13"/>
      <c r="D551" s="13"/>
      <c r="E551" s="13"/>
      <c r="F551" s="13"/>
      <c r="G551" s="13"/>
      <c r="H551" s="13"/>
      <c r="I551" s="13"/>
    </row>
    <row r="552">
      <c r="A552" s="40" t="e">
        <v>#N/A</v>
      </c>
      <c r="B552" s="13"/>
      <c r="C552" s="13"/>
      <c r="D552" s="13"/>
      <c r="E552" s="13"/>
      <c r="F552" s="13"/>
      <c r="G552" s="13"/>
      <c r="H552" s="13"/>
      <c r="I552" s="13"/>
    </row>
    <row r="553">
      <c r="A553" s="40" t="e">
        <v>#N/A</v>
      </c>
      <c r="B553" s="13"/>
      <c r="C553" s="13"/>
      <c r="D553" s="13"/>
      <c r="E553" s="13"/>
      <c r="F553" s="13"/>
      <c r="G553" s="13"/>
      <c r="H553" s="13"/>
      <c r="I553" s="13"/>
    </row>
    <row r="554">
      <c r="A554" s="40" t="e">
        <v>#N/A</v>
      </c>
      <c r="B554" s="13"/>
      <c r="C554" s="13"/>
      <c r="D554" s="13"/>
      <c r="E554" s="13"/>
      <c r="F554" s="13"/>
      <c r="G554" s="13"/>
      <c r="H554" s="13"/>
      <c r="I554" s="13"/>
    </row>
    <row r="555">
      <c r="A555" s="40" t="e">
        <v>#N/A</v>
      </c>
      <c r="B555" s="13"/>
      <c r="C555" s="13"/>
      <c r="D555" s="13"/>
      <c r="E555" s="13"/>
      <c r="F555" s="13"/>
      <c r="G555" s="13"/>
      <c r="H555" s="13"/>
      <c r="I555" s="13"/>
    </row>
    <row r="556">
      <c r="A556" s="40" t="e">
        <v>#N/A</v>
      </c>
      <c r="B556" s="13"/>
      <c r="C556" s="13"/>
      <c r="D556" s="13"/>
      <c r="E556" s="13"/>
      <c r="F556" s="13"/>
      <c r="G556" s="13"/>
      <c r="H556" s="13"/>
      <c r="I556" s="13"/>
    </row>
    <row r="557">
      <c r="A557" s="40" t="e">
        <v>#N/A</v>
      </c>
      <c r="B557" s="13"/>
      <c r="C557" s="13"/>
      <c r="D557" s="13"/>
      <c r="E557" s="13"/>
      <c r="F557" s="13"/>
      <c r="G557" s="13"/>
      <c r="H557" s="13"/>
      <c r="I557" s="13"/>
    </row>
    <row r="558">
      <c r="A558" s="40" t="e">
        <v>#N/A</v>
      </c>
      <c r="B558" s="13"/>
      <c r="C558" s="13"/>
      <c r="D558" s="13"/>
      <c r="E558" s="13"/>
      <c r="F558" s="13"/>
      <c r="G558" s="13"/>
      <c r="H558" s="13"/>
      <c r="I558" s="13"/>
    </row>
    <row r="559">
      <c r="A559" s="40" t="e">
        <v>#N/A</v>
      </c>
      <c r="B559" s="13"/>
      <c r="C559" s="13"/>
      <c r="D559" s="13"/>
      <c r="E559" s="13"/>
      <c r="F559" s="13"/>
      <c r="G559" s="13"/>
      <c r="H559" s="13"/>
      <c r="I559" s="13"/>
    </row>
    <row r="560">
      <c r="A560" s="40" t="e">
        <v>#N/A</v>
      </c>
      <c r="B560" s="13"/>
      <c r="C560" s="13"/>
      <c r="D560" s="13"/>
      <c r="E560" s="13"/>
      <c r="F560" s="13"/>
      <c r="G560" s="13"/>
      <c r="H560" s="13"/>
      <c r="I560" s="13"/>
    </row>
    <row r="561">
      <c r="A561" s="40" t="e">
        <v>#N/A</v>
      </c>
      <c r="B561" s="13"/>
      <c r="C561" s="13"/>
      <c r="D561" s="13"/>
      <c r="E561" s="13"/>
      <c r="F561" s="13"/>
      <c r="G561" s="13"/>
      <c r="H561" s="13"/>
      <c r="I561" s="13"/>
    </row>
    <row r="562">
      <c r="A562" s="40" t="e">
        <v>#N/A</v>
      </c>
      <c r="B562" s="13"/>
      <c r="C562" s="13"/>
      <c r="D562" s="13"/>
      <c r="E562" s="13"/>
      <c r="F562" s="13"/>
      <c r="G562" s="13"/>
      <c r="H562" s="13"/>
      <c r="I562" s="13"/>
    </row>
    <row r="563">
      <c r="A563" s="40" t="e">
        <v>#N/A</v>
      </c>
      <c r="B563" s="13"/>
      <c r="C563" s="13"/>
      <c r="D563" s="13"/>
      <c r="E563" s="13"/>
      <c r="F563" s="13"/>
      <c r="G563" s="13"/>
      <c r="H563" s="13"/>
      <c r="I563" s="13"/>
    </row>
    <row r="564">
      <c r="A564" s="40" t="e">
        <v>#N/A</v>
      </c>
      <c r="B564" s="13"/>
      <c r="C564" s="13"/>
      <c r="D564" s="13"/>
      <c r="E564" s="13"/>
      <c r="F564" s="13"/>
      <c r="G564" s="13"/>
      <c r="H564" s="13"/>
      <c r="I564" s="13"/>
    </row>
    <row r="565">
      <c r="A565" s="40" t="e">
        <v>#N/A</v>
      </c>
      <c r="B565" s="13"/>
      <c r="C565" s="13"/>
      <c r="D565" s="13"/>
      <c r="E565" s="13"/>
      <c r="F565" s="13"/>
      <c r="G565" s="13"/>
      <c r="H565" s="13"/>
      <c r="I565" s="13"/>
    </row>
    <row r="566">
      <c r="A566" s="40" t="e">
        <v>#N/A</v>
      </c>
      <c r="B566" s="13"/>
      <c r="C566" s="13"/>
      <c r="D566" s="13"/>
      <c r="E566" s="13"/>
      <c r="F566" s="13"/>
      <c r="G566" s="13"/>
      <c r="H566" s="13"/>
      <c r="I566" s="13"/>
    </row>
    <row r="567">
      <c r="A567" s="40" t="e">
        <v>#N/A</v>
      </c>
      <c r="B567" s="13"/>
      <c r="C567" s="13"/>
      <c r="D567" s="13"/>
      <c r="E567" s="13"/>
      <c r="F567" s="13"/>
      <c r="G567" s="13"/>
      <c r="H567" s="13"/>
      <c r="I567" s="13"/>
    </row>
    <row r="568">
      <c r="A568" s="40" t="e">
        <v>#N/A</v>
      </c>
      <c r="B568" s="13"/>
      <c r="C568" s="13"/>
      <c r="D568" s="13"/>
      <c r="E568" s="13"/>
      <c r="F568" s="13"/>
      <c r="G568" s="13"/>
      <c r="H568" s="13"/>
      <c r="I568" s="13"/>
    </row>
    <row r="569">
      <c r="A569" s="40" t="e">
        <v>#N/A</v>
      </c>
      <c r="B569" s="13"/>
      <c r="C569" s="13"/>
      <c r="D569" s="13"/>
      <c r="E569" s="13"/>
      <c r="F569" s="13"/>
      <c r="G569" s="13"/>
      <c r="H569" s="13"/>
      <c r="I569" s="13"/>
    </row>
    <row r="570">
      <c r="A570" s="40" t="e">
        <v>#N/A</v>
      </c>
      <c r="B570" s="13"/>
      <c r="C570" s="13"/>
      <c r="D570" s="13"/>
      <c r="E570" s="13"/>
      <c r="F570" s="13"/>
      <c r="G570" s="13"/>
      <c r="H570" s="13"/>
      <c r="I570" s="13"/>
    </row>
    <row r="571">
      <c r="A571" s="40" t="e">
        <v>#N/A</v>
      </c>
      <c r="B571" s="13"/>
      <c r="C571" s="13"/>
      <c r="D571" s="13"/>
      <c r="E571" s="13"/>
      <c r="F571" s="13"/>
      <c r="G571" s="13"/>
      <c r="H571" s="13"/>
      <c r="I571" s="13"/>
    </row>
    <row r="572">
      <c r="A572" s="40" t="e">
        <v>#N/A</v>
      </c>
      <c r="B572" s="13"/>
      <c r="C572" s="13"/>
      <c r="D572" s="13"/>
      <c r="E572" s="13"/>
      <c r="F572" s="13"/>
      <c r="G572" s="13"/>
      <c r="H572" s="13"/>
      <c r="I572" s="13"/>
    </row>
    <row r="573">
      <c r="A573" s="40" t="e">
        <v>#N/A</v>
      </c>
      <c r="B573" s="13"/>
      <c r="C573" s="13"/>
      <c r="D573" s="13"/>
      <c r="E573" s="13"/>
      <c r="F573" s="13"/>
      <c r="G573" s="13"/>
      <c r="H573" s="13"/>
      <c r="I573" s="13"/>
    </row>
    <row r="574">
      <c r="A574" s="40" t="e">
        <v>#N/A</v>
      </c>
      <c r="B574" s="13"/>
      <c r="C574" s="13"/>
      <c r="D574" s="13"/>
      <c r="E574" s="13"/>
      <c r="F574" s="13"/>
      <c r="G574" s="13"/>
      <c r="H574" s="13"/>
      <c r="I574" s="13"/>
    </row>
    <row r="575">
      <c r="A575" s="40" t="e">
        <v>#N/A</v>
      </c>
      <c r="B575" s="13"/>
      <c r="C575" s="13"/>
      <c r="D575" s="13"/>
      <c r="E575" s="13"/>
      <c r="F575" s="13"/>
      <c r="G575" s="13"/>
      <c r="H575" s="13"/>
      <c r="I575" s="13"/>
    </row>
    <row r="576">
      <c r="A576" s="40" t="e">
        <v>#N/A</v>
      </c>
      <c r="B576" s="13"/>
      <c r="C576" s="13"/>
      <c r="D576" s="13"/>
      <c r="E576" s="13"/>
      <c r="F576" s="13"/>
      <c r="G576" s="13"/>
      <c r="H576" s="13"/>
      <c r="I576" s="13"/>
    </row>
    <row r="577">
      <c r="A577" s="40" t="e">
        <v>#N/A</v>
      </c>
      <c r="B577" s="13"/>
      <c r="C577" s="13"/>
      <c r="D577" s="13"/>
      <c r="E577" s="13"/>
      <c r="F577" s="13"/>
      <c r="G577" s="13"/>
      <c r="H577" s="13"/>
      <c r="I577" s="13"/>
    </row>
    <row r="578">
      <c r="A578" s="40" t="e">
        <v>#N/A</v>
      </c>
      <c r="B578" s="13"/>
      <c r="C578" s="13"/>
      <c r="D578" s="13"/>
      <c r="E578" s="13"/>
      <c r="F578" s="13"/>
      <c r="G578" s="13"/>
      <c r="H578" s="13"/>
      <c r="I578" s="13"/>
    </row>
    <row r="579">
      <c r="A579" s="40" t="e">
        <v>#N/A</v>
      </c>
      <c r="B579" s="13"/>
      <c r="C579" s="13"/>
      <c r="D579" s="13"/>
      <c r="E579" s="13"/>
      <c r="F579" s="13"/>
      <c r="G579" s="13"/>
      <c r="H579" s="13"/>
      <c r="I579" s="13"/>
    </row>
    <row r="580">
      <c r="A580" s="40" t="e">
        <v>#N/A</v>
      </c>
      <c r="B580" s="13"/>
      <c r="C580" s="13"/>
      <c r="D580" s="13"/>
      <c r="E580" s="13"/>
      <c r="F580" s="13"/>
      <c r="G580" s="13"/>
      <c r="H580" s="13"/>
      <c r="I580" s="13"/>
    </row>
    <row r="581">
      <c r="A581" s="40" t="e">
        <v>#N/A</v>
      </c>
      <c r="B581" s="13"/>
      <c r="C581" s="13"/>
      <c r="D581" s="13"/>
      <c r="E581" s="13"/>
      <c r="F581" s="13"/>
      <c r="G581" s="13"/>
      <c r="H581" s="13"/>
      <c r="I581" s="13"/>
    </row>
    <row r="582">
      <c r="A582" s="40" t="e">
        <v>#N/A</v>
      </c>
      <c r="B582" s="13"/>
      <c r="C582" s="13"/>
      <c r="D582" s="13"/>
      <c r="E582" s="13"/>
      <c r="F582" s="13"/>
      <c r="G582" s="13"/>
      <c r="H582" s="13"/>
      <c r="I582" s="13"/>
    </row>
    <row r="583">
      <c r="A583" s="40" t="e">
        <v>#N/A</v>
      </c>
      <c r="B583" s="13"/>
      <c r="C583" s="13"/>
      <c r="D583" s="13"/>
      <c r="E583" s="13"/>
      <c r="F583" s="13"/>
      <c r="G583" s="13"/>
      <c r="H583" s="13"/>
      <c r="I583" s="13"/>
    </row>
    <row r="584">
      <c r="A584" s="40" t="e">
        <v>#N/A</v>
      </c>
      <c r="B584" s="13"/>
      <c r="C584" s="13"/>
      <c r="D584" s="13"/>
      <c r="E584" s="13"/>
      <c r="F584" s="13"/>
      <c r="G584" s="13"/>
      <c r="H584" s="13"/>
      <c r="I584" s="13"/>
    </row>
    <row r="585">
      <c r="A585" s="40" t="e">
        <v>#N/A</v>
      </c>
      <c r="B585" s="13"/>
      <c r="C585" s="13"/>
      <c r="D585" s="13"/>
      <c r="E585" s="13"/>
      <c r="F585" s="13"/>
      <c r="G585" s="13"/>
      <c r="H585" s="13"/>
      <c r="I585" s="13"/>
    </row>
    <row r="586">
      <c r="A586" s="40" t="e">
        <v>#N/A</v>
      </c>
      <c r="B586" s="13"/>
      <c r="C586" s="13"/>
      <c r="D586" s="13"/>
      <c r="E586" s="13"/>
      <c r="F586" s="13"/>
      <c r="G586" s="13"/>
      <c r="H586" s="13"/>
      <c r="I586" s="13"/>
    </row>
    <row r="587">
      <c r="A587" s="40" t="e">
        <v>#N/A</v>
      </c>
      <c r="B587" s="13"/>
      <c r="C587" s="13"/>
      <c r="D587" s="13"/>
      <c r="E587" s="13"/>
      <c r="F587" s="13"/>
      <c r="G587" s="13"/>
      <c r="H587" s="13"/>
      <c r="I587" s="13"/>
    </row>
    <row r="588">
      <c r="A588" s="40" t="e">
        <v>#N/A</v>
      </c>
      <c r="B588" s="13"/>
      <c r="C588" s="13"/>
      <c r="D588" s="13"/>
      <c r="E588" s="13"/>
      <c r="F588" s="13"/>
      <c r="G588" s="13"/>
      <c r="H588" s="13"/>
      <c r="I588" s="13"/>
    </row>
    <row r="589">
      <c r="A589" s="40" t="e">
        <v>#N/A</v>
      </c>
      <c r="B589" s="13"/>
      <c r="C589" s="13"/>
      <c r="D589" s="13"/>
      <c r="E589" s="13"/>
      <c r="F589" s="13"/>
      <c r="G589" s="13"/>
      <c r="H589" s="13"/>
      <c r="I589" s="13"/>
    </row>
    <row r="590">
      <c r="A590" s="40" t="e">
        <v>#N/A</v>
      </c>
      <c r="B590" s="13"/>
      <c r="C590" s="13"/>
      <c r="D590" s="13"/>
      <c r="E590" s="13"/>
      <c r="F590" s="13"/>
      <c r="G590" s="13"/>
      <c r="H590" s="13"/>
      <c r="I590" s="13"/>
    </row>
    <row r="591">
      <c r="A591" s="40" t="e">
        <v>#N/A</v>
      </c>
      <c r="B591" s="13"/>
      <c r="C591" s="13"/>
      <c r="D591" s="13"/>
      <c r="E591" s="13"/>
      <c r="F591" s="13"/>
      <c r="G591" s="13"/>
      <c r="H591" s="13"/>
      <c r="I591" s="13"/>
    </row>
    <row r="592">
      <c r="A592" s="40" t="e">
        <v>#N/A</v>
      </c>
      <c r="B592" s="13"/>
      <c r="C592" s="13"/>
      <c r="D592" s="13"/>
      <c r="E592" s="13"/>
      <c r="F592" s="13"/>
      <c r="G592" s="13"/>
      <c r="H592" s="13"/>
      <c r="I592" s="13"/>
    </row>
    <row r="593">
      <c r="A593" s="40" t="e">
        <v>#N/A</v>
      </c>
      <c r="B593" s="13"/>
      <c r="C593" s="13"/>
      <c r="D593" s="13"/>
      <c r="E593" s="13"/>
      <c r="F593" s="13"/>
      <c r="G593" s="13"/>
      <c r="H593" s="13"/>
      <c r="I593" s="13"/>
    </row>
    <row r="594">
      <c r="A594" s="40" t="e">
        <v>#N/A</v>
      </c>
      <c r="B594" s="13"/>
      <c r="C594" s="13"/>
      <c r="D594" s="13"/>
      <c r="E594" s="13"/>
      <c r="F594" s="13"/>
      <c r="G594" s="13"/>
      <c r="H594" s="13"/>
      <c r="I594" s="13"/>
    </row>
    <row r="595">
      <c r="A595" s="40" t="e">
        <v>#N/A</v>
      </c>
      <c r="B595" s="13"/>
      <c r="C595" s="13"/>
      <c r="D595" s="13"/>
      <c r="E595" s="13"/>
      <c r="F595" s="13"/>
      <c r="G595" s="13"/>
      <c r="H595" s="13"/>
      <c r="I595" s="13"/>
    </row>
    <row r="596">
      <c r="A596" s="40" t="e">
        <v>#N/A</v>
      </c>
      <c r="B596" s="13"/>
      <c r="C596" s="13"/>
      <c r="D596" s="13"/>
      <c r="E596" s="13"/>
      <c r="F596" s="13"/>
      <c r="G596" s="13"/>
      <c r="H596" s="13"/>
      <c r="I596" s="13"/>
    </row>
    <row r="597">
      <c r="A597" s="40" t="e">
        <v>#N/A</v>
      </c>
      <c r="B597" s="13"/>
      <c r="C597" s="13"/>
      <c r="D597" s="13"/>
      <c r="E597" s="13"/>
      <c r="F597" s="13"/>
      <c r="G597" s="13"/>
      <c r="H597" s="13"/>
      <c r="I597" s="13"/>
    </row>
    <row r="598">
      <c r="A598" s="40" t="e">
        <v>#N/A</v>
      </c>
      <c r="B598" s="13"/>
      <c r="C598" s="13"/>
      <c r="D598" s="13"/>
      <c r="E598" s="13"/>
      <c r="F598" s="13"/>
      <c r="G598" s="13"/>
      <c r="H598" s="13"/>
      <c r="I598" s="13"/>
    </row>
    <row r="599">
      <c r="A599" s="40" t="e">
        <v>#N/A</v>
      </c>
      <c r="B599" s="13"/>
      <c r="C599" s="13"/>
      <c r="D599" s="13"/>
      <c r="E599" s="13"/>
      <c r="F599" s="13"/>
      <c r="G599" s="13"/>
      <c r="H599" s="13"/>
      <c r="I599" s="13"/>
    </row>
    <row r="600">
      <c r="A600" s="40" t="e">
        <v>#N/A</v>
      </c>
      <c r="B600" s="13"/>
      <c r="C600" s="13"/>
      <c r="D600" s="13"/>
      <c r="E600" s="13"/>
      <c r="F600" s="13"/>
      <c r="G600" s="13"/>
      <c r="H600" s="13"/>
      <c r="I600" s="13"/>
    </row>
    <row r="601">
      <c r="A601" s="40" t="e">
        <v>#N/A</v>
      </c>
      <c r="B601" s="13"/>
      <c r="C601" s="13"/>
      <c r="D601" s="13"/>
      <c r="E601" s="13"/>
      <c r="F601" s="13"/>
      <c r="G601" s="13"/>
      <c r="H601" s="13"/>
      <c r="I601" s="13"/>
    </row>
  </sheetData>
  <mergeCells count="1">
    <mergeCell ref="A1:I1"/>
  </mergeCells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5.0" topLeftCell="A6" activePane="bottomLeft" state="frozen"/>
      <selection activeCell="B7" sqref="B7" pane="bottomLeft"/>
    </sheetView>
  </sheetViews>
  <sheetFormatPr customHeight="1" defaultColWidth="14.43" defaultRowHeight="15.75"/>
  <cols>
    <col customWidth="1" min="1" max="1" width="5.43"/>
    <col customWidth="1" min="2" max="2" width="4.71"/>
    <col customWidth="1" min="3" max="3" width="5.71"/>
    <col customWidth="1" min="4" max="4" width="7.29"/>
    <col customWidth="1" min="5" max="5" width="7.86"/>
    <col customWidth="1" min="6" max="6" width="12.57"/>
    <col customWidth="1" min="7" max="7" width="8.0"/>
    <col customWidth="1" min="8" max="8" width="16.43"/>
    <col customWidth="1" min="9" max="20" width="6.0"/>
    <col customWidth="1" min="21" max="21" width="6.14"/>
    <col customWidth="1" min="22" max="22" width="9.29"/>
    <col customWidth="1" min="23" max="24" width="6.71"/>
    <col customWidth="1" hidden="1" min="25" max="25" width="4.14"/>
  </cols>
  <sheetData>
    <row r="1">
      <c r="A1" s="56" t="s">
        <v>554</v>
      </c>
      <c r="X1" s="56"/>
      <c r="Y1" s="56"/>
    </row>
    <row r="2">
      <c r="X2" s="56"/>
      <c r="Y2" s="56"/>
    </row>
    <row r="3">
      <c r="X3" s="56"/>
      <c r="Y3" s="56"/>
    </row>
    <row r="4" ht="3.0" customHeight="1">
      <c r="A4" s="4"/>
      <c r="X4" s="4"/>
      <c r="Y4" s="4"/>
    </row>
    <row r="5" ht="18.75" customHeight="1">
      <c r="A5" s="142"/>
      <c r="B5" s="142"/>
      <c r="C5" s="142"/>
      <c r="D5" s="142"/>
      <c r="E5" s="143"/>
      <c r="F5" s="144" t="s">
        <v>22</v>
      </c>
      <c r="G5" s="145" t="s">
        <v>23</v>
      </c>
      <c r="H5" s="144" t="s">
        <v>25</v>
      </c>
      <c r="I5" s="146" t="s">
        <v>115</v>
      </c>
      <c r="J5" s="147"/>
      <c r="K5" s="148"/>
      <c r="L5" s="145"/>
      <c r="M5" s="146" t="s">
        <v>116</v>
      </c>
      <c r="N5" s="147"/>
      <c r="O5" s="148"/>
      <c r="P5" s="145"/>
      <c r="Q5" s="146" t="s">
        <v>117</v>
      </c>
      <c r="R5" s="147"/>
      <c r="S5" s="148"/>
      <c r="T5" s="145"/>
      <c r="U5" s="145" t="s">
        <v>118</v>
      </c>
      <c r="V5" s="145" t="s">
        <v>119</v>
      </c>
      <c r="W5" s="149" t="s">
        <v>540</v>
      </c>
      <c r="X5" s="149" t="s">
        <v>541</v>
      </c>
      <c r="Y5" s="57"/>
    </row>
    <row r="6">
      <c r="A6" s="150">
        <v>97.0</v>
      </c>
      <c r="B6" s="151" t="s">
        <v>120</v>
      </c>
      <c r="C6" s="151">
        <v>12.0</v>
      </c>
      <c r="D6" s="145" t="str">
        <f>IFERROR(__xludf.DUMMYFUNCTION("ARRAY_CONSTRAIN(filter('All Platforms'!A3:T1802,'All Platforms'!A3:A1802=""97 WJV""),20,20)"),"97 WJV")</f>
        <v>97 WJV</v>
      </c>
      <c r="E6" s="152" t="str">
        <f>IFERROR(__xludf.DUMMYFUNCTION("""COMPUTED_VALUE"""),"WJV")</f>
        <v>WJV</v>
      </c>
      <c r="F6" s="153" t="str">
        <f>IFERROR(__xludf.DUMMYFUNCTION("""COMPUTED_VALUE"""),"Central Montcalm")</f>
        <v>Central Montcalm</v>
      </c>
      <c r="G6" s="152">
        <f>IFERROR(__xludf.DUMMYFUNCTION("""COMPUTED_VALUE"""),90.8)</f>
        <v>90.8</v>
      </c>
      <c r="H6" s="153" t="str">
        <f>IFERROR(__xludf.DUMMYFUNCTION("""COMPUTED_VALUE"""),"Kalnins, Carrie")</f>
        <v>Kalnins, Carrie</v>
      </c>
      <c r="I6" s="152" t="str">
        <f>IFERROR(__xludf.DUMMYFUNCTION("""COMPUTED_VALUE"""),"130g")</f>
        <v>130g</v>
      </c>
      <c r="J6" s="152" t="str">
        <f>IFERROR(__xludf.DUMMYFUNCTION("""COMPUTED_VALUE"""),"140g")</f>
        <v>140g</v>
      </c>
      <c r="K6" s="152" t="str">
        <f>IFERROR(__xludf.DUMMYFUNCTION("""COMPUTED_VALUE"""),"155g")</f>
        <v>155g</v>
      </c>
      <c r="L6" s="152">
        <f>IFERROR(__xludf.DUMMYFUNCTION("""COMPUTED_VALUE"""),155.0)</f>
        <v>155</v>
      </c>
      <c r="M6" s="152" t="str">
        <f>IFERROR(__xludf.DUMMYFUNCTION("""COMPUTED_VALUE"""),"75g")</f>
        <v>75g</v>
      </c>
      <c r="N6" s="152" t="str">
        <f>IFERROR(__xludf.DUMMYFUNCTION("""COMPUTED_VALUE"""),"80g")</f>
        <v>80g</v>
      </c>
      <c r="O6" s="152" t="str">
        <f>IFERROR(__xludf.DUMMYFUNCTION("""COMPUTED_VALUE"""),"85x")</f>
        <v>85x</v>
      </c>
      <c r="P6" s="152">
        <f>IFERROR(__xludf.DUMMYFUNCTION("""COMPUTED_VALUE"""),80.0)</f>
        <v>80</v>
      </c>
      <c r="Q6" s="152" t="str">
        <f>IFERROR(__xludf.DUMMYFUNCTION("""COMPUTED_VALUE"""),"165g")</f>
        <v>165g</v>
      </c>
      <c r="R6" s="152" t="str">
        <f>IFERROR(__xludf.DUMMYFUNCTION("""COMPUTED_VALUE"""),"180g")</f>
        <v>180g</v>
      </c>
      <c r="S6" s="152" t="str">
        <f>IFERROR(__xludf.DUMMYFUNCTION("""COMPUTED_VALUE"""),"195x")</f>
        <v>195x</v>
      </c>
      <c r="T6" s="152">
        <f>IFERROR(__xludf.DUMMYFUNCTION("""COMPUTED_VALUE"""),180.0)</f>
        <v>180</v>
      </c>
      <c r="U6" s="152">
        <f>IFERROR(__xludf.DUMMYFUNCTION("""COMPUTED_VALUE"""),415.0)</f>
        <v>415</v>
      </c>
      <c r="V6" s="181">
        <f>IFERROR(__xludf.DUMMYFUNCTION("""COMPUTED_VALUE"""),4.570484581497798)</f>
        <v>4.570484581</v>
      </c>
      <c r="W6" s="145">
        <f>IFERROR(__xludf.DUMMYFUNCTION("""COMPUTED_VALUE"""),7.0)</f>
        <v>7</v>
      </c>
      <c r="X6" s="145"/>
      <c r="Y6" s="57"/>
    </row>
    <row r="7">
      <c r="A7" s="154"/>
      <c r="B7" s="151" t="s">
        <v>121</v>
      </c>
      <c r="C7" s="151">
        <v>9.0</v>
      </c>
      <c r="D7" s="151" t="str">
        <f>IFERROR(__xludf.DUMMYFUNCTION("""COMPUTED_VALUE"""),"97 WJV")</f>
        <v>97 WJV</v>
      </c>
      <c r="E7" s="152" t="str">
        <f>IFERROR(__xludf.DUMMYFUNCTION("""COMPUTED_VALUE"""),"WJV")</f>
        <v>WJV</v>
      </c>
      <c r="F7" s="153" t="str">
        <f>IFERROR(__xludf.DUMMYFUNCTION("""COMPUTED_VALUE"""),"Martin")</f>
        <v>Martin</v>
      </c>
      <c r="G7" s="152">
        <f>IFERROR(__xludf.DUMMYFUNCTION("""COMPUTED_VALUE"""),94.4)</f>
        <v>94.4</v>
      </c>
      <c r="H7" s="153" t="str">
        <f>IFERROR(__xludf.DUMMYFUNCTION("""COMPUTED_VALUE"""),"Bozzo, Kyia")</f>
        <v>Bozzo, Kyia</v>
      </c>
      <c r="I7" s="152" t="str">
        <f>IFERROR(__xludf.DUMMYFUNCTION("""COMPUTED_VALUE"""),"115g")</f>
        <v>115g</v>
      </c>
      <c r="J7" s="152" t="str">
        <f>IFERROR(__xludf.DUMMYFUNCTION("""COMPUTED_VALUE"""),"135g")</f>
        <v>135g</v>
      </c>
      <c r="K7" s="152" t="str">
        <f>IFERROR(__xludf.DUMMYFUNCTION("""COMPUTED_VALUE"""),"150x")</f>
        <v>150x</v>
      </c>
      <c r="L7" s="152">
        <f>IFERROR(__xludf.DUMMYFUNCTION("""COMPUTED_VALUE"""),135.0)</f>
        <v>135</v>
      </c>
      <c r="M7" s="152" t="str">
        <f>IFERROR(__xludf.DUMMYFUNCTION("""COMPUTED_VALUE"""),"60g")</f>
        <v>60g</v>
      </c>
      <c r="N7" s="152" t="str">
        <f>IFERROR(__xludf.DUMMYFUNCTION("""COMPUTED_VALUE"""),"70g")</f>
        <v>70g</v>
      </c>
      <c r="O7" s="152" t="str">
        <f>IFERROR(__xludf.DUMMYFUNCTION("""COMPUTED_VALUE"""),"80g")</f>
        <v>80g</v>
      </c>
      <c r="P7" s="152">
        <f>IFERROR(__xludf.DUMMYFUNCTION("""COMPUTED_VALUE"""),80.0)</f>
        <v>80</v>
      </c>
      <c r="Q7" s="152" t="str">
        <f>IFERROR(__xludf.DUMMYFUNCTION("""COMPUTED_VALUE"""),"140g")</f>
        <v>140g</v>
      </c>
      <c r="R7" s="152" t="str">
        <f>IFERROR(__xludf.DUMMYFUNCTION("""COMPUTED_VALUE"""),"160g")</f>
        <v>160g</v>
      </c>
      <c r="S7" s="152" t="str">
        <f>IFERROR(__xludf.DUMMYFUNCTION("""COMPUTED_VALUE"""),"180g")</f>
        <v>180g</v>
      </c>
      <c r="T7" s="152">
        <f>IFERROR(__xludf.DUMMYFUNCTION("""COMPUTED_VALUE"""),180.0)</f>
        <v>180</v>
      </c>
      <c r="U7" s="152">
        <f>IFERROR(__xludf.DUMMYFUNCTION("""COMPUTED_VALUE"""),395.0)</f>
        <v>395</v>
      </c>
      <c r="V7" s="181">
        <f>IFERROR(__xludf.DUMMYFUNCTION("""COMPUTED_VALUE"""),4.1843220338983045)</f>
        <v>4.184322034</v>
      </c>
      <c r="W7" s="145">
        <f>IFERROR(__xludf.DUMMYFUNCTION("""COMPUTED_VALUE"""),8.0)</f>
        <v>8</v>
      </c>
      <c r="X7" s="145"/>
      <c r="Y7" s="57"/>
    </row>
    <row r="8">
      <c r="A8" s="154"/>
      <c r="B8" s="151" t="s">
        <v>122</v>
      </c>
      <c r="C8" s="151">
        <f>if(countif(F6:F7,F8)&gt;1,0,8)</f>
        <v>8</v>
      </c>
      <c r="D8" s="151" t="str">
        <f>IFERROR(__xludf.DUMMYFUNCTION("""COMPUTED_VALUE"""),"97 WJV")</f>
        <v>97 WJV</v>
      </c>
      <c r="E8" s="152" t="str">
        <f>IFERROR(__xludf.DUMMYFUNCTION("""COMPUTED_VALUE"""),"WJV")</f>
        <v>WJV</v>
      </c>
      <c r="F8" s="153" t="str">
        <f>IFERROR(__xludf.DUMMYFUNCTION("""COMPUTED_VALUE"""),"Cros-Lex")</f>
        <v>Cros-Lex</v>
      </c>
      <c r="G8" s="152">
        <f>IFERROR(__xludf.DUMMYFUNCTION("""COMPUTED_VALUE"""),83.6)</f>
        <v>83.6</v>
      </c>
      <c r="H8" s="153" t="str">
        <f>IFERROR(__xludf.DUMMYFUNCTION("""COMPUTED_VALUE"""),"Hendrick, taylor")</f>
        <v>Hendrick, taylor</v>
      </c>
      <c r="I8" s="152" t="str">
        <f>IFERROR(__xludf.DUMMYFUNCTION("""COMPUTED_VALUE"""),"100g")</f>
        <v>100g</v>
      </c>
      <c r="J8" s="152" t="str">
        <f>IFERROR(__xludf.DUMMYFUNCTION("""COMPUTED_VALUE"""),"110g")</f>
        <v>110g</v>
      </c>
      <c r="K8" s="152" t="str">
        <f>IFERROR(__xludf.DUMMYFUNCTION("""COMPUTED_VALUE"""),"115x")</f>
        <v>115x</v>
      </c>
      <c r="L8" s="152">
        <f>IFERROR(__xludf.DUMMYFUNCTION("""COMPUTED_VALUE"""),110.0)</f>
        <v>110</v>
      </c>
      <c r="M8" s="152" t="str">
        <f>IFERROR(__xludf.DUMMYFUNCTION("""COMPUTED_VALUE"""),"65g")</f>
        <v>65g</v>
      </c>
      <c r="N8" s="152" t="str">
        <f>IFERROR(__xludf.DUMMYFUNCTION("""COMPUTED_VALUE"""),"70g")</f>
        <v>70g</v>
      </c>
      <c r="O8" s="152" t="str">
        <f>IFERROR(__xludf.DUMMYFUNCTION("""COMPUTED_VALUE"""),"75g")</f>
        <v>75g</v>
      </c>
      <c r="P8" s="152">
        <f>IFERROR(__xludf.DUMMYFUNCTION("""COMPUTED_VALUE"""),75.0)</f>
        <v>75</v>
      </c>
      <c r="Q8" s="152" t="str">
        <f>IFERROR(__xludf.DUMMYFUNCTION("""COMPUTED_VALUE"""),"150g")</f>
        <v>150g</v>
      </c>
      <c r="R8" s="152" t="str">
        <f>IFERROR(__xludf.DUMMYFUNCTION("""COMPUTED_VALUE"""),"165g")</f>
        <v>165g</v>
      </c>
      <c r="S8" s="152" t="str">
        <f>IFERROR(__xludf.DUMMYFUNCTION("""COMPUTED_VALUE"""),"190g")</f>
        <v>190g</v>
      </c>
      <c r="T8" s="152">
        <f>IFERROR(__xludf.DUMMYFUNCTION("""COMPUTED_VALUE"""),190.0)</f>
        <v>190</v>
      </c>
      <c r="U8" s="152">
        <f>IFERROR(__xludf.DUMMYFUNCTION("""COMPUTED_VALUE"""),375.0)</f>
        <v>375</v>
      </c>
      <c r="V8" s="181">
        <f>IFERROR(__xludf.DUMMYFUNCTION("""COMPUTED_VALUE"""),4.4856459330143545)</f>
        <v>4.485645933</v>
      </c>
      <c r="W8" s="145">
        <f>IFERROR(__xludf.DUMMYFUNCTION("""COMPUTED_VALUE"""),8.0)</f>
        <v>8</v>
      </c>
      <c r="X8" s="145"/>
      <c r="Y8" s="57"/>
    </row>
    <row r="9">
      <c r="A9" s="154"/>
      <c r="B9" s="151" t="s">
        <v>123</v>
      </c>
      <c r="C9" s="151">
        <f>if(countif(F6:F8,F9)&gt;1,0,7)</f>
        <v>7</v>
      </c>
      <c r="D9" s="151" t="str">
        <f>IFERROR(__xludf.DUMMYFUNCTION("""COMPUTED_VALUE"""),"97 WJV")</f>
        <v>97 WJV</v>
      </c>
      <c r="E9" s="152" t="str">
        <f>IFERROR(__xludf.DUMMYFUNCTION("""COMPUTED_VALUE"""),"WJV")</f>
        <v>WJV</v>
      </c>
      <c r="F9" s="153" t="str">
        <f>IFERROR(__xludf.DUMMYFUNCTION("""COMPUTED_VALUE"""),"Kearsley")</f>
        <v>Kearsley</v>
      </c>
      <c r="G9" s="152">
        <f>IFERROR(__xludf.DUMMYFUNCTION("""COMPUTED_VALUE"""),95.0)</f>
        <v>95</v>
      </c>
      <c r="H9" s="153" t="str">
        <f>IFERROR(__xludf.DUMMYFUNCTION("""COMPUTED_VALUE"""),"Boggs, Ava")</f>
        <v>Boggs, Ava</v>
      </c>
      <c r="I9" s="152" t="str">
        <f>IFERROR(__xludf.DUMMYFUNCTION("""COMPUTED_VALUE"""),"110g")</f>
        <v>110g</v>
      </c>
      <c r="J9" s="152" t="str">
        <f>IFERROR(__xludf.DUMMYFUNCTION("""COMPUTED_VALUE"""),"115g")</f>
        <v>115g</v>
      </c>
      <c r="K9" s="152" t="str">
        <f>IFERROR(__xludf.DUMMYFUNCTION("""COMPUTED_VALUE"""),"125x")</f>
        <v>125x</v>
      </c>
      <c r="L9" s="152">
        <f>IFERROR(__xludf.DUMMYFUNCTION("""COMPUTED_VALUE"""),115.0)</f>
        <v>115</v>
      </c>
      <c r="M9" s="152" t="str">
        <f>IFERROR(__xludf.DUMMYFUNCTION("""COMPUTED_VALUE"""),"55g")</f>
        <v>55g</v>
      </c>
      <c r="N9" s="152">
        <f>IFERROR(__xludf.DUMMYFUNCTION("""COMPUTED_VALUE"""),65.0)</f>
        <v>65</v>
      </c>
      <c r="O9" s="152" t="str">
        <f>IFERROR(__xludf.DUMMYFUNCTION("""COMPUTED_VALUE"""),"75x")</f>
        <v>75x</v>
      </c>
      <c r="P9" s="152">
        <f>IFERROR(__xludf.DUMMYFUNCTION("""COMPUTED_VALUE"""),55.0)</f>
        <v>55</v>
      </c>
      <c r="Q9" s="152" t="str">
        <f>IFERROR(__xludf.DUMMYFUNCTION("""COMPUTED_VALUE"""),"145g")</f>
        <v>145g</v>
      </c>
      <c r="R9" s="152" t="str">
        <f>IFERROR(__xludf.DUMMYFUNCTION("""COMPUTED_VALUE"""),"160g")</f>
        <v>160g</v>
      </c>
      <c r="S9" s="152" t="str">
        <f>IFERROR(__xludf.DUMMYFUNCTION("""COMPUTED_VALUE"""),"190g")</f>
        <v>190g</v>
      </c>
      <c r="T9" s="152">
        <f>IFERROR(__xludf.DUMMYFUNCTION("""COMPUTED_VALUE"""),190.0)</f>
        <v>190</v>
      </c>
      <c r="U9" s="152">
        <f>IFERROR(__xludf.DUMMYFUNCTION("""COMPUTED_VALUE"""),360.0)</f>
        <v>360</v>
      </c>
      <c r="V9" s="181">
        <f>IFERROR(__xludf.DUMMYFUNCTION("""COMPUTED_VALUE"""),3.789473684210526)</f>
        <v>3.789473684</v>
      </c>
      <c r="W9" s="145">
        <f>IFERROR(__xludf.DUMMYFUNCTION("""COMPUTED_VALUE"""),6.0)</f>
        <v>6</v>
      </c>
      <c r="X9" s="145"/>
      <c r="Y9" s="57"/>
    </row>
    <row r="10">
      <c r="A10" s="154"/>
      <c r="B10" s="151" t="s">
        <v>124</v>
      </c>
      <c r="C10" s="151">
        <f>if(countif(F6:F9,F10)&gt;1,0,6)</f>
        <v>6</v>
      </c>
      <c r="D10" s="151" t="str">
        <f>IFERROR(__xludf.DUMMYFUNCTION("""COMPUTED_VALUE"""),"97 WJV")</f>
        <v>97 WJV</v>
      </c>
      <c r="E10" s="152" t="str">
        <f>IFERROR(__xludf.DUMMYFUNCTION("""COMPUTED_VALUE"""),"WJV")</f>
        <v>WJV</v>
      </c>
      <c r="F10" s="153" t="str">
        <f>IFERROR(__xludf.DUMMYFUNCTION("""COMPUTED_VALUE"""),"Central Montcalm")</f>
        <v>Central Montcalm</v>
      </c>
      <c r="G10" s="152">
        <f>IFERROR(__xludf.DUMMYFUNCTION("""COMPUTED_VALUE"""),95.3)</f>
        <v>95.3</v>
      </c>
      <c r="H10" s="153" t="str">
        <f>IFERROR(__xludf.DUMMYFUNCTION("""COMPUTED_VALUE"""),"Stauffer, Payton")</f>
        <v>Stauffer, Payton</v>
      </c>
      <c r="I10" s="152" t="str">
        <f>IFERROR(__xludf.DUMMYFUNCTION("""COMPUTED_VALUE"""),"95g")</f>
        <v>95g</v>
      </c>
      <c r="J10" s="152" t="str">
        <f>IFERROR(__xludf.DUMMYFUNCTION("""COMPUTED_VALUE"""),"105g")</f>
        <v>105g</v>
      </c>
      <c r="K10" s="152" t="str">
        <f>IFERROR(__xludf.DUMMYFUNCTION("""COMPUTED_VALUE"""),"110g")</f>
        <v>110g</v>
      </c>
      <c r="L10" s="152">
        <f>IFERROR(__xludf.DUMMYFUNCTION("""COMPUTED_VALUE"""),110.0)</f>
        <v>110</v>
      </c>
      <c r="M10" s="152" t="str">
        <f>IFERROR(__xludf.DUMMYFUNCTION("""COMPUTED_VALUE"""),"60g")</f>
        <v>60g</v>
      </c>
      <c r="N10" s="152" t="str">
        <f>IFERROR(__xludf.DUMMYFUNCTION("""COMPUTED_VALUE"""),"65g")</f>
        <v>65g</v>
      </c>
      <c r="O10" s="152" t="str">
        <f>IFERROR(__xludf.DUMMYFUNCTION("""COMPUTED_VALUE"""),"70x")</f>
        <v>70x</v>
      </c>
      <c r="P10" s="152">
        <f>IFERROR(__xludf.DUMMYFUNCTION("""COMPUTED_VALUE"""),65.0)</f>
        <v>65</v>
      </c>
      <c r="Q10" s="152" t="str">
        <f>IFERROR(__xludf.DUMMYFUNCTION("""COMPUTED_VALUE"""),"155g")</f>
        <v>155g</v>
      </c>
      <c r="R10" s="152" t="str">
        <f>IFERROR(__xludf.DUMMYFUNCTION("""COMPUTED_VALUE"""),"165g")</f>
        <v>165g</v>
      </c>
      <c r="S10" s="152" t="str">
        <f>IFERROR(__xludf.DUMMYFUNCTION("""COMPUTED_VALUE"""),"170g")</f>
        <v>170g</v>
      </c>
      <c r="T10" s="152">
        <f>IFERROR(__xludf.DUMMYFUNCTION("""COMPUTED_VALUE"""),170.0)</f>
        <v>170</v>
      </c>
      <c r="U10" s="152">
        <f>IFERROR(__xludf.DUMMYFUNCTION("""COMPUTED_VALUE"""),345.0)</f>
        <v>345</v>
      </c>
      <c r="V10" s="181">
        <f>IFERROR(__xludf.DUMMYFUNCTION("""COMPUTED_VALUE"""),3.620146904512067)</f>
        <v>3.620146905</v>
      </c>
      <c r="W10" s="145">
        <f>IFERROR(__xludf.DUMMYFUNCTION("""COMPUTED_VALUE"""),8.0)</f>
        <v>8</v>
      </c>
      <c r="X10" s="145"/>
      <c r="Y10" s="57"/>
    </row>
    <row r="11">
      <c r="A11" s="154"/>
      <c r="B11" s="151" t="s">
        <v>125</v>
      </c>
      <c r="C11" s="151">
        <f>if(countif(F6:F10,F11)&gt;1,0,5)</f>
        <v>5</v>
      </c>
      <c r="D11" s="151" t="str">
        <f>IFERROR(__xludf.DUMMYFUNCTION("""COMPUTED_VALUE"""),"97 WJV")</f>
        <v>97 WJV</v>
      </c>
      <c r="E11" s="152" t="str">
        <f>IFERROR(__xludf.DUMMYFUNCTION("""COMPUTED_VALUE"""),"WJV")</f>
        <v>WJV</v>
      </c>
      <c r="F11" s="153" t="str">
        <f>IFERROR(__xludf.DUMMYFUNCTION("""COMPUTED_VALUE"""),"Yale")</f>
        <v>Yale</v>
      </c>
      <c r="G11" s="152">
        <f>IFERROR(__xludf.DUMMYFUNCTION("""COMPUTED_VALUE"""),92.0)</f>
        <v>92</v>
      </c>
      <c r="H11" s="153" t="str">
        <f>IFERROR(__xludf.DUMMYFUNCTION("""COMPUTED_VALUE"""),"Ferguson, Juliana")</f>
        <v>Ferguson, Juliana</v>
      </c>
      <c r="I11" s="152" t="str">
        <f>IFERROR(__xludf.DUMMYFUNCTION("""COMPUTED_VALUE"""),"100g")</f>
        <v>100g</v>
      </c>
      <c r="J11" s="152" t="str">
        <f>IFERROR(__xludf.DUMMYFUNCTION("""COMPUTED_VALUE"""),"110g")</f>
        <v>110g</v>
      </c>
      <c r="K11" s="152" t="str">
        <f>IFERROR(__xludf.DUMMYFUNCTION("""COMPUTED_VALUE"""),"125x")</f>
        <v>125x</v>
      </c>
      <c r="L11" s="152">
        <f>IFERROR(__xludf.DUMMYFUNCTION("""COMPUTED_VALUE"""),110.0)</f>
        <v>110</v>
      </c>
      <c r="M11" s="152" t="str">
        <f>IFERROR(__xludf.DUMMYFUNCTION("""COMPUTED_VALUE"""),"50g")</f>
        <v>50g</v>
      </c>
      <c r="N11" s="152" t="str">
        <f>IFERROR(__xludf.DUMMYFUNCTION("""COMPUTED_VALUE"""),"60g")</f>
        <v>60g</v>
      </c>
      <c r="O11" s="152" t="str">
        <f>IFERROR(__xludf.DUMMYFUNCTION("""COMPUTED_VALUE"""),"70x")</f>
        <v>70x</v>
      </c>
      <c r="P11" s="152">
        <f>IFERROR(__xludf.DUMMYFUNCTION("""COMPUTED_VALUE"""),60.0)</f>
        <v>60</v>
      </c>
      <c r="Q11" s="152" t="str">
        <f>IFERROR(__xludf.DUMMYFUNCTION("""COMPUTED_VALUE"""),"125g")</f>
        <v>125g</v>
      </c>
      <c r="R11" s="152" t="str">
        <f>IFERROR(__xludf.DUMMYFUNCTION("""COMPUTED_VALUE"""),"145g")</f>
        <v>145g</v>
      </c>
      <c r="S11" s="152" t="str">
        <f>IFERROR(__xludf.DUMMYFUNCTION("""COMPUTED_VALUE"""),"170g")</f>
        <v>170g</v>
      </c>
      <c r="T11" s="152">
        <f>IFERROR(__xludf.DUMMYFUNCTION("""COMPUTED_VALUE"""),170.0)</f>
        <v>170</v>
      </c>
      <c r="U11" s="152">
        <f>IFERROR(__xludf.DUMMYFUNCTION("""COMPUTED_VALUE"""),340.0)</f>
        <v>340</v>
      </c>
      <c r="V11" s="181">
        <f>IFERROR(__xludf.DUMMYFUNCTION("""COMPUTED_VALUE"""),3.6956521739130435)</f>
        <v>3.695652174</v>
      </c>
      <c r="W11" s="145">
        <f>IFERROR(__xludf.DUMMYFUNCTION("""COMPUTED_VALUE"""),7.0)</f>
        <v>7</v>
      </c>
      <c r="X11" s="145"/>
      <c r="Y11" s="57"/>
    </row>
    <row r="12">
      <c r="A12" s="154"/>
      <c r="B12" s="151" t="s">
        <v>126</v>
      </c>
      <c r="C12" s="151">
        <f>if(countif(F6:F11,F12)&gt;1,0,4)</f>
        <v>4</v>
      </c>
      <c r="D12" s="151" t="str">
        <f>IFERROR(__xludf.DUMMYFUNCTION("""COMPUTED_VALUE"""),"97 WJV")</f>
        <v>97 WJV</v>
      </c>
      <c r="E12" s="152" t="str">
        <f>IFERROR(__xludf.DUMMYFUNCTION("""COMPUTED_VALUE"""),"WJV")</f>
        <v>WJV</v>
      </c>
      <c r="F12" s="153" t="str">
        <f>IFERROR(__xludf.DUMMYFUNCTION("""COMPUTED_VALUE"""),"Elk Rapids")</f>
        <v>Elk Rapids</v>
      </c>
      <c r="G12" s="152">
        <f>IFERROR(__xludf.DUMMYFUNCTION("""COMPUTED_VALUE"""),93.5)</f>
        <v>93.5</v>
      </c>
      <c r="H12" s="153" t="str">
        <f>IFERROR(__xludf.DUMMYFUNCTION("""COMPUTED_VALUE"""),"Pyle, Abigail")</f>
        <v>Pyle, Abigail</v>
      </c>
      <c r="I12" s="152" t="str">
        <f>IFERROR(__xludf.DUMMYFUNCTION("""COMPUTED_VALUE"""),"95g")</f>
        <v>95g</v>
      </c>
      <c r="J12" s="152" t="str">
        <f>IFERROR(__xludf.DUMMYFUNCTION("""COMPUTED_VALUE"""),"95g")</f>
        <v>95g</v>
      </c>
      <c r="K12" s="152" t="str">
        <f>IFERROR(__xludf.DUMMYFUNCTION("""COMPUTED_VALUE"""),"100g")</f>
        <v>100g</v>
      </c>
      <c r="L12" s="152">
        <f>IFERROR(__xludf.DUMMYFUNCTION("""COMPUTED_VALUE"""),100.0)</f>
        <v>100</v>
      </c>
      <c r="M12" s="152" t="str">
        <f>IFERROR(__xludf.DUMMYFUNCTION("""COMPUTED_VALUE"""),"50g")</f>
        <v>50g</v>
      </c>
      <c r="N12" s="152" t="str">
        <f>IFERROR(__xludf.DUMMYFUNCTION("""COMPUTED_VALUE"""),"55g")</f>
        <v>55g</v>
      </c>
      <c r="O12" s="152" t="str">
        <f>IFERROR(__xludf.DUMMYFUNCTION("""COMPUTED_VALUE"""),"65g")</f>
        <v>65g</v>
      </c>
      <c r="P12" s="152">
        <f>IFERROR(__xludf.DUMMYFUNCTION("""COMPUTED_VALUE"""),65.0)</f>
        <v>65</v>
      </c>
      <c r="Q12" s="152" t="str">
        <f>IFERROR(__xludf.DUMMYFUNCTION("""COMPUTED_VALUE"""),"145g")</f>
        <v>145g</v>
      </c>
      <c r="R12" s="152" t="str">
        <f>IFERROR(__xludf.DUMMYFUNCTION("""COMPUTED_VALUE"""),"155g")</f>
        <v>155g</v>
      </c>
      <c r="S12" s="152" t="str">
        <f>IFERROR(__xludf.DUMMYFUNCTION("""COMPUTED_VALUE"""),"160g")</f>
        <v>160g</v>
      </c>
      <c r="T12" s="152">
        <f>IFERROR(__xludf.DUMMYFUNCTION("""COMPUTED_VALUE"""),160.0)</f>
        <v>160</v>
      </c>
      <c r="U12" s="152">
        <f>IFERROR(__xludf.DUMMYFUNCTION("""COMPUTED_VALUE"""),325.0)</f>
        <v>325</v>
      </c>
      <c r="V12" s="181">
        <f>IFERROR(__xludf.DUMMYFUNCTION("""COMPUTED_VALUE"""),3.4759358288770055)</f>
        <v>3.475935829</v>
      </c>
      <c r="W12" s="145">
        <f>IFERROR(__xludf.DUMMYFUNCTION("""COMPUTED_VALUE"""),9.0)</f>
        <v>9</v>
      </c>
      <c r="X12" s="145"/>
      <c r="Y12" s="57"/>
    </row>
    <row r="13">
      <c r="A13" s="154"/>
      <c r="B13" s="151" t="s">
        <v>127</v>
      </c>
      <c r="C13" s="151">
        <f>if(countif(F6:F12,F13)&gt;1,0,3)</f>
        <v>3</v>
      </c>
      <c r="D13" s="151" t="str">
        <f>IFERROR(__xludf.DUMMYFUNCTION("""COMPUTED_VALUE"""),"97 WJV")</f>
        <v>97 WJV</v>
      </c>
      <c r="E13" s="152" t="str">
        <f>IFERROR(__xludf.DUMMYFUNCTION("""COMPUTED_VALUE"""),"WJV")</f>
        <v>WJV</v>
      </c>
      <c r="F13" s="153" t="str">
        <f>IFERROR(__xludf.DUMMYFUNCTION("""COMPUTED_VALUE"""),"Birch Run")</f>
        <v>Birch Run</v>
      </c>
      <c r="G13" s="152">
        <f>IFERROR(__xludf.DUMMYFUNCTION("""COMPUTED_VALUE"""),91.0)</f>
        <v>91</v>
      </c>
      <c r="H13" s="153" t="str">
        <f>IFERROR(__xludf.DUMMYFUNCTION("""COMPUTED_VALUE"""),"Ursuy, Sam")</f>
        <v>Ursuy, Sam</v>
      </c>
      <c r="I13" s="152" t="str">
        <f>IFERROR(__xludf.DUMMYFUNCTION("""COMPUTED_VALUE"""),"90g")</f>
        <v>90g</v>
      </c>
      <c r="J13" s="152" t="str">
        <f>IFERROR(__xludf.DUMMYFUNCTION("""COMPUTED_VALUE"""),"95g")</f>
        <v>95g</v>
      </c>
      <c r="K13" s="152" t="str">
        <f>IFERROR(__xludf.DUMMYFUNCTION("""COMPUTED_VALUE"""),"100x")</f>
        <v>100x</v>
      </c>
      <c r="L13" s="152">
        <f>IFERROR(__xludf.DUMMYFUNCTION("""COMPUTED_VALUE"""),95.0)</f>
        <v>95</v>
      </c>
      <c r="M13" s="152" t="str">
        <f>IFERROR(__xludf.DUMMYFUNCTION("""COMPUTED_VALUE"""),"60g")</f>
        <v>60g</v>
      </c>
      <c r="N13" s="152" t="str">
        <f>IFERROR(__xludf.DUMMYFUNCTION("""COMPUTED_VALUE"""),"65g")</f>
        <v>65g</v>
      </c>
      <c r="O13" s="152" t="str">
        <f>IFERROR(__xludf.DUMMYFUNCTION("""COMPUTED_VALUE"""),"75x")</f>
        <v>75x</v>
      </c>
      <c r="P13" s="152">
        <f>IFERROR(__xludf.DUMMYFUNCTION("""COMPUTED_VALUE"""),65.0)</f>
        <v>65</v>
      </c>
      <c r="Q13" s="152" t="str">
        <f>IFERROR(__xludf.DUMMYFUNCTION("""COMPUTED_VALUE"""),"125g")</f>
        <v>125g</v>
      </c>
      <c r="R13" s="152" t="str">
        <f>IFERROR(__xludf.DUMMYFUNCTION("""COMPUTED_VALUE"""),"135g")</f>
        <v>135g</v>
      </c>
      <c r="S13" s="152" t="str">
        <f>IFERROR(__xludf.DUMMYFUNCTION("""COMPUTED_VALUE"""),"145g")</f>
        <v>145g</v>
      </c>
      <c r="T13" s="152">
        <f>IFERROR(__xludf.DUMMYFUNCTION("""COMPUTED_VALUE"""),145.0)</f>
        <v>145</v>
      </c>
      <c r="U13" s="152">
        <f>IFERROR(__xludf.DUMMYFUNCTION("""COMPUTED_VALUE"""),305.0)</f>
        <v>305</v>
      </c>
      <c r="V13" s="181">
        <f>IFERROR(__xludf.DUMMYFUNCTION("""COMPUTED_VALUE"""),3.3516483516483517)</f>
        <v>3.351648352</v>
      </c>
      <c r="W13" s="145">
        <f>IFERROR(__xludf.DUMMYFUNCTION("""COMPUTED_VALUE"""),7.0)</f>
        <v>7</v>
      </c>
      <c r="X13" s="145"/>
      <c r="Y13" s="57"/>
    </row>
    <row r="14">
      <c r="A14" s="154"/>
      <c r="B14" s="151" t="s">
        <v>128</v>
      </c>
      <c r="C14" s="151">
        <f>if(countif(F6:F13,F14)&gt;1,0,2)</f>
        <v>2</v>
      </c>
      <c r="D14" s="151"/>
      <c r="E14" s="152"/>
      <c r="F14" s="153"/>
      <c r="G14" s="152"/>
      <c r="H14" s="153"/>
      <c r="I14" s="152"/>
      <c r="J14" s="152"/>
      <c r="K14" s="152"/>
      <c r="L14" s="152"/>
      <c r="M14" s="152"/>
      <c r="N14" s="152"/>
      <c r="O14" s="152"/>
      <c r="P14" s="152"/>
      <c r="Q14" s="152"/>
      <c r="R14" s="152"/>
      <c r="S14" s="152"/>
      <c r="T14" s="152"/>
      <c r="U14" s="152"/>
      <c r="V14" s="152"/>
      <c r="W14" s="145"/>
      <c r="X14" s="145"/>
      <c r="Y14" s="57"/>
    </row>
    <row r="15">
      <c r="A15" s="155"/>
      <c r="B15" s="151" t="s">
        <v>129</v>
      </c>
      <c r="C15" s="151">
        <f>if(countif(F6:F14,F15)&gt;1,0,1)</f>
        <v>1</v>
      </c>
      <c r="D15" s="151"/>
      <c r="E15" s="152"/>
      <c r="F15" s="153"/>
      <c r="G15" s="152"/>
      <c r="H15" s="153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  <c r="W15" s="145"/>
      <c r="X15" s="145"/>
      <c r="Y15" s="57"/>
    </row>
    <row r="16">
      <c r="A16" s="67">
        <v>97.0</v>
      </c>
      <c r="B16" s="68" t="s">
        <v>542</v>
      </c>
      <c r="C16" s="68">
        <v>0.0</v>
      </c>
      <c r="D16" s="68"/>
      <c r="E16" s="69"/>
      <c r="F16" s="70"/>
      <c r="G16" s="69"/>
      <c r="H16" s="70"/>
      <c r="I16" s="71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156"/>
      <c r="X16" s="156"/>
      <c r="Y16" s="156"/>
    </row>
    <row r="17">
      <c r="B17" s="68" t="s">
        <v>543</v>
      </c>
      <c r="C17" s="68">
        <v>0.0</v>
      </c>
      <c r="D17" s="68"/>
      <c r="E17" s="69"/>
      <c r="F17" s="70"/>
      <c r="G17" s="69"/>
      <c r="H17" s="70"/>
      <c r="I17" s="71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156"/>
      <c r="X17" s="156"/>
      <c r="Y17" s="156"/>
    </row>
    <row r="18">
      <c r="B18" s="68" t="s">
        <v>544</v>
      </c>
      <c r="C18" s="68">
        <v>0.0</v>
      </c>
      <c r="D18" s="68"/>
      <c r="E18" s="69"/>
      <c r="F18" s="70"/>
      <c r="G18" s="69"/>
      <c r="H18" s="70"/>
      <c r="I18" s="71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156"/>
      <c r="X18" s="156"/>
      <c r="Y18" s="156"/>
    </row>
    <row r="19">
      <c r="B19" s="68" t="s">
        <v>545</v>
      </c>
      <c r="C19" s="68">
        <v>0.0</v>
      </c>
      <c r="D19" s="68"/>
      <c r="E19" s="69"/>
      <c r="F19" s="70"/>
      <c r="G19" s="69"/>
      <c r="H19" s="70"/>
      <c r="I19" s="71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156"/>
      <c r="X19" s="156"/>
      <c r="Y19" s="156"/>
    </row>
    <row r="20">
      <c r="B20" s="68" t="s">
        <v>546</v>
      </c>
      <c r="C20" s="68">
        <v>0.0</v>
      </c>
      <c r="D20" s="68"/>
      <c r="E20" s="69"/>
      <c r="F20" s="70"/>
      <c r="G20" s="69"/>
      <c r="H20" s="70"/>
      <c r="I20" s="71"/>
      <c r="J20" s="69"/>
      <c r="K20" s="69"/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156"/>
      <c r="X20" s="156"/>
      <c r="Y20" s="156"/>
    </row>
    <row r="21">
      <c r="B21" s="68" t="s">
        <v>547</v>
      </c>
      <c r="C21" s="68">
        <v>0.0</v>
      </c>
      <c r="D21" s="68"/>
      <c r="E21" s="69"/>
      <c r="F21" s="70"/>
      <c r="G21" s="69"/>
      <c r="H21" s="70"/>
      <c r="I21" s="71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156"/>
      <c r="X21" s="156"/>
      <c r="Y21" s="156"/>
    </row>
    <row r="22">
      <c r="B22" s="68" t="s">
        <v>548</v>
      </c>
      <c r="C22" s="68">
        <v>0.0</v>
      </c>
      <c r="D22" s="68"/>
      <c r="E22" s="69"/>
      <c r="F22" s="70"/>
      <c r="G22" s="69"/>
      <c r="H22" s="70"/>
      <c r="I22" s="71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156"/>
      <c r="X22" s="156"/>
      <c r="Y22" s="156"/>
    </row>
    <row r="23">
      <c r="B23" s="68" t="s">
        <v>549</v>
      </c>
      <c r="C23" s="68">
        <v>0.0</v>
      </c>
      <c r="D23" s="68"/>
      <c r="E23" s="69"/>
      <c r="F23" s="70"/>
      <c r="G23" s="69"/>
      <c r="H23" s="70"/>
      <c r="I23" s="71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156"/>
      <c r="X23" s="156"/>
      <c r="Y23" s="156"/>
    </row>
    <row r="24">
      <c r="B24" s="68" t="s">
        <v>550</v>
      </c>
      <c r="C24" s="68">
        <v>0.0</v>
      </c>
      <c r="D24" s="68"/>
      <c r="E24" s="69"/>
      <c r="F24" s="70"/>
      <c r="G24" s="69"/>
      <c r="H24" s="70"/>
      <c r="I24" s="71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156"/>
      <c r="X24" s="156"/>
      <c r="Y24" s="156"/>
    </row>
    <row r="25">
      <c r="B25" s="68" t="s">
        <v>551</v>
      </c>
      <c r="C25" s="68">
        <v>0.0</v>
      </c>
      <c r="D25" s="68"/>
      <c r="E25" s="69"/>
      <c r="F25" s="70"/>
      <c r="G25" s="69"/>
      <c r="H25" s="70"/>
      <c r="I25" s="71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156"/>
      <c r="X25" s="156"/>
      <c r="Y25" s="156"/>
    </row>
    <row r="26">
      <c r="A26" s="58">
        <v>105.0</v>
      </c>
      <c r="B26" s="157" t="s">
        <v>120</v>
      </c>
      <c r="C26" s="157">
        <v>12.0</v>
      </c>
      <c r="D26" s="157" t="str">
        <f>IFERROR(__xludf.DUMMYFUNCTION("ARRAY_CONSTRAIN(filter('All Platforms'!A3:T1802,'All Platforms'!A3:A1802=""105 WJV""),20,20)"),"105 WJV")</f>
        <v>105 WJV</v>
      </c>
      <c r="E26" s="64" t="str">
        <f>IFERROR(__xludf.DUMMYFUNCTION("""COMPUTED_VALUE"""),"WJV")</f>
        <v>WJV</v>
      </c>
      <c r="F26" s="158" t="str">
        <f>IFERROR(__xludf.DUMMYFUNCTION("""COMPUTED_VALUE"""),"Whitehall")</f>
        <v>Whitehall</v>
      </c>
      <c r="G26" s="64">
        <f>IFERROR(__xludf.DUMMYFUNCTION("""COMPUTED_VALUE"""),104.3)</f>
        <v>104.3</v>
      </c>
      <c r="H26" s="158" t="str">
        <f>IFERROR(__xludf.DUMMYFUNCTION("""COMPUTED_VALUE"""),"Cordray, Ashely")</f>
        <v>Cordray, Ashely</v>
      </c>
      <c r="I26" s="159" t="str">
        <f>IFERROR(__xludf.DUMMYFUNCTION("""COMPUTED_VALUE"""),"175g")</f>
        <v>175g</v>
      </c>
      <c r="J26" s="64" t="str">
        <f>IFERROR(__xludf.DUMMYFUNCTION("""COMPUTED_VALUE"""),"185g")</f>
        <v>185g</v>
      </c>
      <c r="K26" s="64" t="str">
        <f>IFERROR(__xludf.DUMMYFUNCTION("""COMPUTED_VALUE"""),"190x")</f>
        <v>190x</v>
      </c>
      <c r="L26" s="64">
        <f>IFERROR(__xludf.DUMMYFUNCTION("""COMPUTED_VALUE"""),185.0)</f>
        <v>185</v>
      </c>
      <c r="M26" s="64" t="str">
        <f>IFERROR(__xludf.DUMMYFUNCTION("""COMPUTED_VALUE"""),"105g")</f>
        <v>105g</v>
      </c>
      <c r="N26" s="64" t="str">
        <f>IFERROR(__xludf.DUMMYFUNCTION("""COMPUTED_VALUE"""),"110g")</f>
        <v>110g</v>
      </c>
      <c r="O26" s="64" t="str">
        <f>IFERROR(__xludf.DUMMYFUNCTION("""COMPUTED_VALUE"""),"120x")</f>
        <v>120x</v>
      </c>
      <c r="P26" s="64">
        <f>IFERROR(__xludf.DUMMYFUNCTION("""COMPUTED_VALUE"""),110.0)</f>
        <v>110</v>
      </c>
      <c r="Q26" s="64" t="str">
        <f>IFERROR(__xludf.DUMMYFUNCTION("""COMPUTED_VALUE"""),"225g")</f>
        <v>225g</v>
      </c>
      <c r="R26" s="64" t="str">
        <f>IFERROR(__xludf.DUMMYFUNCTION("""COMPUTED_VALUE"""),"240x")</f>
        <v>240x</v>
      </c>
      <c r="S26" s="64" t="str">
        <f>IFERROR(__xludf.DUMMYFUNCTION("""COMPUTED_VALUE"""),"240g")</f>
        <v>240g</v>
      </c>
      <c r="T26" s="64">
        <f>IFERROR(__xludf.DUMMYFUNCTION("""COMPUTED_VALUE"""),240.0)</f>
        <v>240</v>
      </c>
      <c r="U26" s="64">
        <f>IFERROR(__xludf.DUMMYFUNCTION("""COMPUTED_VALUE"""),535.0)</f>
        <v>535</v>
      </c>
      <c r="V26" s="182">
        <f>IFERROR(__xludf.DUMMYFUNCTION("""COMPUTED_VALUE"""),5.129434324065197)</f>
        <v>5.129434324</v>
      </c>
      <c r="W26" s="57">
        <f>IFERROR(__xludf.DUMMYFUNCTION("""COMPUTED_VALUE"""),6.0)</f>
        <v>6</v>
      </c>
      <c r="X26" s="57"/>
      <c r="Y26" s="57"/>
    </row>
    <row r="27">
      <c r="B27" s="157" t="s">
        <v>121</v>
      </c>
      <c r="C27" s="157">
        <v>9.0</v>
      </c>
      <c r="D27" s="157" t="str">
        <f>IFERROR(__xludf.DUMMYFUNCTION("""COMPUTED_VALUE"""),"105 WJV")</f>
        <v>105 WJV</v>
      </c>
      <c r="E27" s="64" t="str">
        <f>IFERROR(__xludf.DUMMYFUNCTION("""COMPUTED_VALUE"""),"WJV")</f>
        <v>WJV</v>
      </c>
      <c r="F27" s="158" t="str">
        <f>IFERROR(__xludf.DUMMYFUNCTION("""COMPUTED_VALUE"""),"Kearsley")</f>
        <v>Kearsley</v>
      </c>
      <c r="G27" s="64">
        <f>IFERROR(__xludf.DUMMYFUNCTION("""COMPUTED_VALUE"""),102.0)</f>
        <v>102</v>
      </c>
      <c r="H27" s="158" t="str">
        <f>IFERROR(__xludf.DUMMYFUNCTION("""COMPUTED_VALUE"""),"Hardy, Miranda")</f>
        <v>Hardy, Miranda</v>
      </c>
      <c r="I27" s="159" t="str">
        <f>IFERROR(__xludf.DUMMYFUNCTION("""COMPUTED_VALUE"""),"160g")</f>
        <v>160g</v>
      </c>
      <c r="J27" s="64" t="str">
        <f>IFERROR(__xludf.DUMMYFUNCTION("""COMPUTED_VALUE"""),"175g")</f>
        <v>175g</v>
      </c>
      <c r="K27" s="64" t="str">
        <f>IFERROR(__xludf.DUMMYFUNCTION("""COMPUTED_VALUE"""),"185x")</f>
        <v>185x</v>
      </c>
      <c r="L27" s="64">
        <f>IFERROR(__xludf.DUMMYFUNCTION("""COMPUTED_VALUE"""),175.0)</f>
        <v>175</v>
      </c>
      <c r="M27" s="64" t="str">
        <f>IFERROR(__xludf.DUMMYFUNCTION("""COMPUTED_VALUE"""),"90g")</f>
        <v>90g</v>
      </c>
      <c r="N27" s="64" t="str">
        <f>IFERROR(__xludf.DUMMYFUNCTION("""COMPUTED_VALUE"""),"100g")</f>
        <v>100g</v>
      </c>
      <c r="O27" s="64" t="str">
        <f>IFERROR(__xludf.DUMMYFUNCTION("""COMPUTED_VALUE"""),"110x")</f>
        <v>110x</v>
      </c>
      <c r="P27" s="64">
        <f>IFERROR(__xludf.DUMMYFUNCTION("""COMPUTED_VALUE"""),100.0)</f>
        <v>100</v>
      </c>
      <c r="Q27" s="64" t="str">
        <f>IFERROR(__xludf.DUMMYFUNCTION("""COMPUTED_VALUE"""),"210g")</f>
        <v>210g</v>
      </c>
      <c r="R27" s="64" t="str">
        <f>IFERROR(__xludf.DUMMYFUNCTION("""COMPUTED_VALUE"""),"225g")</f>
        <v>225g</v>
      </c>
      <c r="S27" s="64" t="str">
        <f>IFERROR(__xludf.DUMMYFUNCTION("""COMPUTED_VALUE"""),"235g")</f>
        <v>235g</v>
      </c>
      <c r="T27" s="64">
        <f>IFERROR(__xludf.DUMMYFUNCTION("""COMPUTED_VALUE"""),235.0)</f>
        <v>235</v>
      </c>
      <c r="U27" s="64">
        <f>IFERROR(__xludf.DUMMYFUNCTION("""COMPUTED_VALUE"""),510.0)</f>
        <v>510</v>
      </c>
      <c r="V27" s="182">
        <f>IFERROR(__xludf.DUMMYFUNCTION("""COMPUTED_VALUE"""),5.0)</f>
        <v>5</v>
      </c>
      <c r="W27" s="57">
        <f>IFERROR(__xludf.DUMMYFUNCTION("""COMPUTED_VALUE"""),7.0)</f>
        <v>7</v>
      </c>
      <c r="X27" s="57"/>
      <c r="Y27" s="57"/>
    </row>
    <row r="28">
      <c r="B28" s="157" t="s">
        <v>122</v>
      </c>
      <c r="C28" s="157">
        <f>if(countif(F26:F27,F28)&gt;1,0,8)</f>
        <v>8</v>
      </c>
      <c r="D28" s="157" t="str">
        <f>IFERROR(__xludf.DUMMYFUNCTION("""COMPUTED_VALUE"""),"105 WJV")</f>
        <v>105 WJV</v>
      </c>
      <c r="E28" s="64" t="str">
        <f>IFERROR(__xludf.DUMMYFUNCTION("""COMPUTED_VALUE"""),"WJV")</f>
        <v>WJV</v>
      </c>
      <c r="F28" s="158" t="str">
        <f>IFERROR(__xludf.DUMMYFUNCTION("""COMPUTED_VALUE"""),"Central Montcalm")</f>
        <v>Central Montcalm</v>
      </c>
      <c r="G28" s="64">
        <f>IFERROR(__xludf.DUMMYFUNCTION("""COMPUTED_VALUE"""),103.7)</f>
        <v>103.7</v>
      </c>
      <c r="H28" s="158" t="str">
        <f>IFERROR(__xludf.DUMMYFUNCTION("""COMPUTED_VALUE"""),"Bacon, Zoey")</f>
        <v>Bacon, Zoey</v>
      </c>
      <c r="I28" s="159" t="str">
        <f>IFERROR(__xludf.DUMMYFUNCTION("""COMPUTED_VALUE"""),"140g")</f>
        <v>140g</v>
      </c>
      <c r="J28" s="64" t="str">
        <f>IFERROR(__xludf.DUMMYFUNCTION("""COMPUTED_VALUE"""),"150g")</f>
        <v>150g</v>
      </c>
      <c r="K28" s="64" t="str">
        <f>IFERROR(__xludf.DUMMYFUNCTION("""COMPUTED_VALUE"""),"160g")</f>
        <v>160g</v>
      </c>
      <c r="L28" s="64">
        <f>IFERROR(__xludf.DUMMYFUNCTION("""COMPUTED_VALUE"""),160.0)</f>
        <v>160</v>
      </c>
      <c r="M28" s="64" t="str">
        <f>IFERROR(__xludf.DUMMYFUNCTION("""COMPUTED_VALUE"""),"75g")</f>
        <v>75g</v>
      </c>
      <c r="N28" s="64" t="str">
        <f>IFERROR(__xludf.DUMMYFUNCTION("""COMPUTED_VALUE"""),"85g")</f>
        <v>85g</v>
      </c>
      <c r="O28" s="64" t="str">
        <f>IFERROR(__xludf.DUMMYFUNCTION("""COMPUTED_VALUE"""),"90x")</f>
        <v>90x</v>
      </c>
      <c r="P28" s="64">
        <f>IFERROR(__xludf.DUMMYFUNCTION("""COMPUTED_VALUE"""),85.0)</f>
        <v>85</v>
      </c>
      <c r="Q28" s="64" t="str">
        <f>IFERROR(__xludf.DUMMYFUNCTION("""COMPUTED_VALUE"""),"195g")</f>
        <v>195g</v>
      </c>
      <c r="R28" s="64" t="str">
        <f>IFERROR(__xludf.DUMMYFUNCTION("""COMPUTED_VALUE"""),"225g")</f>
        <v>225g</v>
      </c>
      <c r="S28" s="64" t="str">
        <f>IFERROR(__xludf.DUMMYFUNCTION("""COMPUTED_VALUE"""),"250g")</f>
        <v>250g</v>
      </c>
      <c r="T28" s="64">
        <f>IFERROR(__xludf.DUMMYFUNCTION("""COMPUTED_VALUE"""),250.0)</f>
        <v>250</v>
      </c>
      <c r="U28" s="64">
        <f>IFERROR(__xludf.DUMMYFUNCTION("""COMPUTED_VALUE"""),495.0)</f>
        <v>495</v>
      </c>
      <c r="V28" s="182">
        <f>IFERROR(__xludf.DUMMYFUNCTION("""COMPUTED_VALUE"""),4.7733847637415625)</f>
        <v>4.773384764</v>
      </c>
      <c r="W28" s="57">
        <f>IFERROR(__xludf.DUMMYFUNCTION("""COMPUTED_VALUE"""),8.0)</f>
        <v>8</v>
      </c>
      <c r="X28" s="57"/>
      <c r="Y28" s="57"/>
    </row>
    <row r="29">
      <c r="B29" s="157" t="s">
        <v>123</v>
      </c>
      <c r="C29" s="157">
        <f>if(countif(F26:F28,F29)&gt;1,0,7)</f>
        <v>7</v>
      </c>
      <c r="D29" s="157" t="str">
        <f>IFERROR(__xludf.DUMMYFUNCTION("""COMPUTED_VALUE"""),"105 WJV")</f>
        <v>105 WJV</v>
      </c>
      <c r="E29" s="64" t="str">
        <f>IFERROR(__xludf.DUMMYFUNCTION("""COMPUTED_VALUE"""),"WJV")</f>
        <v>WJV</v>
      </c>
      <c r="F29" s="158" t="str">
        <f>IFERROR(__xludf.DUMMYFUNCTION("""COMPUTED_VALUE"""),"Edwardsburg")</f>
        <v>Edwardsburg</v>
      </c>
      <c r="G29" s="64">
        <f>IFERROR(__xludf.DUMMYFUNCTION("""COMPUTED_VALUE"""),102.9)</f>
        <v>102.9</v>
      </c>
      <c r="H29" s="158" t="str">
        <f>IFERROR(__xludf.DUMMYFUNCTION("""COMPUTED_VALUE"""),"Hartley, Madison")</f>
        <v>Hartley, Madison</v>
      </c>
      <c r="I29" s="159" t="str">
        <f>IFERROR(__xludf.DUMMYFUNCTION("""COMPUTED_VALUE"""),"125g")</f>
        <v>125g</v>
      </c>
      <c r="J29" s="64" t="str">
        <f>IFERROR(__xludf.DUMMYFUNCTION("""COMPUTED_VALUE"""),"135x")</f>
        <v>135x</v>
      </c>
      <c r="K29" s="64" t="str">
        <f>IFERROR(__xludf.DUMMYFUNCTION("""COMPUTED_VALUE"""),"140g")</f>
        <v>140g</v>
      </c>
      <c r="L29" s="64">
        <f>IFERROR(__xludf.DUMMYFUNCTION("""COMPUTED_VALUE"""),140.0)</f>
        <v>140</v>
      </c>
      <c r="M29" s="64" t="str">
        <f>IFERROR(__xludf.DUMMYFUNCTION("""COMPUTED_VALUE"""),"75g")</f>
        <v>75g</v>
      </c>
      <c r="N29" s="64" t="str">
        <f>IFERROR(__xludf.DUMMYFUNCTION("""COMPUTED_VALUE"""),"85g")</f>
        <v>85g</v>
      </c>
      <c r="O29" s="64" t="str">
        <f>IFERROR(__xludf.DUMMYFUNCTION("""COMPUTED_VALUE"""),"90x")</f>
        <v>90x</v>
      </c>
      <c r="P29" s="64">
        <f>IFERROR(__xludf.DUMMYFUNCTION("""COMPUTED_VALUE"""),85.0)</f>
        <v>85</v>
      </c>
      <c r="Q29" s="64" t="str">
        <f>IFERROR(__xludf.DUMMYFUNCTION("""COMPUTED_VALUE"""),"190g")</f>
        <v>190g</v>
      </c>
      <c r="R29" s="64" t="str">
        <f>IFERROR(__xludf.DUMMYFUNCTION("""COMPUTED_VALUE"""),"200g")</f>
        <v>200g</v>
      </c>
      <c r="S29" s="64" t="str">
        <f>IFERROR(__xludf.DUMMYFUNCTION("""COMPUTED_VALUE"""),"220g")</f>
        <v>220g</v>
      </c>
      <c r="T29" s="64">
        <f>IFERROR(__xludf.DUMMYFUNCTION("""COMPUTED_VALUE"""),220.0)</f>
        <v>220</v>
      </c>
      <c r="U29" s="64">
        <f>IFERROR(__xludf.DUMMYFUNCTION("""COMPUTED_VALUE"""),445.0)</f>
        <v>445</v>
      </c>
      <c r="V29" s="182">
        <f>IFERROR(__xludf.DUMMYFUNCTION("""COMPUTED_VALUE"""),4.3245869776482015)</f>
        <v>4.324586978</v>
      </c>
      <c r="W29" s="57">
        <f>IFERROR(__xludf.DUMMYFUNCTION("""COMPUTED_VALUE"""),7.0)</f>
        <v>7</v>
      </c>
      <c r="X29" s="57"/>
      <c r="Y29" s="57"/>
    </row>
    <row r="30">
      <c r="B30" s="157" t="s">
        <v>124</v>
      </c>
      <c r="C30" s="157">
        <f>if(countif(F26:F29,F30)&gt;1,0,6)</f>
        <v>6</v>
      </c>
      <c r="D30" s="157" t="str">
        <f>IFERROR(__xludf.DUMMYFUNCTION("""COMPUTED_VALUE"""),"105 WJV")</f>
        <v>105 WJV</v>
      </c>
      <c r="E30" s="64" t="str">
        <f>IFERROR(__xludf.DUMMYFUNCTION("""COMPUTED_VALUE"""),"WJV")</f>
        <v>WJV</v>
      </c>
      <c r="F30" s="158" t="str">
        <f>IFERROR(__xludf.DUMMYFUNCTION("""COMPUTED_VALUE"""),"Lake Orion")</f>
        <v>Lake Orion</v>
      </c>
      <c r="G30" s="64">
        <f>IFERROR(__xludf.DUMMYFUNCTION("""COMPUTED_VALUE"""),101.2)</f>
        <v>101.2</v>
      </c>
      <c r="H30" s="158" t="str">
        <f>IFERROR(__xludf.DUMMYFUNCTION("""COMPUTED_VALUE"""),"Carlson, Becca")</f>
        <v>Carlson, Becca</v>
      </c>
      <c r="I30" s="159" t="str">
        <f>IFERROR(__xludf.DUMMYFUNCTION("""COMPUTED_VALUE"""),"125g")</f>
        <v>125g</v>
      </c>
      <c r="J30" s="64" t="str">
        <f>IFERROR(__xludf.DUMMYFUNCTION("""COMPUTED_VALUE"""),"135g")</f>
        <v>135g</v>
      </c>
      <c r="K30" s="64" t="str">
        <f>IFERROR(__xludf.DUMMYFUNCTION("""COMPUTED_VALUE"""),"155x")</f>
        <v>155x</v>
      </c>
      <c r="L30" s="64">
        <f>IFERROR(__xludf.DUMMYFUNCTION("""COMPUTED_VALUE"""),135.0)</f>
        <v>135</v>
      </c>
      <c r="M30" s="64" t="str">
        <f>IFERROR(__xludf.DUMMYFUNCTION("""COMPUTED_VALUE"""),"65g")</f>
        <v>65g</v>
      </c>
      <c r="N30" s="64" t="str">
        <f>IFERROR(__xludf.DUMMYFUNCTION("""COMPUTED_VALUE"""),"75g")</f>
        <v>75g</v>
      </c>
      <c r="O30" s="64" t="str">
        <f>IFERROR(__xludf.DUMMYFUNCTION("""COMPUTED_VALUE"""),"80x")</f>
        <v>80x</v>
      </c>
      <c r="P30" s="64">
        <f>IFERROR(__xludf.DUMMYFUNCTION("""COMPUTED_VALUE"""),75.0)</f>
        <v>75</v>
      </c>
      <c r="Q30" s="64" t="str">
        <f>IFERROR(__xludf.DUMMYFUNCTION("""COMPUTED_VALUE"""),"200g")</f>
        <v>200g</v>
      </c>
      <c r="R30" s="64" t="str">
        <f>IFERROR(__xludf.DUMMYFUNCTION("""COMPUTED_VALUE"""),"215g")</f>
        <v>215g</v>
      </c>
      <c r="S30" s="64" t="str">
        <f>IFERROR(__xludf.DUMMYFUNCTION("""COMPUTED_VALUE"""),"225x")</f>
        <v>225x</v>
      </c>
      <c r="T30" s="64">
        <f>IFERROR(__xludf.DUMMYFUNCTION("""COMPUTED_VALUE"""),215.0)</f>
        <v>215</v>
      </c>
      <c r="U30" s="64">
        <f>IFERROR(__xludf.DUMMYFUNCTION("""COMPUTED_VALUE"""),425.0)</f>
        <v>425</v>
      </c>
      <c r="V30" s="182">
        <f>IFERROR(__xludf.DUMMYFUNCTION("""COMPUTED_VALUE"""),4.199604743083004)</f>
        <v>4.199604743</v>
      </c>
      <c r="W30" s="57">
        <f>IFERROR(__xludf.DUMMYFUNCTION("""COMPUTED_VALUE"""),6.0)</f>
        <v>6</v>
      </c>
      <c r="X30" s="57"/>
      <c r="Y30" s="57"/>
    </row>
    <row r="31">
      <c r="B31" s="157" t="s">
        <v>125</v>
      </c>
      <c r="C31" s="157">
        <f>if(countif(F26:F30,F31)&gt;1,0,5)</f>
        <v>5</v>
      </c>
      <c r="D31" s="157" t="str">
        <f>IFERROR(__xludf.DUMMYFUNCTION("""COMPUTED_VALUE"""),"105 WJV")</f>
        <v>105 WJV</v>
      </c>
      <c r="E31" s="64" t="str">
        <f>IFERROR(__xludf.DUMMYFUNCTION("""COMPUTED_VALUE"""),"WJV")</f>
        <v>WJV</v>
      </c>
      <c r="F31" s="158" t="str">
        <f>IFERROR(__xludf.DUMMYFUNCTION("""COMPUTED_VALUE"""),"Central Montcalm")</f>
        <v>Central Montcalm</v>
      </c>
      <c r="G31" s="64">
        <f>IFERROR(__xludf.DUMMYFUNCTION("""COMPUTED_VALUE"""),102.0)</f>
        <v>102</v>
      </c>
      <c r="H31" s="158" t="str">
        <f>IFERROR(__xludf.DUMMYFUNCTION("""COMPUTED_VALUE"""),"Haddix, Adrianna")</f>
        <v>Haddix, Adrianna</v>
      </c>
      <c r="I31" s="159" t="str">
        <f>IFERROR(__xludf.DUMMYFUNCTION("""COMPUTED_VALUE"""),"115g")</f>
        <v>115g</v>
      </c>
      <c r="J31" s="64" t="str">
        <f>IFERROR(__xludf.DUMMYFUNCTION("""COMPUTED_VALUE"""),"125g")</f>
        <v>125g</v>
      </c>
      <c r="K31" s="64" t="str">
        <f>IFERROR(__xludf.DUMMYFUNCTION("""COMPUTED_VALUE"""),"140x")</f>
        <v>140x</v>
      </c>
      <c r="L31" s="64">
        <f>IFERROR(__xludf.DUMMYFUNCTION("""COMPUTED_VALUE"""),125.0)</f>
        <v>125</v>
      </c>
      <c r="M31" s="64" t="str">
        <f>IFERROR(__xludf.DUMMYFUNCTION("""COMPUTED_VALUE"""),"70g")</f>
        <v>70g</v>
      </c>
      <c r="N31" s="64" t="str">
        <f>IFERROR(__xludf.DUMMYFUNCTION("""COMPUTED_VALUE"""),"85g")</f>
        <v>85g</v>
      </c>
      <c r="O31" s="64" t="str">
        <f>IFERROR(__xludf.DUMMYFUNCTION("""COMPUTED_VALUE"""),"90x")</f>
        <v>90x</v>
      </c>
      <c r="P31" s="64">
        <f>IFERROR(__xludf.DUMMYFUNCTION("""COMPUTED_VALUE"""),85.0)</f>
        <v>85</v>
      </c>
      <c r="Q31" s="64" t="str">
        <f>IFERROR(__xludf.DUMMYFUNCTION("""COMPUTED_VALUE"""),"175g")</f>
        <v>175g</v>
      </c>
      <c r="R31" s="64" t="str">
        <f>IFERROR(__xludf.DUMMYFUNCTION("""COMPUTED_VALUE"""),"185g")</f>
        <v>185g</v>
      </c>
      <c r="S31" s="64" t="str">
        <f>IFERROR(__xludf.DUMMYFUNCTION("""COMPUTED_VALUE"""),"210g")</f>
        <v>210g</v>
      </c>
      <c r="T31" s="64">
        <f>IFERROR(__xludf.DUMMYFUNCTION("""COMPUTED_VALUE"""),210.0)</f>
        <v>210</v>
      </c>
      <c r="U31" s="64">
        <f>IFERROR(__xludf.DUMMYFUNCTION("""COMPUTED_VALUE"""),420.0)</f>
        <v>420</v>
      </c>
      <c r="V31" s="182">
        <f>IFERROR(__xludf.DUMMYFUNCTION("""COMPUTED_VALUE"""),4.117647058823529)</f>
        <v>4.117647059</v>
      </c>
      <c r="W31" s="57">
        <f>IFERROR(__xludf.DUMMYFUNCTION("""COMPUTED_VALUE"""),7.0)</f>
        <v>7</v>
      </c>
      <c r="X31" s="57"/>
      <c r="Y31" s="57"/>
    </row>
    <row r="32">
      <c r="B32" s="157" t="s">
        <v>126</v>
      </c>
      <c r="C32" s="157">
        <f>if(countif(F26:F31,F32)&gt;1,0,4)</f>
        <v>0</v>
      </c>
      <c r="D32" s="157" t="str">
        <f>IFERROR(__xludf.DUMMYFUNCTION("""COMPUTED_VALUE"""),"105 WJV")</f>
        <v>105 WJV</v>
      </c>
      <c r="E32" s="64" t="str">
        <f>IFERROR(__xludf.DUMMYFUNCTION("""COMPUTED_VALUE"""),"WJV")</f>
        <v>WJV</v>
      </c>
      <c r="F32" s="158" t="str">
        <f>IFERROR(__xludf.DUMMYFUNCTION("""COMPUTED_VALUE"""),"Central Montcalm")</f>
        <v>Central Montcalm</v>
      </c>
      <c r="G32" s="64">
        <f>IFERROR(__xludf.DUMMYFUNCTION("""COMPUTED_VALUE"""),103.0)</f>
        <v>103</v>
      </c>
      <c r="H32" s="158" t="str">
        <f>IFERROR(__xludf.DUMMYFUNCTION("""COMPUTED_VALUE"""),"Hansen, Kaitlyn")</f>
        <v>Hansen, Kaitlyn</v>
      </c>
      <c r="I32" s="159" t="str">
        <f>IFERROR(__xludf.DUMMYFUNCTION("""COMPUTED_VALUE"""),"110g")</f>
        <v>110g</v>
      </c>
      <c r="J32" s="64" t="str">
        <f>IFERROR(__xludf.DUMMYFUNCTION("""COMPUTED_VALUE"""),"120g")</f>
        <v>120g</v>
      </c>
      <c r="K32" s="64" t="str">
        <f>IFERROR(__xludf.DUMMYFUNCTION("""COMPUTED_VALUE"""),"130x")</f>
        <v>130x</v>
      </c>
      <c r="L32" s="64">
        <f>IFERROR(__xludf.DUMMYFUNCTION("""COMPUTED_VALUE"""),120.0)</f>
        <v>120</v>
      </c>
      <c r="M32" s="64" t="str">
        <f>IFERROR(__xludf.DUMMYFUNCTION("""COMPUTED_VALUE"""),"65g")</f>
        <v>65g</v>
      </c>
      <c r="N32" s="64" t="str">
        <f>IFERROR(__xludf.DUMMYFUNCTION("""COMPUTED_VALUE"""),"75g")</f>
        <v>75g</v>
      </c>
      <c r="O32" s="64" t="str">
        <f>IFERROR(__xludf.DUMMYFUNCTION("""COMPUTED_VALUE"""),"80x")</f>
        <v>80x</v>
      </c>
      <c r="P32" s="64">
        <f>IFERROR(__xludf.DUMMYFUNCTION("""COMPUTED_VALUE"""),75.0)</f>
        <v>75</v>
      </c>
      <c r="Q32" s="64" t="str">
        <f>IFERROR(__xludf.DUMMYFUNCTION("""COMPUTED_VALUE"""),"190g")</f>
        <v>190g</v>
      </c>
      <c r="R32" s="64" t="str">
        <f>IFERROR(__xludf.DUMMYFUNCTION("""COMPUTED_VALUE"""),"200g")</f>
        <v>200g</v>
      </c>
      <c r="S32" s="64" t="str">
        <f>IFERROR(__xludf.DUMMYFUNCTION("""COMPUTED_VALUE"""),"210g")</f>
        <v>210g</v>
      </c>
      <c r="T32" s="64">
        <f>IFERROR(__xludf.DUMMYFUNCTION("""COMPUTED_VALUE"""),210.0)</f>
        <v>210</v>
      </c>
      <c r="U32" s="64">
        <f>IFERROR(__xludf.DUMMYFUNCTION("""COMPUTED_VALUE"""),405.0)</f>
        <v>405</v>
      </c>
      <c r="V32" s="182">
        <f>IFERROR(__xludf.DUMMYFUNCTION("""COMPUTED_VALUE"""),3.9320388349514563)</f>
        <v>3.932038835</v>
      </c>
      <c r="W32" s="57">
        <f>IFERROR(__xludf.DUMMYFUNCTION("""COMPUTED_VALUE"""),7.0)</f>
        <v>7</v>
      </c>
      <c r="X32" s="57"/>
      <c r="Y32" s="57"/>
    </row>
    <row r="33">
      <c r="B33" s="157" t="s">
        <v>127</v>
      </c>
      <c r="C33" s="157">
        <f>if(countif(F26:F32,F33)&gt;1,0,3)</f>
        <v>3</v>
      </c>
      <c r="D33" s="157" t="str">
        <f>IFERROR(__xludf.DUMMYFUNCTION("""COMPUTED_VALUE"""),"105 WJV")</f>
        <v>105 WJV</v>
      </c>
      <c r="E33" s="64" t="str">
        <f>IFERROR(__xludf.DUMMYFUNCTION("""COMPUTED_VALUE"""),"WJV")</f>
        <v>WJV</v>
      </c>
      <c r="F33" s="158" t="str">
        <f>IFERROR(__xludf.DUMMYFUNCTION("""COMPUTED_VALUE"""),"Brighton")</f>
        <v>Brighton</v>
      </c>
      <c r="G33" s="64">
        <f>IFERROR(__xludf.DUMMYFUNCTION("""COMPUTED_VALUE"""),101.0)</f>
        <v>101</v>
      </c>
      <c r="H33" s="158" t="str">
        <f>IFERROR(__xludf.DUMMYFUNCTION("""COMPUTED_VALUE"""),"Cogan, Alyssa")</f>
        <v>Cogan, Alyssa</v>
      </c>
      <c r="I33" s="159" t="str">
        <f>IFERROR(__xludf.DUMMYFUNCTION("""COMPUTED_VALUE"""),"135g")</f>
        <v>135g</v>
      </c>
      <c r="J33" s="64" t="str">
        <f>IFERROR(__xludf.DUMMYFUNCTION("""COMPUTED_VALUE"""),"150g")</f>
        <v>150g</v>
      </c>
      <c r="K33" s="64" t="str">
        <f>IFERROR(__xludf.DUMMYFUNCTION("""COMPUTED_VALUE"""),"165x")</f>
        <v>165x</v>
      </c>
      <c r="L33" s="64">
        <f>IFERROR(__xludf.DUMMYFUNCTION("""COMPUTED_VALUE"""),150.0)</f>
        <v>150</v>
      </c>
      <c r="M33" s="64" t="str">
        <f>IFERROR(__xludf.DUMMYFUNCTION("""COMPUTED_VALUE"""),"65g")</f>
        <v>65g</v>
      </c>
      <c r="N33" s="64" t="str">
        <f>IFERROR(__xludf.DUMMYFUNCTION("""COMPUTED_VALUE"""),"75g")</f>
        <v>75g</v>
      </c>
      <c r="O33" s="64" t="str">
        <f>IFERROR(__xludf.DUMMYFUNCTION("""COMPUTED_VALUE"""),"80x")</f>
        <v>80x</v>
      </c>
      <c r="P33" s="64">
        <f>IFERROR(__xludf.DUMMYFUNCTION("""COMPUTED_VALUE"""),75.0)</f>
        <v>75</v>
      </c>
      <c r="Q33" s="64" t="str">
        <f>IFERROR(__xludf.DUMMYFUNCTION("""COMPUTED_VALUE"""),"155g")</f>
        <v>155g</v>
      </c>
      <c r="R33" s="64" t="str">
        <f>IFERROR(__xludf.DUMMYFUNCTION("""COMPUTED_VALUE"""),"170g")</f>
        <v>170g</v>
      </c>
      <c r="S33" s="64" t="str">
        <f>IFERROR(__xludf.DUMMYFUNCTION("""COMPUTED_VALUE"""),"185x")</f>
        <v>185x</v>
      </c>
      <c r="T33" s="64">
        <f>IFERROR(__xludf.DUMMYFUNCTION("""COMPUTED_VALUE"""),170.0)</f>
        <v>170</v>
      </c>
      <c r="U33" s="64">
        <f>IFERROR(__xludf.DUMMYFUNCTION("""COMPUTED_VALUE"""),395.0)</f>
        <v>395</v>
      </c>
      <c r="V33" s="182">
        <f>IFERROR(__xludf.DUMMYFUNCTION("""COMPUTED_VALUE"""),3.910891089108911)</f>
        <v>3.910891089</v>
      </c>
      <c r="W33" s="57">
        <f>IFERROR(__xludf.DUMMYFUNCTION("""COMPUTED_VALUE"""),6.0)</f>
        <v>6</v>
      </c>
      <c r="X33" s="57"/>
      <c r="Y33" s="57"/>
    </row>
    <row r="34">
      <c r="B34" s="157" t="s">
        <v>128</v>
      </c>
      <c r="C34" s="157">
        <f>if(countif(F26:F33,F34)&gt;1,0,2)</f>
        <v>2</v>
      </c>
      <c r="D34" s="157" t="str">
        <f>IFERROR(__xludf.DUMMYFUNCTION("""COMPUTED_VALUE"""),"105 WJV")</f>
        <v>105 WJV</v>
      </c>
      <c r="E34" s="64" t="str">
        <f>IFERROR(__xludf.DUMMYFUNCTION("""COMPUTED_VALUE"""),"WJV")</f>
        <v>WJV</v>
      </c>
      <c r="F34" s="158" t="str">
        <f>IFERROR(__xludf.DUMMYFUNCTION("""COMPUTED_VALUE"""),"Goodrich")</f>
        <v>Goodrich</v>
      </c>
      <c r="G34" s="64">
        <f>IFERROR(__xludf.DUMMYFUNCTION("""COMPUTED_VALUE"""),102.1)</f>
        <v>102.1</v>
      </c>
      <c r="H34" s="158" t="str">
        <f>IFERROR(__xludf.DUMMYFUNCTION("""COMPUTED_VALUE"""),"Vicory, Kendra")</f>
        <v>Vicory, Kendra</v>
      </c>
      <c r="I34" s="159" t="str">
        <f>IFERROR(__xludf.DUMMYFUNCTION("""COMPUTED_VALUE"""),"115g")</f>
        <v>115g</v>
      </c>
      <c r="J34" s="64" t="str">
        <f>IFERROR(__xludf.DUMMYFUNCTION("""COMPUTED_VALUE"""),"135g")</f>
        <v>135g</v>
      </c>
      <c r="K34" s="64" t="str">
        <f>IFERROR(__xludf.DUMMYFUNCTION("""COMPUTED_VALUE"""),"155x")</f>
        <v>155x</v>
      </c>
      <c r="L34" s="64">
        <f>IFERROR(__xludf.DUMMYFUNCTION("""COMPUTED_VALUE"""),135.0)</f>
        <v>135</v>
      </c>
      <c r="M34" s="64" t="str">
        <f>IFERROR(__xludf.DUMMYFUNCTION("""COMPUTED_VALUE"""),"75g")</f>
        <v>75g</v>
      </c>
      <c r="N34" s="64" t="str">
        <f>IFERROR(__xludf.DUMMYFUNCTION("""COMPUTED_VALUE"""),"85x")</f>
        <v>85x</v>
      </c>
      <c r="O34" s="64" t="str">
        <f>IFERROR(__xludf.DUMMYFUNCTION("""COMPUTED_VALUE"""),"100x")</f>
        <v>100x</v>
      </c>
      <c r="P34" s="64">
        <f>IFERROR(__xludf.DUMMYFUNCTION("""COMPUTED_VALUE"""),75.0)</f>
        <v>75</v>
      </c>
      <c r="Q34" s="64" t="str">
        <f>IFERROR(__xludf.DUMMYFUNCTION("""COMPUTED_VALUE"""),"155g")</f>
        <v>155g</v>
      </c>
      <c r="R34" s="64" t="str">
        <f>IFERROR(__xludf.DUMMYFUNCTION("""COMPUTED_VALUE"""),"185g")</f>
        <v>185g</v>
      </c>
      <c r="S34" s="64" t="str">
        <f>IFERROR(__xludf.DUMMYFUNCTION("""COMPUTED_VALUE"""),"205x")</f>
        <v>205x</v>
      </c>
      <c r="T34" s="64">
        <f>IFERROR(__xludf.DUMMYFUNCTION("""COMPUTED_VALUE"""),185.0)</f>
        <v>185</v>
      </c>
      <c r="U34" s="64">
        <f>IFERROR(__xludf.DUMMYFUNCTION("""COMPUTED_VALUE"""),395.0)</f>
        <v>395</v>
      </c>
      <c r="V34" s="182">
        <f>IFERROR(__xludf.DUMMYFUNCTION("""COMPUTED_VALUE"""),3.8687561214495596)</f>
        <v>3.868756121</v>
      </c>
      <c r="W34" s="57">
        <f>IFERROR(__xludf.DUMMYFUNCTION("""COMPUTED_VALUE"""),5.0)</f>
        <v>5</v>
      </c>
      <c r="X34" s="57"/>
      <c r="Y34" s="57"/>
    </row>
    <row r="35">
      <c r="B35" s="157" t="s">
        <v>129</v>
      </c>
      <c r="C35" s="157">
        <f>if(countif(F26:F34,F35)&gt;1,0,1)</f>
        <v>0</v>
      </c>
      <c r="D35" s="157" t="str">
        <f>IFERROR(__xludf.DUMMYFUNCTION("""COMPUTED_VALUE"""),"105 WJV")</f>
        <v>105 WJV</v>
      </c>
      <c r="E35" s="64" t="str">
        <f>IFERROR(__xludf.DUMMYFUNCTION("""COMPUTED_VALUE"""),"WJV")</f>
        <v>WJV</v>
      </c>
      <c r="F35" s="158" t="str">
        <f>IFERROR(__xludf.DUMMYFUNCTION("""COMPUTED_VALUE"""),"Central Montcalm")</f>
        <v>Central Montcalm</v>
      </c>
      <c r="G35" s="64">
        <f>IFERROR(__xludf.DUMMYFUNCTION("""COMPUTED_VALUE"""),104.8)</f>
        <v>104.8</v>
      </c>
      <c r="H35" s="158" t="str">
        <f>IFERROR(__xludf.DUMMYFUNCTION("""COMPUTED_VALUE"""),"Christiansen, Marlee")</f>
        <v>Christiansen, Marlee</v>
      </c>
      <c r="I35" s="159" t="str">
        <f>IFERROR(__xludf.DUMMYFUNCTION("""COMPUTED_VALUE"""),"125g")</f>
        <v>125g</v>
      </c>
      <c r="J35" s="64" t="str">
        <f>IFERROR(__xludf.DUMMYFUNCTION("""COMPUTED_VALUE"""),"140x")</f>
        <v>140x</v>
      </c>
      <c r="K35" s="64" t="str">
        <f>IFERROR(__xludf.DUMMYFUNCTION("""COMPUTED_VALUE"""),"140x")</f>
        <v>140x</v>
      </c>
      <c r="L35" s="64">
        <f>IFERROR(__xludf.DUMMYFUNCTION("""COMPUTED_VALUE"""),125.0)</f>
        <v>125</v>
      </c>
      <c r="M35" s="64" t="str">
        <f>IFERROR(__xludf.DUMMYFUNCTION("""COMPUTED_VALUE"""),"70g")</f>
        <v>70g</v>
      </c>
      <c r="N35" s="64" t="str">
        <f>IFERROR(__xludf.DUMMYFUNCTION("""COMPUTED_VALUE"""),"80g")</f>
        <v>80g</v>
      </c>
      <c r="O35" s="64" t="str">
        <f>IFERROR(__xludf.DUMMYFUNCTION("""COMPUTED_VALUE"""),"90x")</f>
        <v>90x</v>
      </c>
      <c r="P35" s="64">
        <f>IFERROR(__xludf.DUMMYFUNCTION("""COMPUTED_VALUE"""),80.0)</f>
        <v>80</v>
      </c>
      <c r="Q35" s="64" t="str">
        <f>IFERROR(__xludf.DUMMYFUNCTION("""COMPUTED_VALUE"""),"160g")</f>
        <v>160g</v>
      </c>
      <c r="R35" s="64" t="str">
        <f>IFERROR(__xludf.DUMMYFUNCTION("""COMPUTED_VALUE"""),"185g")</f>
        <v>185g</v>
      </c>
      <c r="S35" s="64" t="str">
        <f>IFERROR(__xludf.DUMMYFUNCTION("""COMPUTED_VALUE"""),"200x")</f>
        <v>200x</v>
      </c>
      <c r="T35" s="64">
        <f>IFERROR(__xludf.DUMMYFUNCTION("""COMPUTED_VALUE"""),185.0)</f>
        <v>185</v>
      </c>
      <c r="U35" s="64">
        <f>IFERROR(__xludf.DUMMYFUNCTION("""COMPUTED_VALUE"""),390.0)</f>
        <v>390</v>
      </c>
      <c r="V35" s="182">
        <f>IFERROR(__xludf.DUMMYFUNCTION("""COMPUTED_VALUE"""),3.721374045801527)</f>
        <v>3.721374046</v>
      </c>
      <c r="W35" s="57">
        <f>IFERROR(__xludf.DUMMYFUNCTION("""COMPUTED_VALUE"""),5.0)</f>
        <v>5</v>
      </c>
      <c r="X35" s="57"/>
      <c r="Y35" s="57"/>
    </row>
    <row r="36">
      <c r="A36" s="67">
        <v>105.0</v>
      </c>
      <c r="B36" s="68" t="s">
        <v>542</v>
      </c>
      <c r="C36" s="68">
        <v>0.0</v>
      </c>
      <c r="D36" s="68" t="str">
        <f>IFERROR(__xludf.DUMMYFUNCTION("""COMPUTED_VALUE"""),"105 WJV")</f>
        <v>105 WJV</v>
      </c>
      <c r="E36" s="69" t="str">
        <f>IFERROR(__xludf.DUMMYFUNCTION("""COMPUTED_VALUE"""),"WJV")</f>
        <v>WJV</v>
      </c>
      <c r="F36" s="70" t="str">
        <f>IFERROR(__xludf.DUMMYFUNCTION("""COMPUTED_VALUE"""),"Standish-Sterling")</f>
        <v>Standish-Sterling</v>
      </c>
      <c r="G36" s="69">
        <f>IFERROR(__xludf.DUMMYFUNCTION("""COMPUTED_VALUE"""),103.5)</f>
        <v>103.5</v>
      </c>
      <c r="H36" s="70" t="str">
        <f>IFERROR(__xludf.DUMMYFUNCTION("""COMPUTED_VALUE"""),"Kopasz, Alli")</f>
        <v>Kopasz, Alli</v>
      </c>
      <c r="I36" s="71" t="str">
        <f>IFERROR(__xludf.DUMMYFUNCTION("""COMPUTED_VALUE"""),"115g")</f>
        <v>115g</v>
      </c>
      <c r="J36" s="69" t="str">
        <f>IFERROR(__xludf.DUMMYFUNCTION("""COMPUTED_VALUE"""),"125g")</f>
        <v>125g</v>
      </c>
      <c r="K36" s="69" t="str">
        <f>IFERROR(__xludf.DUMMYFUNCTION("""COMPUTED_VALUE"""),"135g")</f>
        <v>135g</v>
      </c>
      <c r="L36" s="69">
        <f>IFERROR(__xludf.DUMMYFUNCTION("""COMPUTED_VALUE"""),135.0)</f>
        <v>135</v>
      </c>
      <c r="M36" s="69" t="str">
        <f>IFERROR(__xludf.DUMMYFUNCTION("""COMPUTED_VALUE"""),"70g")</f>
        <v>70g</v>
      </c>
      <c r="N36" s="69" t="str">
        <f>IFERROR(__xludf.DUMMYFUNCTION("""COMPUTED_VALUE"""),"75g")</f>
        <v>75g</v>
      </c>
      <c r="O36" s="69" t="str">
        <f>IFERROR(__xludf.DUMMYFUNCTION("""COMPUTED_VALUE"""),"85x")</f>
        <v>85x</v>
      </c>
      <c r="P36" s="69">
        <f>IFERROR(__xludf.DUMMYFUNCTION("""COMPUTED_VALUE"""),75.0)</f>
        <v>75</v>
      </c>
      <c r="Q36" s="69" t="str">
        <f>IFERROR(__xludf.DUMMYFUNCTION("""COMPUTED_VALUE"""),"155g")</f>
        <v>155g</v>
      </c>
      <c r="R36" s="69" t="str">
        <f>IFERROR(__xludf.DUMMYFUNCTION("""COMPUTED_VALUE"""),"175g")</f>
        <v>175g</v>
      </c>
      <c r="S36" s="69" t="str">
        <f>IFERROR(__xludf.DUMMYFUNCTION("""COMPUTED_VALUE"""),"190x")</f>
        <v>190x</v>
      </c>
      <c r="T36" s="69">
        <f>IFERROR(__xludf.DUMMYFUNCTION("""COMPUTED_VALUE"""),175.0)</f>
        <v>175</v>
      </c>
      <c r="U36" s="69">
        <f>IFERROR(__xludf.DUMMYFUNCTION("""COMPUTED_VALUE"""),385.0)</f>
        <v>385</v>
      </c>
      <c r="V36" s="183">
        <f>IFERROR(__xludf.DUMMYFUNCTION("""COMPUTED_VALUE"""),3.7198067632850242)</f>
        <v>3.719806763</v>
      </c>
      <c r="W36" s="156">
        <f>IFERROR(__xludf.DUMMYFUNCTION("""COMPUTED_VALUE"""),7.0)</f>
        <v>7</v>
      </c>
      <c r="X36" s="156"/>
      <c r="Y36" s="156"/>
    </row>
    <row r="37">
      <c r="B37" s="68" t="s">
        <v>543</v>
      </c>
      <c r="C37" s="68">
        <v>0.0</v>
      </c>
      <c r="D37" s="68" t="str">
        <f>IFERROR(__xludf.DUMMYFUNCTION("""COMPUTED_VALUE"""),"105 WJV")</f>
        <v>105 WJV</v>
      </c>
      <c r="E37" s="69" t="str">
        <f>IFERROR(__xludf.DUMMYFUNCTION("""COMPUTED_VALUE"""),"WJV")</f>
        <v>WJV</v>
      </c>
      <c r="F37" s="70" t="str">
        <f>IFERROR(__xludf.DUMMYFUNCTION("""COMPUTED_VALUE"""),"Grand Haven")</f>
        <v>Grand Haven</v>
      </c>
      <c r="G37" s="69">
        <f>IFERROR(__xludf.DUMMYFUNCTION("""COMPUTED_VALUE"""),102.6)</f>
        <v>102.6</v>
      </c>
      <c r="H37" s="70" t="str">
        <f>IFERROR(__xludf.DUMMYFUNCTION("""COMPUTED_VALUE"""),"Mountford, Alexis")</f>
        <v>Mountford, Alexis</v>
      </c>
      <c r="I37" s="71" t="str">
        <f>IFERROR(__xludf.DUMMYFUNCTION("""COMPUTED_VALUE"""),"95g")</f>
        <v>95g</v>
      </c>
      <c r="J37" s="69" t="str">
        <f>IFERROR(__xludf.DUMMYFUNCTION("""COMPUTED_VALUE"""),"115g")</f>
        <v>115g</v>
      </c>
      <c r="K37" s="69" t="str">
        <f>IFERROR(__xludf.DUMMYFUNCTION("""COMPUTED_VALUE"""),"125g")</f>
        <v>125g</v>
      </c>
      <c r="L37" s="69">
        <f>IFERROR(__xludf.DUMMYFUNCTION("""COMPUTED_VALUE"""),125.0)</f>
        <v>125</v>
      </c>
      <c r="M37" s="69" t="str">
        <f>IFERROR(__xludf.DUMMYFUNCTION("""COMPUTED_VALUE"""),"55g")</f>
        <v>55g</v>
      </c>
      <c r="N37" s="69" t="str">
        <f>IFERROR(__xludf.DUMMYFUNCTION("""COMPUTED_VALUE"""),"70g")</f>
        <v>70g</v>
      </c>
      <c r="O37" s="69" t="str">
        <f>IFERROR(__xludf.DUMMYFUNCTION("""COMPUTED_VALUE"""),"80x")</f>
        <v>80x</v>
      </c>
      <c r="P37" s="69">
        <f>IFERROR(__xludf.DUMMYFUNCTION("""COMPUTED_VALUE"""),70.0)</f>
        <v>70</v>
      </c>
      <c r="Q37" s="69" t="str">
        <f>IFERROR(__xludf.DUMMYFUNCTION("""COMPUTED_VALUE"""),"135g")</f>
        <v>135g</v>
      </c>
      <c r="R37" s="69" t="str">
        <f>IFERROR(__xludf.DUMMYFUNCTION("""COMPUTED_VALUE"""),"175g")</f>
        <v>175g</v>
      </c>
      <c r="S37" s="69" t="str">
        <f>IFERROR(__xludf.DUMMYFUNCTION("""COMPUTED_VALUE"""),"185g")</f>
        <v>185g</v>
      </c>
      <c r="T37" s="69">
        <f>IFERROR(__xludf.DUMMYFUNCTION("""COMPUTED_VALUE"""),185.0)</f>
        <v>185</v>
      </c>
      <c r="U37" s="69">
        <f>IFERROR(__xludf.DUMMYFUNCTION("""COMPUTED_VALUE"""),380.0)</f>
        <v>380</v>
      </c>
      <c r="V37" s="183">
        <f>IFERROR(__xludf.DUMMYFUNCTION("""COMPUTED_VALUE"""),3.7037037037037037)</f>
        <v>3.703703704</v>
      </c>
      <c r="W37" s="156">
        <f>IFERROR(__xludf.DUMMYFUNCTION("""COMPUTED_VALUE"""),8.0)</f>
        <v>8</v>
      </c>
      <c r="X37" s="156"/>
      <c r="Y37" s="156"/>
    </row>
    <row r="38">
      <c r="B38" s="68" t="s">
        <v>544</v>
      </c>
      <c r="C38" s="68">
        <v>0.0</v>
      </c>
      <c r="D38" s="68" t="str">
        <f>IFERROR(__xludf.DUMMYFUNCTION("""COMPUTED_VALUE"""),"105 WJV")</f>
        <v>105 WJV</v>
      </c>
      <c r="E38" s="69" t="str">
        <f>IFERROR(__xludf.DUMMYFUNCTION("""COMPUTED_VALUE"""),"WJV")</f>
        <v>WJV</v>
      </c>
      <c r="F38" s="70" t="str">
        <f>IFERROR(__xludf.DUMMYFUNCTION("""COMPUTED_VALUE"""),"Ionia")</f>
        <v>Ionia</v>
      </c>
      <c r="G38" s="69">
        <f>IFERROR(__xludf.DUMMYFUNCTION("""COMPUTED_VALUE"""),103.7)</f>
        <v>103.7</v>
      </c>
      <c r="H38" s="70" t="str">
        <f>IFERROR(__xludf.DUMMYFUNCTION("""COMPUTED_VALUE"""),"Bestrom, Olivia")</f>
        <v>Bestrom, Olivia</v>
      </c>
      <c r="I38" s="71" t="str">
        <f>IFERROR(__xludf.DUMMYFUNCTION("""COMPUTED_VALUE"""),"85g")</f>
        <v>85g</v>
      </c>
      <c r="J38" s="69" t="str">
        <f>IFERROR(__xludf.DUMMYFUNCTION("""COMPUTED_VALUE"""),"105g")</f>
        <v>105g</v>
      </c>
      <c r="K38" s="69" t="str">
        <f>IFERROR(__xludf.DUMMYFUNCTION("""COMPUTED_VALUE"""),"120x")</f>
        <v>120x</v>
      </c>
      <c r="L38" s="69">
        <f>IFERROR(__xludf.DUMMYFUNCTION("""COMPUTED_VALUE"""),105.0)</f>
        <v>105</v>
      </c>
      <c r="M38" s="69" t="str">
        <f>IFERROR(__xludf.DUMMYFUNCTION("""COMPUTED_VALUE"""),"60g")</f>
        <v>60g</v>
      </c>
      <c r="N38" s="69" t="str">
        <f>IFERROR(__xludf.DUMMYFUNCTION("""COMPUTED_VALUE"""),"75g")</f>
        <v>75g</v>
      </c>
      <c r="O38" s="69" t="str">
        <f>IFERROR(__xludf.DUMMYFUNCTION("""COMPUTED_VALUE"""),"80g")</f>
        <v>80g</v>
      </c>
      <c r="P38" s="69">
        <f>IFERROR(__xludf.DUMMYFUNCTION("""COMPUTED_VALUE"""),80.0)</f>
        <v>80</v>
      </c>
      <c r="Q38" s="69" t="str">
        <f>IFERROR(__xludf.DUMMYFUNCTION("""COMPUTED_VALUE"""),"150g")</f>
        <v>150g</v>
      </c>
      <c r="R38" s="69" t="str">
        <f>IFERROR(__xludf.DUMMYFUNCTION("""COMPUTED_VALUE"""),"175g")</f>
        <v>175g</v>
      </c>
      <c r="S38" s="69" t="str">
        <f>IFERROR(__xludf.DUMMYFUNCTION("""COMPUTED_VALUE"""),"190g")</f>
        <v>190g</v>
      </c>
      <c r="T38" s="69">
        <f>IFERROR(__xludf.DUMMYFUNCTION("""COMPUTED_VALUE"""),190.0)</f>
        <v>190</v>
      </c>
      <c r="U38" s="69">
        <f>IFERROR(__xludf.DUMMYFUNCTION("""COMPUTED_VALUE"""),375.0)</f>
        <v>375</v>
      </c>
      <c r="V38" s="183">
        <f>IFERROR(__xludf.DUMMYFUNCTION("""COMPUTED_VALUE"""),3.6162005785920925)</f>
        <v>3.616200579</v>
      </c>
      <c r="W38" s="156">
        <f>IFERROR(__xludf.DUMMYFUNCTION("""COMPUTED_VALUE"""),8.0)</f>
        <v>8</v>
      </c>
      <c r="X38" s="156"/>
      <c r="Y38" s="156"/>
    </row>
    <row r="39">
      <c r="B39" s="68" t="s">
        <v>545</v>
      </c>
      <c r="C39" s="68">
        <v>0.0</v>
      </c>
      <c r="D39" s="68" t="str">
        <f>IFERROR(__xludf.DUMMYFUNCTION("""COMPUTED_VALUE"""),"105 WJV")</f>
        <v>105 WJV</v>
      </c>
      <c r="E39" s="69" t="str">
        <f>IFERROR(__xludf.DUMMYFUNCTION("""COMPUTED_VALUE"""),"WJV")</f>
        <v>WJV</v>
      </c>
      <c r="F39" s="70" t="str">
        <f>IFERROR(__xludf.DUMMYFUNCTION("""COMPUTED_VALUE"""),"Central Lake")</f>
        <v>Central Lake</v>
      </c>
      <c r="G39" s="69">
        <f>IFERROR(__xludf.DUMMYFUNCTION("""COMPUTED_VALUE"""),103.7)</f>
        <v>103.7</v>
      </c>
      <c r="H39" s="70" t="str">
        <f>IFERROR(__xludf.DUMMYFUNCTION("""COMPUTED_VALUE"""),"Meinke, Rose")</f>
        <v>Meinke, Rose</v>
      </c>
      <c r="I39" s="71" t="str">
        <f>IFERROR(__xludf.DUMMYFUNCTION("""COMPUTED_VALUE"""),"105g")</f>
        <v>105g</v>
      </c>
      <c r="J39" s="69" t="str">
        <f>IFERROR(__xludf.DUMMYFUNCTION("""COMPUTED_VALUE"""),"115g")</f>
        <v>115g</v>
      </c>
      <c r="K39" s="69" t="str">
        <f>IFERROR(__xludf.DUMMYFUNCTION("""COMPUTED_VALUE"""),"120g")</f>
        <v>120g</v>
      </c>
      <c r="L39" s="69">
        <f>IFERROR(__xludf.DUMMYFUNCTION("""COMPUTED_VALUE"""),120.0)</f>
        <v>120</v>
      </c>
      <c r="M39" s="69" t="str">
        <f>IFERROR(__xludf.DUMMYFUNCTION("""COMPUTED_VALUE"""),"50g")</f>
        <v>50g</v>
      </c>
      <c r="N39" s="69" t="str">
        <f>IFERROR(__xludf.DUMMYFUNCTION("""COMPUTED_VALUE"""),"60g")</f>
        <v>60g</v>
      </c>
      <c r="O39" s="69" t="str">
        <f>IFERROR(__xludf.DUMMYFUNCTION("""COMPUTED_VALUE"""),"65g")</f>
        <v>65g</v>
      </c>
      <c r="P39" s="69">
        <f>IFERROR(__xludf.DUMMYFUNCTION("""COMPUTED_VALUE"""),65.0)</f>
        <v>65</v>
      </c>
      <c r="Q39" s="69" t="str">
        <f>IFERROR(__xludf.DUMMYFUNCTION("""COMPUTED_VALUE"""),"150g")</f>
        <v>150g</v>
      </c>
      <c r="R39" s="69" t="str">
        <f>IFERROR(__xludf.DUMMYFUNCTION("""COMPUTED_VALUE"""),"165g")</f>
        <v>165g</v>
      </c>
      <c r="S39" s="69" t="str">
        <f>IFERROR(__xludf.DUMMYFUNCTION("""COMPUTED_VALUE"""),"175x")</f>
        <v>175x</v>
      </c>
      <c r="T39" s="69">
        <f>IFERROR(__xludf.DUMMYFUNCTION("""COMPUTED_VALUE"""),165.0)</f>
        <v>165</v>
      </c>
      <c r="U39" s="69">
        <f>IFERROR(__xludf.DUMMYFUNCTION("""COMPUTED_VALUE"""),350.0)</f>
        <v>350</v>
      </c>
      <c r="V39" s="183">
        <f>IFERROR(__xludf.DUMMYFUNCTION("""COMPUTED_VALUE"""),3.3751205400192865)</f>
        <v>3.37512054</v>
      </c>
      <c r="W39" s="156">
        <f>IFERROR(__xludf.DUMMYFUNCTION("""COMPUTED_VALUE"""),8.0)</f>
        <v>8</v>
      </c>
      <c r="X39" s="156"/>
      <c r="Y39" s="156"/>
    </row>
    <row r="40">
      <c r="B40" s="68" t="s">
        <v>546</v>
      </c>
      <c r="C40" s="68">
        <v>0.0</v>
      </c>
      <c r="D40" s="68" t="str">
        <f>IFERROR(__xludf.DUMMYFUNCTION("""COMPUTED_VALUE"""),"105 WJV")</f>
        <v>105 WJV</v>
      </c>
      <c r="E40" s="69" t="str">
        <f>IFERROR(__xludf.DUMMYFUNCTION("""COMPUTED_VALUE"""),"WJV")</f>
        <v>WJV</v>
      </c>
      <c r="F40" s="70" t="str">
        <f>IFERROR(__xludf.DUMMYFUNCTION("""COMPUTED_VALUE"""),"Goodrich")</f>
        <v>Goodrich</v>
      </c>
      <c r="G40" s="69">
        <f>IFERROR(__xludf.DUMMYFUNCTION("""COMPUTED_VALUE"""),98.9)</f>
        <v>98.9</v>
      </c>
      <c r="H40" s="70" t="str">
        <f>IFERROR(__xludf.DUMMYFUNCTION("""COMPUTED_VALUE"""),"Schoeneman, Charleigh")</f>
        <v>Schoeneman, Charleigh</v>
      </c>
      <c r="I40" s="71" t="str">
        <f>IFERROR(__xludf.DUMMYFUNCTION("""COMPUTED_VALUE"""),"115x")</f>
        <v>115x</v>
      </c>
      <c r="J40" s="69" t="str">
        <f>IFERROR(__xludf.DUMMYFUNCTION("""COMPUTED_VALUE"""),"115x")</f>
        <v>115x</v>
      </c>
      <c r="K40" s="69" t="str">
        <f>IFERROR(__xludf.DUMMYFUNCTION("""COMPUTED_VALUE"""),"115g")</f>
        <v>115g</v>
      </c>
      <c r="L40" s="69">
        <f>IFERROR(__xludf.DUMMYFUNCTION("""COMPUTED_VALUE"""),115.0)</f>
        <v>115</v>
      </c>
      <c r="M40" s="69" t="str">
        <f>IFERROR(__xludf.DUMMYFUNCTION("""COMPUTED_VALUE"""),"55g")</f>
        <v>55g</v>
      </c>
      <c r="N40" s="69" t="str">
        <f>IFERROR(__xludf.DUMMYFUNCTION("""COMPUTED_VALUE"""),"60g")</f>
        <v>60g</v>
      </c>
      <c r="O40" s="69" t="str">
        <f>IFERROR(__xludf.DUMMYFUNCTION("""COMPUTED_VALUE"""),"65x")</f>
        <v>65x</v>
      </c>
      <c r="P40" s="69">
        <f>IFERROR(__xludf.DUMMYFUNCTION("""COMPUTED_VALUE"""),60.0)</f>
        <v>60</v>
      </c>
      <c r="Q40" s="69" t="str">
        <f>IFERROR(__xludf.DUMMYFUNCTION("""COMPUTED_VALUE"""),"155g")</f>
        <v>155g</v>
      </c>
      <c r="R40" s="69" t="str">
        <f>IFERROR(__xludf.DUMMYFUNCTION("""COMPUTED_VALUE"""),"170g")</f>
        <v>170g</v>
      </c>
      <c r="S40" s="69" t="str">
        <f>IFERROR(__xludf.DUMMYFUNCTION("""COMPUTED_VALUE"""),"185x")</f>
        <v>185x</v>
      </c>
      <c r="T40" s="69">
        <f>IFERROR(__xludf.DUMMYFUNCTION("""COMPUTED_VALUE"""),170.0)</f>
        <v>170</v>
      </c>
      <c r="U40" s="69">
        <f>IFERROR(__xludf.DUMMYFUNCTION("""COMPUTED_VALUE"""),345.0)</f>
        <v>345</v>
      </c>
      <c r="V40" s="183">
        <f>IFERROR(__xludf.DUMMYFUNCTION("""COMPUTED_VALUE"""),3.488372093023256)</f>
        <v>3.488372093</v>
      </c>
      <c r="W40" s="156">
        <f>IFERROR(__xludf.DUMMYFUNCTION("""COMPUTED_VALUE"""),5.0)</f>
        <v>5</v>
      </c>
      <c r="X40" s="156"/>
      <c r="Y40" s="156"/>
    </row>
    <row r="41">
      <c r="B41" s="68" t="s">
        <v>547</v>
      </c>
      <c r="C41" s="68">
        <v>0.0</v>
      </c>
      <c r="D41" s="68" t="str">
        <f>IFERROR(__xludf.DUMMYFUNCTION("""COMPUTED_VALUE"""),"105 WJV")</f>
        <v>105 WJV</v>
      </c>
      <c r="E41" s="69" t="str">
        <f>IFERROR(__xludf.DUMMYFUNCTION("""COMPUTED_VALUE"""),"WJV")</f>
        <v>WJV</v>
      </c>
      <c r="F41" s="70" t="str">
        <f>IFERROR(__xludf.DUMMYFUNCTION("""COMPUTED_VALUE"""),"Central Montcalm")</f>
        <v>Central Montcalm</v>
      </c>
      <c r="G41" s="69">
        <f>IFERROR(__xludf.DUMMYFUNCTION("""COMPUTED_VALUE"""),102.3)</f>
        <v>102.3</v>
      </c>
      <c r="H41" s="70" t="str">
        <f>IFERROR(__xludf.DUMMYFUNCTION("""COMPUTED_VALUE"""),"Johnson, Gabi")</f>
        <v>Johnson, Gabi</v>
      </c>
      <c r="I41" s="71" t="str">
        <f>IFERROR(__xludf.DUMMYFUNCTION("""COMPUTED_VALUE"""),"95g")</f>
        <v>95g</v>
      </c>
      <c r="J41" s="69" t="str">
        <f>IFERROR(__xludf.DUMMYFUNCTION("""COMPUTED_VALUE"""),"110x")</f>
        <v>110x</v>
      </c>
      <c r="K41" s="69" t="str">
        <f>IFERROR(__xludf.DUMMYFUNCTION("""COMPUTED_VALUE"""),"110g")</f>
        <v>110g</v>
      </c>
      <c r="L41" s="69">
        <f>IFERROR(__xludf.DUMMYFUNCTION("""COMPUTED_VALUE"""),110.0)</f>
        <v>110</v>
      </c>
      <c r="M41" s="69" t="str">
        <f>IFERROR(__xludf.DUMMYFUNCTION("""COMPUTED_VALUE"""),"60g")</f>
        <v>60g</v>
      </c>
      <c r="N41" s="69" t="str">
        <f>IFERROR(__xludf.DUMMYFUNCTION("""COMPUTED_VALUE"""),"65g")</f>
        <v>65g</v>
      </c>
      <c r="O41" s="69" t="str">
        <f>IFERROR(__xludf.DUMMYFUNCTION("""COMPUTED_VALUE"""),"70x")</f>
        <v>70x</v>
      </c>
      <c r="P41" s="69">
        <f>IFERROR(__xludf.DUMMYFUNCTION("""COMPUTED_VALUE"""),65.0)</f>
        <v>65</v>
      </c>
      <c r="Q41" s="69" t="str">
        <f>IFERROR(__xludf.DUMMYFUNCTION("""COMPUTED_VALUE"""),"135g")</f>
        <v>135g</v>
      </c>
      <c r="R41" s="69" t="str">
        <f>IFERROR(__xludf.DUMMYFUNCTION("""COMPUTED_VALUE"""),"155g")</f>
        <v>155g</v>
      </c>
      <c r="S41" s="69" t="str">
        <f>IFERROR(__xludf.DUMMYFUNCTION("""COMPUTED_VALUE"""),"180x")</f>
        <v>180x</v>
      </c>
      <c r="T41" s="69">
        <f>IFERROR(__xludf.DUMMYFUNCTION("""COMPUTED_VALUE"""),155.0)</f>
        <v>155</v>
      </c>
      <c r="U41" s="69">
        <f>IFERROR(__xludf.DUMMYFUNCTION("""COMPUTED_VALUE"""),330.0)</f>
        <v>330</v>
      </c>
      <c r="V41" s="183">
        <f>IFERROR(__xludf.DUMMYFUNCTION("""COMPUTED_VALUE"""),3.2258064516129035)</f>
        <v>3.225806452</v>
      </c>
      <c r="W41" s="156">
        <f>IFERROR(__xludf.DUMMYFUNCTION("""COMPUTED_VALUE"""),6.0)</f>
        <v>6</v>
      </c>
      <c r="X41" s="156"/>
      <c r="Y41" s="156"/>
    </row>
    <row r="42">
      <c r="B42" s="68" t="s">
        <v>548</v>
      </c>
      <c r="C42" s="68">
        <v>0.0</v>
      </c>
      <c r="D42" s="68" t="str">
        <f>IFERROR(__xludf.DUMMYFUNCTION("""COMPUTED_VALUE"""),"105 WJV")</f>
        <v>105 WJV</v>
      </c>
      <c r="E42" s="69" t="str">
        <f>IFERROR(__xludf.DUMMYFUNCTION("""COMPUTED_VALUE"""),"WJV")</f>
        <v>WJV</v>
      </c>
      <c r="F42" s="70" t="str">
        <f>IFERROR(__xludf.DUMMYFUNCTION("""COMPUTED_VALUE"""),"Ionia")</f>
        <v>Ionia</v>
      </c>
      <c r="G42" s="69">
        <f>IFERROR(__xludf.DUMMYFUNCTION("""COMPUTED_VALUE"""),104.1)</f>
        <v>104.1</v>
      </c>
      <c r="H42" s="70" t="str">
        <f>IFERROR(__xludf.DUMMYFUNCTION("""COMPUTED_VALUE"""),"Brygo, Rose-May")</f>
        <v>Brygo, Rose-May</v>
      </c>
      <c r="I42" s="71" t="str">
        <f>IFERROR(__xludf.DUMMYFUNCTION("""COMPUTED_VALUE"""),"85g")</f>
        <v>85g</v>
      </c>
      <c r="J42" s="69" t="str">
        <f>IFERROR(__xludf.DUMMYFUNCTION("""COMPUTED_VALUE"""),"100g")</f>
        <v>100g</v>
      </c>
      <c r="K42" s="69" t="str">
        <f>IFERROR(__xludf.DUMMYFUNCTION("""COMPUTED_VALUE"""),"110x")</f>
        <v>110x</v>
      </c>
      <c r="L42" s="69">
        <f>IFERROR(__xludf.DUMMYFUNCTION("""COMPUTED_VALUE"""),100.0)</f>
        <v>100</v>
      </c>
      <c r="M42" s="69" t="str">
        <f>IFERROR(__xludf.DUMMYFUNCTION("""COMPUTED_VALUE"""),"55g")</f>
        <v>55g</v>
      </c>
      <c r="N42" s="69" t="str">
        <f>IFERROR(__xludf.DUMMYFUNCTION("""COMPUTED_VALUE"""),"65x")</f>
        <v>65x</v>
      </c>
      <c r="O42" s="69" t="str">
        <f>IFERROR(__xludf.DUMMYFUNCTION("""COMPUTED_VALUE"""),"65x")</f>
        <v>65x</v>
      </c>
      <c r="P42" s="69">
        <f>IFERROR(__xludf.DUMMYFUNCTION("""COMPUTED_VALUE"""),55.0)</f>
        <v>55</v>
      </c>
      <c r="Q42" s="69" t="str">
        <f>IFERROR(__xludf.DUMMYFUNCTION("""COMPUTED_VALUE"""),"135g")</f>
        <v>135g</v>
      </c>
      <c r="R42" s="69" t="str">
        <f>IFERROR(__xludf.DUMMYFUNCTION("""COMPUTED_VALUE"""),"155g")</f>
        <v>155g</v>
      </c>
      <c r="S42" s="69" t="str">
        <f>IFERROR(__xludf.DUMMYFUNCTION("""COMPUTED_VALUE"""),"175g")</f>
        <v>175g</v>
      </c>
      <c r="T42" s="69">
        <f>IFERROR(__xludf.DUMMYFUNCTION("""COMPUTED_VALUE"""),175.0)</f>
        <v>175</v>
      </c>
      <c r="U42" s="69">
        <f>IFERROR(__xludf.DUMMYFUNCTION("""COMPUTED_VALUE"""),330.0)</f>
        <v>330</v>
      </c>
      <c r="V42" s="183">
        <f>IFERROR(__xludf.DUMMYFUNCTION("""COMPUTED_VALUE"""),3.336703741152679)</f>
        <v>3.336703741</v>
      </c>
      <c r="W42" s="156">
        <f>IFERROR(__xludf.DUMMYFUNCTION("""COMPUTED_VALUE"""),6.0)</f>
        <v>6</v>
      </c>
      <c r="X42" s="156"/>
      <c r="Y42" s="156"/>
    </row>
    <row r="43">
      <c r="B43" s="68" t="s">
        <v>549</v>
      </c>
      <c r="C43" s="68">
        <v>0.0</v>
      </c>
      <c r="D43" s="68"/>
      <c r="E43" s="69"/>
      <c r="F43" s="70"/>
      <c r="G43" s="69"/>
      <c r="H43" s="70"/>
      <c r="I43" s="71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156"/>
      <c r="X43" s="156"/>
      <c r="Y43" s="156"/>
    </row>
    <row r="44">
      <c r="B44" s="68" t="s">
        <v>550</v>
      </c>
      <c r="C44" s="68">
        <v>0.0</v>
      </c>
      <c r="D44" s="68"/>
      <c r="E44" s="69"/>
      <c r="F44" s="70"/>
      <c r="G44" s="69"/>
      <c r="H44" s="70"/>
      <c r="I44" s="71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156"/>
      <c r="X44" s="156"/>
      <c r="Y44" s="156"/>
    </row>
    <row r="45">
      <c r="B45" s="68" t="s">
        <v>551</v>
      </c>
      <c r="C45" s="68">
        <v>0.0</v>
      </c>
      <c r="D45" s="68"/>
      <c r="E45" s="69"/>
      <c r="F45" s="70"/>
      <c r="G45" s="69"/>
      <c r="H45" s="70"/>
      <c r="I45" s="71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156"/>
      <c r="X45" s="156"/>
      <c r="Y45" s="156"/>
    </row>
    <row r="46">
      <c r="A46" s="58">
        <v>114.0</v>
      </c>
      <c r="B46" s="157" t="s">
        <v>120</v>
      </c>
      <c r="C46" s="157">
        <v>12.0</v>
      </c>
      <c r="D46" s="157" t="str">
        <f>IFERROR(__xludf.DUMMYFUNCTION("ARRAY_CONSTRAIN(filter('All Platforms'!A3:T1802,'All Platforms'!A3:A1802=""114 WJV""),20,20)"),"114 WJV")</f>
        <v>114 WJV</v>
      </c>
      <c r="E46" s="64" t="str">
        <f>IFERROR(__xludf.DUMMYFUNCTION("""COMPUTED_VALUE"""),"WJV")</f>
        <v>WJV</v>
      </c>
      <c r="F46" s="158" t="str">
        <f>IFERROR(__xludf.DUMMYFUNCTION("""COMPUTED_VALUE"""),"Central Montcalm")</f>
        <v>Central Montcalm</v>
      </c>
      <c r="G46" s="64">
        <f>IFERROR(__xludf.DUMMYFUNCTION("""COMPUTED_VALUE"""),111.1)</f>
        <v>111.1</v>
      </c>
      <c r="H46" s="158" t="str">
        <f>IFERROR(__xludf.DUMMYFUNCTION("""COMPUTED_VALUE"""),"Hoffman, Tea")</f>
        <v>Hoffman, Tea</v>
      </c>
      <c r="I46" s="159" t="str">
        <f>IFERROR(__xludf.DUMMYFUNCTION("""COMPUTED_VALUE"""),"180g")</f>
        <v>180g</v>
      </c>
      <c r="J46" s="64" t="str">
        <f>IFERROR(__xludf.DUMMYFUNCTION("""COMPUTED_VALUE"""),"195g")</f>
        <v>195g</v>
      </c>
      <c r="K46" s="64" t="str">
        <f>IFERROR(__xludf.DUMMYFUNCTION("""COMPUTED_VALUE"""),"205g")</f>
        <v>205g</v>
      </c>
      <c r="L46" s="64">
        <f>IFERROR(__xludf.DUMMYFUNCTION("""COMPUTED_VALUE"""),205.0)</f>
        <v>205</v>
      </c>
      <c r="M46" s="64" t="str">
        <f>IFERROR(__xludf.DUMMYFUNCTION("""COMPUTED_VALUE"""),"95g")</f>
        <v>95g</v>
      </c>
      <c r="N46" s="64" t="str">
        <f>IFERROR(__xludf.DUMMYFUNCTION("""COMPUTED_VALUE"""),"105g")</f>
        <v>105g</v>
      </c>
      <c r="O46" s="64" t="str">
        <f>IFERROR(__xludf.DUMMYFUNCTION("""COMPUTED_VALUE"""),"110x")</f>
        <v>110x</v>
      </c>
      <c r="P46" s="64">
        <f>IFERROR(__xludf.DUMMYFUNCTION("""COMPUTED_VALUE"""),105.0)</f>
        <v>105</v>
      </c>
      <c r="Q46" s="64" t="str">
        <f>IFERROR(__xludf.DUMMYFUNCTION("""COMPUTED_VALUE"""),"225g")</f>
        <v>225g</v>
      </c>
      <c r="R46" s="64" t="str">
        <f>IFERROR(__xludf.DUMMYFUNCTION("""COMPUTED_VALUE"""),"245g")</f>
        <v>245g</v>
      </c>
      <c r="S46" s="64" t="str">
        <f>IFERROR(__xludf.DUMMYFUNCTION("""COMPUTED_VALUE"""),"260x")</f>
        <v>260x</v>
      </c>
      <c r="T46" s="64">
        <f>IFERROR(__xludf.DUMMYFUNCTION("""COMPUTED_VALUE"""),245.0)</f>
        <v>245</v>
      </c>
      <c r="U46" s="64">
        <f>IFERROR(__xludf.DUMMYFUNCTION("""COMPUTED_VALUE"""),555.0)</f>
        <v>555</v>
      </c>
      <c r="V46" s="182">
        <f>IFERROR(__xludf.DUMMYFUNCTION("""COMPUTED_VALUE"""),4.995499549954996)</f>
        <v>4.99549955</v>
      </c>
      <c r="W46" s="57">
        <f>IFERROR(__xludf.DUMMYFUNCTION("""COMPUTED_VALUE"""),7.0)</f>
        <v>7</v>
      </c>
      <c r="X46" s="57"/>
      <c r="Y46" s="57"/>
    </row>
    <row r="47">
      <c r="B47" s="157" t="s">
        <v>121</v>
      </c>
      <c r="C47" s="157">
        <v>9.0</v>
      </c>
      <c r="D47" s="157" t="str">
        <f>IFERROR(__xludf.DUMMYFUNCTION("""COMPUTED_VALUE"""),"114 WJV")</f>
        <v>114 WJV</v>
      </c>
      <c r="E47" s="64" t="str">
        <f>IFERROR(__xludf.DUMMYFUNCTION("""COMPUTED_VALUE"""),"WJV")</f>
        <v>WJV</v>
      </c>
      <c r="F47" s="158" t="str">
        <f>IFERROR(__xludf.DUMMYFUNCTION("""COMPUTED_VALUE"""),"Cros-Lex")</f>
        <v>Cros-Lex</v>
      </c>
      <c r="G47" s="64">
        <f>IFERROR(__xludf.DUMMYFUNCTION("""COMPUTED_VALUE"""),109.0)</f>
        <v>109</v>
      </c>
      <c r="H47" s="158" t="str">
        <f>IFERROR(__xludf.DUMMYFUNCTION("""COMPUTED_VALUE"""),"Day, Gabriella")</f>
        <v>Day, Gabriella</v>
      </c>
      <c r="I47" s="159" t="str">
        <f>IFERROR(__xludf.DUMMYFUNCTION("""COMPUTED_VALUE"""),"165g")</f>
        <v>165g</v>
      </c>
      <c r="J47" s="64" t="str">
        <f>IFERROR(__xludf.DUMMYFUNCTION("""COMPUTED_VALUE"""),"175g")</f>
        <v>175g</v>
      </c>
      <c r="K47" s="64" t="str">
        <f>IFERROR(__xludf.DUMMYFUNCTION("""COMPUTED_VALUE"""),"180g")</f>
        <v>180g</v>
      </c>
      <c r="L47" s="64">
        <f>IFERROR(__xludf.DUMMYFUNCTION("""COMPUTED_VALUE"""),180.0)</f>
        <v>180</v>
      </c>
      <c r="M47" s="64" t="str">
        <f>IFERROR(__xludf.DUMMYFUNCTION("""COMPUTED_VALUE"""),"75g")</f>
        <v>75g</v>
      </c>
      <c r="N47" s="64" t="str">
        <f>IFERROR(__xludf.DUMMYFUNCTION("""COMPUTED_VALUE"""),"80g")</f>
        <v>80g</v>
      </c>
      <c r="O47" s="64" t="str">
        <f>IFERROR(__xludf.DUMMYFUNCTION("""COMPUTED_VALUE"""),"85x")</f>
        <v>85x</v>
      </c>
      <c r="P47" s="64">
        <f>IFERROR(__xludf.DUMMYFUNCTION("""COMPUTED_VALUE"""),80.0)</f>
        <v>80</v>
      </c>
      <c r="Q47" s="64" t="str">
        <f>IFERROR(__xludf.DUMMYFUNCTION("""COMPUTED_VALUE"""),"215g")</f>
        <v>215g</v>
      </c>
      <c r="R47" s="64" t="str">
        <f>IFERROR(__xludf.DUMMYFUNCTION("""COMPUTED_VALUE"""),"235g")</f>
        <v>235g</v>
      </c>
      <c r="S47" s="64" t="str">
        <f>IFERROR(__xludf.DUMMYFUNCTION("""COMPUTED_VALUE"""),"245g")</f>
        <v>245g</v>
      </c>
      <c r="T47" s="64">
        <f>IFERROR(__xludf.DUMMYFUNCTION("""COMPUTED_VALUE"""),245.0)</f>
        <v>245</v>
      </c>
      <c r="U47" s="64">
        <f>IFERROR(__xludf.DUMMYFUNCTION("""COMPUTED_VALUE"""),505.0)</f>
        <v>505</v>
      </c>
      <c r="V47" s="182">
        <f>IFERROR(__xludf.DUMMYFUNCTION("""COMPUTED_VALUE"""),4.63302752293578)</f>
        <v>4.633027523</v>
      </c>
      <c r="W47" s="57">
        <f>IFERROR(__xludf.DUMMYFUNCTION("""COMPUTED_VALUE"""),8.0)</f>
        <v>8</v>
      </c>
      <c r="X47" s="57"/>
      <c r="Y47" s="57"/>
    </row>
    <row r="48">
      <c r="B48" s="157" t="s">
        <v>122</v>
      </c>
      <c r="C48" s="157">
        <f>if(countif(F46:F47,F48)&gt;1,0,8)</f>
        <v>8</v>
      </c>
      <c r="D48" s="157" t="str">
        <f>IFERROR(__xludf.DUMMYFUNCTION("""COMPUTED_VALUE"""),"114 WJV")</f>
        <v>114 WJV</v>
      </c>
      <c r="E48" s="64" t="str">
        <f>IFERROR(__xludf.DUMMYFUNCTION("""COMPUTED_VALUE"""),"WJV")</f>
        <v>WJV</v>
      </c>
      <c r="F48" s="158" t="str">
        <f>IFERROR(__xludf.DUMMYFUNCTION("""COMPUTED_VALUE"""),"Standish-Sterling")</f>
        <v>Standish-Sterling</v>
      </c>
      <c r="G48" s="64">
        <f>IFERROR(__xludf.DUMMYFUNCTION("""COMPUTED_VALUE"""),113.2)</f>
        <v>113.2</v>
      </c>
      <c r="H48" s="158" t="str">
        <f>IFERROR(__xludf.DUMMYFUNCTION("""COMPUTED_VALUE"""),"Kopasz, Remi")</f>
        <v>Kopasz, Remi</v>
      </c>
      <c r="I48" s="159" t="str">
        <f>IFERROR(__xludf.DUMMYFUNCTION("""COMPUTED_VALUE"""),"140g")</f>
        <v>140g</v>
      </c>
      <c r="J48" s="64" t="str">
        <f>IFERROR(__xludf.DUMMYFUNCTION("""COMPUTED_VALUE"""),"155g")</f>
        <v>155g</v>
      </c>
      <c r="K48" s="64" t="str">
        <f>IFERROR(__xludf.DUMMYFUNCTION("""COMPUTED_VALUE"""),"165x")</f>
        <v>165x</v>
      </c>
      <c r="L48" s="64">
        <f>IFERROR(__xludf.DUMMYFUNCTION("""COMPUTED_VALUE"""),155.0)</f>
        <v>155</v>
      </c>
      <c r="M48" s="64" t="str">
        <f>IFERROR(__xludf.DUMMYFUNCTION("""COMPUTED_VALUE"""),"85g")</f>
        <v>85g</v>
      </c>
      <c r="N48" s="64" t="str">
        <f>IFERROR(__xludf.DUMMYFUNCTION("""COMPUTED_VALUE"""),"95g")</f>
        <v>95g</v>
      </c>
      <c r="O48" s="64" t="str">
        <f>IFERROR(__xludf.DUMMYFUNCTION("""COMPUTED_VALUE"""),"100x")</f>
        <v>100x</v>
      </c>
      <c r="P48" s="64">
        <f>IFERROR(__xludf.DUMMYFUNCTION("""COMPUTED_VALUE"""),95.0)</f>
        <v>95</v>
      </c>
      <c r="Q48" s="64" t="str">
        <f>IFERROR(__xludf.DUMMYFUNCTION("""COMPUTED_VALUE"""),"210g")</f>
        <v>210g</v>
      </c>
      <c r="R48" s="64" t="str">
        <f>IFERROR(__xludf.DUMMYFUNCTION("""COMPUTED_VALUE"""),"225g")</f>
        <v>225g</v>
      </c>
      <c r="S48" s="64" t="str">
        <f>IFERROR(__xludf.DUMMYFUNCTION("""COMPUTED_VALUE"""),"235g")</f>
        <v>235g</v>
      </c>
      <c r="T48" s="64">
        <f>IFERROR(__xludf.DUMMYFUNCTION("""COMPUTED_VALUE"""),235.0)</f>
        <v>235</v>
      </c>
      <c r="U48" s="64">
        <f>IFERROR(__xludf.DUMMYFUNCTION("""COMPUTED_VALUE"""),485.0)</f>
        <v>485</v>
      </c>
      <c r="V48" s="182">
        <f>IFERROR(__xludf.DUMMYFUNCTION("""COMPUTED_VALUE"""),4.284452296819788)</f>
        <v>4.284452297</v>
      </c>
      <c r="W48" s="57">
        <f>IFERROR(__xludf.DUMMYFUNCTION("""COMPUTED_VALUE"""),7.0)</f>
        <v>7</v>
      </c>
      <c r="X48" s="57"/>
      <c r="Y48" s="57"/>
    </row>
    <row r="49">
      <c r="B49" s="157" t="s">
        <v>123</v>
      </c>
      <c r="C49" s="157">
        <f>if(countif(F46:F48,F49)&gt;1,0,7)</f>
        <v>7</v>
      </c>
      <c r="D49" s="157" t="str">
        <f>IFERROR(__xludf.DUMMYFUNCTION("""COMPUTED_VALUE"""),"114 WJV")</f>
        <v>114 WJV</v>
      </c>
      <c r="E49" s="64" t="str">
        <f>IFERROR(__xludf.DUMMYFUNCTION("""COMPUTED_VALUE"""),"WJV")</f>
        <v>WJV</v>
      </c>
      <c r="F49" s="158" t="str">
        <f>IFERROR(__xludf.DUMMYFUNCTION("""COMPUTED_VALUE"""),"Central Montcalm")</f>
        <v>Central Montcalm</v>
      </c>
      <c r="G49" s="64">
        <f>IFERROR(__xludf.DUMMYFUNCTION("""COMPUTED_VALUE"""),110.9)</f>
        <v>110.9</v>
      </c>
      <c r="H49" s="158" t="str">
        <f>IFERROR(__xludf.DUMMYFUNCTION("""COMPUTED_VALUE"""),"Bohen, Lily")</f>
        <v>Bohen, Lily</v>
      </c>
      <c r="I49" s="159" t="str">
        <f>IFERROR(__xludf.DUMMYFUNCTION("""COMPUTED_VALUE"""),"120g")</f>
        <v>120g</v>
      </c>
      <c r="J49" s="64" t="str">
        <f>IFERROR(__xludf.DUMMYFUNCTION("""COMPUTED_VALUE"""),"135g")</f>
        <v>135g</v>
      </c>
      <c r="K49" s="64" t="str">
        <f>IFERROR(__xludf.DUMMYFUNCTION("""COMPUTED_VALUE"""),"145g")</f>
        <v>145g</v>
      </c>
      <c r="L49" s="64">
        <f>IFERROR(__xludf.DUMMYFUNCTION("""COMPUTED_VALUE"""),145.0)</f>
        <v>145</v>
      </c>
      <c r="M49" s="64" t="str">
        <f>IFERROR(__xludf.DUMMYFUNCTION("""COMPUTED_VALUE"""),"80g")</f>
        <v>80g</v>
      </c>
      <c r="N49" s="64" t="str">
        <f>IFERROR(__xludf.DUMMYFUNCTION("""COMPUTED_VALUE"""),"85g")</f>
        <v>85g</v>
      </c>
      <c r="O49" s="64" t="str">
        <f>IFERROR(__xludf.DUMMYFUNCTION("""COMPUTED_VALUE"""),"90x")</f>
        <v>90x</v>
      </c>
      <c r="P49" s="64">
        <f>IFERROR(__xludf.DUMMYFUNCTION("""COMPUTED_VALUE"""),85.0)</f>
        <v>85</v>
      </c>
      <c r="Q49" s="64" t="str">
        <f>IFERROR(__xludf.DUMMYFUNCTION("""COMPUTED_VALUE"""),"200g")</f>
        <v>200g</v>
      </c>
      <c r="R49" s="64" t="str">
        <f>IFERROR(__xludf.DUMMYFUNCTION("""COMPUTED_VALUE"""),"235g")</f>
        <v>235g</v>
      </c>
      <c r="S49" s="64" t="str">
        <f>IFERROR(__xludf.DUMMYFUNCTION("""COMPUTED_VALUE"""),"245g")</f>
        <v>245g</v>
      </c>
      <c r="T49" s="64">
        <f>IFERROR(__xludf.DUMMYFUNCTION("""COMPUTED_VALUE"""),245.0)</f>
        <v>245</v>
      </c>
      <c r="U49" s="64">
        <f>IFERROR(__xludf.DUMMYFUNCTION("""COMPUTED_VALUE"""),475.0)</f>
        <v>475</v>
      </c>
      <c r="V49" s="182">
        <f>IFERROR(__xludf.DUMMYFUNCTION("""COMPUTED_VALUE"""),4.283137962128043)</f>
        <v>4.283137962</v>
      </c>
      <c r="W49" s="57">
        <f>IFERROR(__xludf.DUMMYFUNCTION("""COMPUTED_VALUE"""),8.0)</f>
        <v>8</v>
      </c>
      <c r="X49" s="57"/>
      <c r="Y49" s="57"/>
    </row>
    <row r="50">
      <c r="B50" s="157" t="s">
        <v>124</v>
      </c>
      <c r="C50" s="157">
        <f>if(countif(F46:F49,F50)&gt;1,0,6)</f>
        <v>6</v>
      </c>
      <c r="D50" s="157" t="str">
        <f>IFERROR(__xludf.DUMMYFUNCTION("""COMPUTED_VALUE"""),"114 WJV")</f>
        <v>114 WJV</v>
      </c>
      <c r="E50" s="64" t="str">
        <f>IFERROR(__xludf.DUMMYFUNCTION("""COMPUTED_VALUE"""),"WJV")</f>
        <v>WJV</v>
      </c>
      <c r="F50" s="158" t="str">
        <f>IFERROR(__xludf.DUMMYFUNCTION("""COMPUTED_VALUE"""),"Port Huron")</f>
        <v>Port Huron</v>
      </c>
      <c r="G50" s="64">
        <f>IFERROR(__xludf.DUMMYFUNCTION("""COMPUTED_VALUE"""),110.2)</f>
        <v>110.2</v>
      </c>
      <c r="H50" s="158" t="str">
        <f>IFERROR(__xludf.DUMMYFUNCTION("""COMPUTED_VALUE"""),"Harris, Halle")</f>
        <v>Harris, Halle</v>
      </c>
      <c r="I50" s="159" t="str">
        <f>IFERROR(__xludf.DUMMYFUNCTION("""COMPUTED_VALUE"""),"145g")</f>
        <v>145g</v>
      </c>
      <c r="J50" s="64" t="str">
        <f>IFERROR(__xludf.DUMMYFUNCTION("""COMPUTED_VALUE"""),"155g")</f>
        <v>155g</v>
      </c>
      <c r="K50" s="64" t="str">
        <f>IFERROR(__xludf.DUMMYFUNCTION("""COMPUTED_VALUE"""),"165x")</f>
        <v>165x</v>
      </c>
      <c r="L50" s="64">
        <f>IFERROR(__xludf.DUMMYFUNCTION("""COMPUTED_VALUE"""),155.0)</f>
        <v>155</v>
      </c>
      <c r="M50" s="64" t="str">
        <f>IFERROR(__xludf.DUMMYFUNCTION("""COMPUTED_VALUE"""),"90g")</f>
        <v>90g</v>
      </c>
      <c r="N50" s="64" t="str">
        <f>IFERROR(__xludf.DUMMYFUNCTION("""COMPUTED_VALUE"""),"95g")</f>
        <v>95g</v>
      </c>
      <c r="O50" s="64" t="str">
        <f>IFERROR(__xludf.DUMMYFUNCTION("""COMPUTED_VALUE"""),"105x")</f>
        <v>105x</v>
      </c>
      <c r="P50" s="64">
        <f>IFERROR(__xludf.DUMMYFUNCTION("""COMPUTED_VALUE"""),95.0)</f>
        <v>95</v>
      </c>
      <c r="Q50" s="64" t="str">
        <f>IFERROR(__xludf.DUMMYFUNCTION("""COMPUTED_VALUE"""),"215x")</f>
        <v>215x</v>
      </c>
      <c r="R50" s="64" t="str">
        <f>IFERROR(__xludf.DUMMYFUNCTION("""COMPUTED_VALUE"""),"215g")</f>
        <v>215g</v>
      </c>
      <c r="S50" s="64" t="str">
        <f>IFERROR(__xludf.DUMMYFUNCTION("""COMPUTED_VALUE"""),"220g")</f>
        <v>220g</v>
      </c>
      <c r="T50" s="64">
        <f>IFERROR(__xludf.DUMMYFUNCTION("""COMPUTED_VALUE"""),220.0)</f>
        <v>220</v>
      </c>
      <c r="U50" s="64">
        <f>IFERROR(__xludf.DUMMYFUNCTION("""COMPUTED_VALUE"""),470.0)</f>
        <v>470</v>
      </c>
      <c r="V50" s="182">
        <f>IFERROR(__xludf.DUMMYFUNCTION("""COMPUTED_VALUE"""),4.26497277676951)</f>
        <v>4.264972777</v>
      </c>
      <c r="W50" s="57">
        <f>IFERROR(__xludf.DUMMYFUNCTION("""COMPUTED_VALUE"""),6.0)</f>
        <v>6</v>
      </c>
      <c r="X50" s="57"/>
      <c r="Y50" s="57"/>
    </row>
    <row r="51">
      <c r="B51" s="157" t="s">
        <v>125</v>
      </c>
      <c r="C51" s="157">
        <f>if(countif(F46:F50,F51)&gt;1,0,5)</f>
        <v>5</v>
      </c>
      <c r="D51" s="157" t="str">
        <f>IFERROR(__xludf.DUMMYFUNCTION("""COMPUTED_VALUE"""),"114 WJV")</f>
        <v>114 WJV</v>
      </c>
      <c r="E51" s="64" t="str">
        <f>IFERROR(__xludf.DUMMYFUNCTION("""COMPUTED_VALUE"""),"WJV")</f>
        <v>WJV</v>
      </c>
      <c r="F51" s="158" t="str">
        <f>IFERROR(__xludf.DUMMYFUNCTION("""COMPUTED_VALUE"""),"Traverse City West")</f>
        <v>Traverse City West</v>
      </c>
      <c r="G51" s="64">
        <f>IFERROR(__xludf.DUMMYFUNCTION("""COMPUTED_VALUE"""),113.6)</f>
        <v>113.6</v>
      </c>
      <c r="H51" s="158" t="str">
        <f>IFERROR(__xludf.DUMMYFUNCTION("""COMPUTED_VALUE"""),"Barfield, Skyler")</f>
        <v>Barfield, Skyler</v>
      </c>
      <c r="I51" s="159" t="str">
        <f>IFERROR(__xludf.DUMMYFUNCTION("""COMPUTED_VALUE"""),"170x")</f>
        <v>170x</v>
      </c>
      <c r="J51" s="64" t="str">
        <f>IFERROR(__xludf.DUMMYFUNCTION("""COMPUTED_VALUE"""),"170g")</f>
        <v>170g</v>
      </c>
      <c r="K51" s="64" t="str">
        <f>IFERROR(__xludf.DUMMYFUNCTION("""COMPUTED_VALUE"""),"175g")</f>
        <v>175g</v>
      </c>
      <c r="L51" s="64">
        <f>IFERROR(__xludf.DUMMYFUNCTION("""COMPUTED_VALUE"""),175.0)</f>
        <v>175</v>
      </c>
      <c r="M51" s="64" t="str">
        <f>IFERROR(__xludf.DUMMYFUNCTION("""COMPUTED_VALUE"""),"110g")</f>
        <v>110g</v>
      </c>
      <c r="N51" s="64" t="str">
        <f>IFERROR(__xludf.DUMMYFUNCTION("""COMPUTED_VALUE"""),"120x")</f>
        <v>120x</v>
      </c>
      <c r="O51" s="64" t="str">
        <f>IFERROR(__xludf.DUMMYFUNCTION("""COMPUTED_VALUE"""),"120x")</f>
        <v>120x</v>
      </c>
      <c r="P51" s="64">
        <f>IFERROR(__xludf.DUMMYFUNCTION("""COMPUTED_VALUE"""),110.0)</f>
        <v>110</v>
      </c>
      <c r="Q51" s="64" t="str">
        <f>IFERROR(__xludf.DUMMYFUNCTION("""COMPUTED_VALUE"""),"155g")</f>
        <v>155g</v>
      </c>
      <c r="R51" s="64" t="str">
        <f>IFERROR(__xludf.DUMMYFUNCTION("""COMPUTED_VALUE"""),"165g")</f>
        <v>165g</v>
      </c>
      <c r="S51" s="64" t="str">
        <f>IFERROR(__xludf.DUMMYFUNCTION("""COMPUTED_VALUE"""),"175g")</f>
        <v>175g</v>
      </c>
      <c r="T51" s="64">
        <f>IFERROR(__xludf.DUMMYFUNCTION("""COMPUTED_VALUE"""),175.0)</f>
        <v>175</v>
      </c>
      <c r="U51" s="64">
        <f>IFERROR(__xludf.DUMMYFUNCTION("""COMPUTED_VALUE"""),460.0)</f>
        <v>460</v>
      </c>
      <c r="V51" s="182">
        <f>IFERROR(__xludf.DUMMYFUNCTION("""COMPUTED_VALUE"""),4.049295774647888)</f>
        <v>4.049295775</v>
      </c>
      <c r="W51" s="57">
        <f>IFERROR(__xludf.DUMMYFUNCTION("""COMPUTED_VALUE"""),6.0)</f>
        <v>6</v>
      </c>
      <c r="X51" s="57"/>
      <c r="Y51" s="57"/>
    </row>
    <row r="52">
      <c r="B52" s="157" t="s">
        <v>126</v>
      </c>
      <c r="C52" s="157">
        <f>if(countif(F46:F51,F52)&gt;1,0,4)</f>
        <v>4</v>
      </c>
      <c r="D52" s="157" t="str">
        <f>IFERROR(__xludf.DUMMYFUNCTION("""COMPUTED_VALUE"""),"114 WJV")</f>
        <v>114 WJV</v>
      </c>
      <c r="E52" s="64" t="str">
        <f>IFERROR(__xludf.DUMMYFUNCTION("""COMPUTED_VALUE"""),"WJV")</f>
        <v>WJV</v>
      </c>
      <c r="F52" s="158" t="str">
        <f>IFERROR(__xludf.DUMMYFUNCTION("""COMPUTED_VALUE"""),"Port Huron")</f>
        <v>Port Huron</v>
      </c>
      <c r="G52" s="64">
        <f>IFERROR(__xludf.DUMMYFUNCTION("""COMPUTED_VALUE"""),108.2)</f>
        <v>108.2</v>
      </c>
      <c r="H52" s="158" t="str">
        <f>IFERROR(__xludf.DUMMYFUNCTION("""COMPUTED_VALUE"""),"Pionk, Abi")</f>
        <v>Pionk, Abi</v>
      </c>
      <c r="I52" s="159" t="str">
        <f>IFERROR(__xludf.DUMMYFUNCTION("""COMPUTED_VALUE"""),"145g")</f>
        <v>145g</v>
      </c>
      <c r="J52" s="64" t="str">
        <f>IFERROR(__xludf.DUMMYFUNCTION("""COMPUTED_VALUE"""),"155g")</f>
        <v>155g</v>
      </c>
      <c r="K52" s="64" t="str">
        <f>IFERROR(__xludf.DUMMYFUNCTION("""COMPUTED_VALUE"""),"165g")</f>
        <v>165g</v>
      </c>
      <c r="L52" s="64">
        <f>IFERROR(__xludf.DUMMYFUNCTION("""COMPUTED_VALUE"""),165.0)</f>
        <v>165</v>
      </c>
      <c r="M52" s="64" t="str">
        <f>IFERROR(__xludf.DUMMYFUNCTION("""COMPUTED_VALUE"""),"65g")</f>
        <v>65g</v>
      </c>
      <c r="N52" s="64" t="str">
        <f>IFERROR(__xludf.DUMMYFUNCTION("""COMPUTED_VALUE"""),"70g")</f>
        <v>70g</v>
      </c>
      <c r="O52" s="64" t="str">
        <f>IFERROR(__xludf.DUMMYFUNCTION("""COMPUTED_VALUE"""),"75x")</f>
        <v>75x</v>
      </c>
      <c r="P52" s="64">
        <f>IFERROR(__xludf.DUMMYFUNCTION("""COMPUTED_VALUE"""),70.0)</f>
        <v>70</v>
      </c>
      <c r="Q52" s="64" t="str">
        <f>IFERROR(__xludf.DUMMYFUNCTION("""COMPUTED_VALUE"""),"195g")</f>
        <v>195g</v>
      </c>
      <c r="R52" s="64" t="str">
        <f>IFERROR(__xludf.DUMMYFUNCTION("""COMPUTED_VALUE"""),"210g")</f>
        <v>210g</v>
      </c>
      <c r="S52" s="64" t="str">
        <f>IFERROR(__xludf.DUMMYFUNCTION("""COMPUTED_VALUE"""),"220g")</f>
        <v>220g</v>
      </c>
      <c r="T52" s="64">
        <f>IFERROR(__xludf.DUMMYFUNCTION("""COMPUTED_VALUE"""),220.0)</f>
        <v>220</v>
      </c>
      <c r="U52" s="64">
        <f>IFERROR(__xludf.DUMMYFUNCTION("""COMPUTED_VALUE"""),455.0)</f>
        <v>455</v>
      </c>
      <c r="V52" s="182">
        <f>IFERROR(__xludf.DUMMYFUNCTION("""COMPUTED_VALUE"""),4.205175600739372)</f>
        <v>4.205175601</v>
      </c>
      <c r="W52" s="57">
        <f>IFERROR(__xludf.DUMMYFUNCTION("""COMPUTED_VALUE"""),8.0)</f>
        <v>8</v>
      </c>
      <c r="X52" s="57"/>
      <c r="Y52" s="57"/>
    </row>
    <row r="53">
      <c r="B53" s="157" t="s">
        <v>127</v>
      </c>
      <c r="C53" s="157">
        <f>if(countif(F46:F52,F53)&gt;1,0,3)</f>
        <v>3</v>
      </c>
      <c r="D53" s="157" t="str">
        <f>IFERROR(__xludf.DUMMYFUNCTION("""COMPUTED_VALUE"""),"114 WJV")</f>
        <v>114 WJV</v>
      </c>
      <c r="E53" s="64" t="str">
        <f>IFERROR(__xludf.DUMMYFUNCTION("""COMPUTED_VALUE"""),"WJV")</f>
        <v>WJV</v>
      </c>
      <c r="F53" s="158" t="str">
        <f>IFERROR(__xludf.DUMMYFUNCTION("""COMPUTED_VALUE"""),"North Branch")</f>
        <v>North Branch</v>
      </c>
      <c r="G53" s="64">
        <f>IFERROR(__xludf.DUMMYFUNCTION("""COMPUTED_VALUE"""),113.8)</f>
        <v>113.8</v>
      </c>
      <c r="H53" s="158" t="str">
        <f>IFERROR(__xludf.DUMMYFUNCTION("""COMPUTED_VALUE"""),"Mauk, Jasmine")</f>
        <v>Mauk, Jasmine</v>
      </c>
      <c r="I53" s="159" t="str">
        <f>IFERROR(__xludf.DUMMYFUNCTION("""COMPUTED_VALUE"""),"130g")</f>
        <v>130g</v>
      </c>
      <c r="J53" s="64" t="str">
        <f>IFERROR(__xludf.DUMMYFUNCTION("""COMPUTED_VALUE"""),"145g")</f>
        <v>145g</v>
      </c>
      <c r="K53" s="64" t="str">
        <f>IFERROR(__xludf.DUMMYFUNCTION("""COMPUTED_VALUE"""),"150g")</f>
        <v>150g</v>
      </c>
      <c r="L53" s="64">
        <f>IFERROR(__xludf.DUMMYFUNCTION("""COMPUTED_VALUE"""),150.0)</f>
        <v>150</v>
      </c>
      <c r="M53" s="64" t="str">
        <f>IFERROR(__xludf.DUMMYFUNCTION("""COMPUTED_VALUE"""),"70g")</f>
        <v>70g</v>
      </c>
      <c r="N53" s="64" t="str">
        <f>IFERROR(__xludf.DUMMYFUNCTION("""COMPUTED_VALUE"""),"80x")</f>
        <v>80x</v>
      </c>
      <c r="O53" s="64" t="str">
        <f>IFERROR(__xludf.DUMMYFUNCTION("""COMPUTED_VALUE"""),"80x")</f>
        <v>80x</v>
      </c>
      <c r="P53" s="64">
        <f>IFERROR(__xludf.DUMMYFUNCTION("""COMPUTED_VALUE"""),70.0)</f>
        <v>70</v>
      </c>
      <c r="Q53" s="64" t="str">
        <f>IFERROR(__xludf.DUMMYFUNCTION("""COMPUTED_VALUE"""),"200g")</f>
        <v>200g</v>
      </c>
      <c r="R53" s="64" t="str">
        <f>IFERROR(__xludf.DUMMYFUNCTION("""COMPUTED_VALUE"""),"220g")</f>
        <v>220g</v>
      </c>
      <c r="S53" s="64" t="str">
        <f>IFERROR(__xludf.DUMMYFUNCTION("""COMPUTED_VALUE"""),"235g")</f>
        <v>235g</v>
      </c>
      <c r="T53" s="64">
        <f>IFERROR(__xludf.DUMMYFUNCTION("""COMPUTED_VALUE"""),235.0)</f>
        <v>235</v>
      </c>
      <c r="U53" s="64">
        <f>IFERROR(__xludf.DUMMYFUNCTION("""COMPUTED_VALUE"""),455.0)</f>
        <v>455</v>
      </c>
      <c r="V53" s="182">
        <f>IFERROR(__xludf.DUMMYFUNCTION("""COMPUTED_VALUE"""),3.9982425307557117)</f>
        <v>3.998242531</v>
      </c>
      <c r="W53" s="57">
        <f>IFERROR(__xludf.DUMMYFUNCTION("""COMPUTED_VALUE"""),7.0)</f>
        <v>7</v>
      </c>
      <c r="X53" s="57"/>
      <c r="Y53" s="57"/>
    </row>
    <row r="54">
      <c r="B54" s="157" t="s">
        <v>128</v>
      </c>
      <c r="C54" s="157">
        <f>if(countif(F46:F53,F54)&gt;1,0,2)</f>
        <v>2</v>
      </c>
      <c r="D54" s="157" t="str">
        <f>IFERROR(__xludf.DUMMYFUNCTION("""COMPUTED_VALUE"""),"114 WJV")</f>
        <v>114 WJV</v>
      </c>
      <c r="E54" s="64" t="str">
        <f>IFERROR(__xludf.DUMMYFUNCTION("""COMPUTED_VALUE"""),"WJV")</f>
        <v>WJV</v>
      </c>
      <c r="F54" s="158" t="str">
        <f>IFERROR(__xludf.DUMMYFUNCTION("""COMPUTED_VALUE"""),"Whitehall")</f>
        <v>Whitehall</v>
      </c>
      <c r="G54" s="64">
        <f>IFERROR(__xludf.DUMMYFUNCTION("""COMPUTED_VALUE"""),112.5)</f>
        <v>112.5</v>
      </c>
      <c r="H54" s="158" t="str">
        <f>IFERROR(__xludf.DUMMYFUNCTION("""COMPUTED_VALUE"""),"Kennedy, Tristyn")</f>
        <v>Kennedy, Tristyn</v>
      </c>
      <c r="I54" s="159" t="str">
        <f>IFERROR(__xludf.DUMMYFUNCTION("""COMPUTED_VALUE"""),"140g")</f>
        <v>140g</v>
      </c>
      <c r="J54" s="64" t="str">
        <f>IFERROR(__xludf.DUMMYFUNCTION("""COMPUTED_VALUE"""),"150g")</f>
        <v>150g</v>
      </c>
      <c r="K54" s="64" t="str">
        <f>IFERROR(__xludf.DUMMYFUNCTION("""COMPUTED_VALUE"""),"155x")</f>
        <v>155x</v>
      </c>
      <c r="L54" s="64">
        <f>IFERROR(__xludf.DUMMYFUNCTION("""COMPUTED_VALUE"""),150.0)</f>
        <v>150</v>
      </c>
      <c r="M54" s="64" t="str">
        <f>IFERROR(__xludf.DUMMYFUNCTION("""COMPUTED_VALUE"""),"75g")</f>
        <v>75g</v>
      </c>
      <c r="N54" s="64" t="str">
        <f>IFERROR(__xludf.DUMMYFUNCTION("""COMPUTED_VALUE"""),"80g")</f>
        <v>80g</v>
      </c>
      <c r="O54" s="64" t="str">
        <f>IFERROR(__xludf.DUMMYFUNCTION("""COMPUTED_VALUE"""),"90x")</f>
        <v>90x</v>
      </c>
      <c r="P54" s="64">
        <f>IFERROR(__xludf.DUMMYFUNCTION("""COMPUTED_VALUE"""),80.0)</f>
        <v>80</v>
      </c>
      <c r="Q54" s="64" t="str">
        <f>IFERROR(__xludf.DUMMYFUNCTION("""COMPUTED_VALUE"""),"200g")</f>
        <v>200g</v>
      </c>
      <c r="R54" s="64" t="str">
        <f>IFERROR(__xludf.DUMMYFUNCTION("""COMPUTED_VALUE"""),"220g")</f>
        <v>220g</v>
      </c>
      <c r="S54" s="64" t="str">
        <f>IFERROR(__xludf.DUMMYFUNCTION("""COMPUTED_VALUE"""),"235x")</f>
        <v>235x</v>
      </c>
      <c r="T54" s="64">
        <f>IFERROR(__xludf.DUMMYFUNCTION("""COMPUTED_VALUE"""),220.0)</f>
        <v>220</v>
      </c>
      <c r="U54" s="64">
        <f>IFERROR(__xludf.DUMMYFUNCTION("""COMPUTED_VALUE"""),450.0)</f>
        <v>450</v>
      </c>
      <c r="V54" s="182">
        <f>IFERROR(__xludf.DUMMYFUNCTION("""COMPUTED_VALUE"""),4.0)</f>
        <v>4</v>
      </c>
      <c r="W54" s="57">
        <f>IFERROR(__xludf.DUMMYFUNCTION("""COMPUTED_VALUE"""),6.0)</f>
        <v>6</v>
      </c>
      <c r="X54" s="57"/>
      <c r="Y54" s="57"/>
    </row>
    <row r="55">
      <c r="B55" s="157" t="s">
        <v>129</v>
      </c>
      <c r="C55" s="157">
        <f>if(countif(F46:F54,F55)&gt;1,0,1)</f>
        <v>0</v>
      </c>
      <c r="D55" s="157" t="str">
        <f>IFERROR(__xludf.DUMMYFUNCTION("""COMPUTED_VALUE"""),"114 WJV")</f>
        <v>114 WJV</v>
      </c>
      <c r="E55" s="64" t="str">
        <f>IFERROR(__xludf.DUMMYFUNCTION("""COMPUTED_VALUE"""),"WJV")</f>
        <v>WJV</v>
      </c>
      <c r="F55" s="158" t="str">
        <f>IFERROR(__xludf.DUMMYFUNCTION("""COMPUTED_VALUE"""),"Port Huron")</f>
        <v>Port Huron</v>
      </c>
      <c r="G55" s="64">
        <f>IFERROR(__xludf.DUMMYFUNCTION("""COMPUTED_VALUE"""),112.8)</f>
        <v>112.8</v>
      </c>
      <c r="H55" s="158" t="str">
        <f>IFERROR(__xludf.DUMMYFUNCTION("""COMPUTED_VALUE"""),"Stocks, Bryanna")</f>
        <v>Stocks, Bryanna</v>
      </c>
      <c r="I55" s="159" t="str">
        <f>IFERROR(__xludf.DUMMYFUNCTION("""COMPUTED_VALUE"""),"130g")</f>
        <v>130g</v>
      </c>
      <c r="J55" s="64" t="str">
        <f>IFERROR(__xludf.DUMMYFUNCTION("""COMPUTED_VALUE"""),"140g")</f>
        <v>140g</v>
      </c>
      <c r="K55" s="64" t="str">
        <f>IFERROR(__xludf.DUMMYFUNCTION("""COMPUTED_VALUE"""),"150g")</f>
        <v>150g</v>
      </c>
      <c r="L55" s="64">
        <f>IFERROR(__xludf.DUMMYFUNCTION("""COMPUTED_VALUE"""),150.0)</f>
        <v>150</v>
      </c>
      <c r="M55" s="64" t="str">
        <f>IFERROR(__xludf.DUMMYFUNCTION("""COMPUTED_VALUE"""),"70g")</f>
        <v>70g</v>
      </c>
      <c r="N55" s="64" t="str">
        <f>IFERROR(__xludf.DUMMYFUNCTION("""COMPUTED_VALUE"""),"80g")</f>
        <v>80g</v>
      </c>
      <c r="O55" s="64" t="str">
        <f>IFERROR(__xludf.DUMMYFUNCTION("""COMPUTED_VALUE"""),"85x")</f>
        <v>85x</v>
      </c>
      <c r="P55" s="64">
        <f>IFERROR(__xludf.DUMMYFUNCTION("""COMPUTED_VALUE"""),80.0)</f>
        <v>80</v>
      </c>
      <c r="Q55" s="64" t="str">
        <f>IFERROR(__xludf.DUMMYFUNCTION("""COMPUTED_VALUE"""),"205g")</f>
        <v>205g</v>
      </c>
      <c r="R55" s="64" t="str">
        <f>IFERROR(__xludf.DUMMYFUNCTION("""COMPUTED_VALUE"""),"220g")</f>
        <v>220g</v>
      </c>
      <c r="S55" s="64" t="str">
        <f>IFERROR(__xludf.DUMMYFUNCTION("""COMPUTED_VALUE"""),"230x")</f>
        <v>230x</v>
      </c>
      <c r="T55" s="64">
        <f>IFERROR(__xludf.DUMMYFUNCTION("""COMPUTED_VALUE"""),220.0)</f>
        <v>220</v>
      </c>
      <c r="U55" s="64">
        <f>IFERROR(__xludf.DUMMYFUNCTION("""COMPUTED_VALUE"""),450.0)</f>
        <v>450</v>
      </c>
      <c r="V55" s="182">
        <f>IFERROR(__xludf.DUMMYFUNCTION("""COMPUTED_VALUE"""),3.9893617021276597)</f>
        <v>3.989361702</v>
      </c>
      <c r="W55" s="57">
        <f>IFERROR(__xludf.DUMMYFUNCTION("""COMPUTED_VALUE"""),7.0)</f>
        <v>7</v>
      </c>
      <c r="X55" s="57"/>
      <c r="Y55" s="57"/>
    </row>
    <row r="56">
      <c r="A56" s="67">
        <v>114.0</v>
      </c>
      <c r="B56" s="68" t="s">
        <v>542</v>
      </c>
      <c r="C56" s="68">
        <v>0.0</v>
      </c>
      <c r="D56" s="68" t="str">
        <f>IFERROR(__xludf.DUMMYFUNCTION("""COMPUTED_VALUE"""),"114 WJV")</f>
        <v>114 WJV</v>
      </c>
      <c r="E56" s="69" t="str">
        <f>IFERROR(__xludf.DUMMYFUNCTION("""COMPUTED_VALUE"""),"WJV")</f>
        <v>WJV</v>
      </c>
      <c r="F56" s="70" t="str">
        <f>IFERROR(__xludf.DUMMYFUNCTION("""COMPUTED_VALUE"""),"Edwardsburg")</f>
        <v>Edwardsburg</v>
      </c>
      <c r="G56" s="69">
        <f>IFERROR(__xludf.DUMMYFUNCTION("""COMPUTED_VALUE"""),107.8)</f>
        <v>107.8</v>
      </c>
      <c r="H56" s="70" t="str">
        <f>IFERROR(__xludf.DUMMYFUNCTION("""COMPUTED_VALUE"""),"Bennett, Kylie")</f>
        <v>Bennett, Kylie</v>
      </c>
      <c r="I56" s="71" t="str">
        <f>IFERROR(__xludf.DUMMYFUNCTION("""COMPUTED_VALUE"""),"120g")</f>
        <v>120g</v>
      </c>
      <c r="J56" s="69" t="str">
        <f>IFERROR(__xludf.DUMMYFUNCTION("""COMPUTED_VALUE"""),"135g")</f>
        <v>135g</v>
      </c>
      <c r="K56" s="69" t="str">
        <f>IFERROR(__xludf.DUMMYFUNCTION("""COMPUTED_VALUE"""),"145g")</f>
        <v>145g</v>
      </c>
      <c r="L56" s="69">
        <f>IFERROR(__xludf.DUMMYFUNCTION("""COMPUTED_VALUE"""),145.0)</f>
        <v>145</v>
      </c>
      <c r="M56" s="69" t="str">
        <f>IFERROR(__xludf.DUMMYFUNCTION("""COMPUTED_VALUE"""),"75g")</f>
        <v>75g</v>
      </c>
      <c r="N56" s="69" t="str">
        <f>IFERROR(__xludf.DUMMYFUNCTION("""COMPUTED_VALUE"""),"80g")</f>
        <v>80g</v>
      </c>
      <c r="O56" s="69" t="str">
        <f>IFERROR(__xludf.DUMMYFUNCTION("""COMPUTED_VALUE"""),"90x")</f>
        <v>90x</v>
      </c>
      <c r="P56" s="69">
        <f>IFERROR(__xludf.DUMMYFUNCTION("""COMPUTED_VALUE"""),80.0)</f>
        <v>80</v>
      </c>
      <c r="Q56" s="69" t="str">
        <f>IFERROR(__xludf.DUMMYFUNCTION("""COMPUTED_VALUE"""),"185g")</f>
        <v>185g</v>
      </c>
      <c r="R56" s="69" t="str">
        <f>IFERROR(__xludf.DUMMYFUNCTION("""COMPUTED_VALUE"""),"205g")</f>
        <v>205g</v>
      </c>
      <c r="S56" s="69" t="str">
        <f>IFERROR(__xludf.DUMMYFUNCTION("""COMPUTED_VALUE"""),"220g")</f>
        <v>220g</v>
      </c>
      <c r="T56" s="69">
        <f>IFERROR(__xludf.DUMMYFUNCTION("""COMPUTED_VALUE"""),220.0)</f>
        <v>220</v>
      </c>
      <c r="U56" s="69">
        <f>IFERROR(__xludf.DUMMYFUNCTION("""COMPUTED_VALUE"""),445.0)</f>
        <v>445</v>
      </c>
      <c r="V56" s="183">
        <f>IFERROR(__xludf.DUMMYFUNCTION("""COMPUTED_VALUE"""),4.128014842300557)</f>
        <v>4.128014842</v>
      </c>
      <c r="W56" s="156">
        <f>IFERROR(__xludf.DUMMYFUNCTION("""COMPUTED_VALUE"""),8.0)</f>
        <v>8</v>
      </c>
      <c r="X56" s="156"/>
      <c r="Y56" s="156"/>
    </row>
    <row r="57">
      <c r="B57" s="68" t="s">
        <v>543</v>
      </c>
      <c r="C57" s="68">
        <v>0.0</v>
      </c>
      <c r="D57" s="68" t="str">
        <f>IFERROR(__xludf.DUMMYFUNCTION("""COMPUTED_VALUE"""),"114 WJV")</f>
        <v>114 WJV</v>
      </c>
      <c r="E57" s="69" t="str">
        <f>IFERROR(__xludf.DUMMYFUNCTION("""COMPUTED_VALUE"""),"WJV")</f>
        <v>WJV</v>
      </c>
      <c r="F57" s="70" t="str">
        <f>IFERROR(__xludf.DUMMYFUNCTION("""COMPUTED_VALUE"""),"Flushing")</f>
        <v>Flushing</v>
      </c>
      <c r="G57" s="69">
        <f>IFERROR(__xludf.DUMMYFUNCTION("""COMPUTED_VALUE"""),113.1)</f>
        <v>113.1</v>
      </c>
      <c r="H57" s="70" t="str">
        <f>IFERROR(__xludf.DUMMYFUNCTION("""COMPUTED_VALUE"""),"McNamara, Julie")</f>
        <v>McNamara, Julie</v>
      </c>
      <c r="I57" s="71" t="str">
        <f>IFERROR(__xludf.DUMMYFUNCTION("""COMPUTED_VALUE"""),"140g")</f>
        <v>140g</v>
      </c>
      <c r="J57" s="69" t="str">
        <f>IFERROR(__xludf.DUMMYFUNCTION("""COMPUTED_VALUE"""),"150g")</f>
        <v>150g</v>
      </c>
      <c r="K57" s="69" t="str">
        <f>IFERROR(__xludf.DUMMYFUNCTION("""COMPUTED_VALUE"""),"155x")</f>
        <v>155x</v>
      </c>
      <c r="L57" s="69">
        <f>IFERROR(__xludf.DUMMYFUNCTION("""COMPUTED_VALUE"""),150.0)</f>
        <v>150</v>
      </c>
      <c r="M57" s="69" t="str">
        <f>IFERROR(__xludf.DUMMYFUNCTION("""COMPUTED_VALUE"""),"85g")</f>
        <v>85g</v>
      </c>
      <c r="N57" s="69" t="str">
        <f>IFERROR(__xludf.DUMMYFUNCTION("""COMPUTED_VALUE"""),"95g")</f>
        <v>95g</v>
      </c>
      <c r="O57" s="69" t="str">
        <f>IFERROR(__xludf.DUMMYFUNCTION("""COMPUTED_VALUE"""),"100x")</f>
        <v>100x</v>
      </c>
      <c r="P57" s="69">
        <f>IFERROR(__xludf.DUMMYFUNCTION("""COMPUTED_VALUE"""),95.0)</f>
        <v>95</v>
      </c>
      <c r="Q57" s="69" t="str">
        <f>IFERROR(__xludf.DUMMYFUNCTION("""COMPUTED_VALUE"""),"185g")</f>
        <v>185g</v>
      </c>
      <c r="R57" s="69" t="str">
        <f>IFERROR(__xludf.DUMMYFUNCTION("""COMPUTED_VALUE"""),"195g")</f>
        <v>195g</v>
      </c>
      <c r="S57" s="69" t="str">
        <f>IFERROR(__xludf.DUMMYFUNCTION("""COMPUTED_VALUE"""),"200x")</f>
        <v>200x</v>
      </c>
      <c r="T57" s="69">
        <f>IFERROR(__xludf.DUMMYFUNCTION("""COMPUTED_VALUE"""),195.0)</f>
        <v>195</v>
      </c>
      <c r="U57" s="69">
        <f>IFERROR(__xludf.DUMMYFUNCTION("""COMPUTED_VALUE"""),440.0)</f>
        <v>440</v>
      </c>
      <c r="V57" s="183">
        <f>IFERROR(__xludf.DUMMYFUNCTION("""COMPUTED_VALUE"""),3.8903625110521665)</f>
        <v>3.890362511</v>
      </c>
      <c r="W57" s="156">
        <f>IFERROR(__xludf.DUMMYFUNCTION("""COMPUTED_VALUE"""),6.0)</f>
        <v>6</v>
      </c>
      <c r="X57" s="156"/>
      <c r="Y57" s="156"/>
    </row>
    <row r="58">
      <c r="B58" s="68" t="s">
        <v>544</v>
      </c>
      <c r="C58" s="68">
        <v>0.0</v>
      </c>
      <c r="D58" s="68" t="str">
        <f>IFERROR(__xludf.DUMMYFUNCTION("""COMPUTED_VALUE"""),"114 WJV")</f>
        <v>114 WJV</v>
      </c>
      <c r="E58" s="69" t="str">
        <f>IFERROR(__xludf.DUMMYFUNCTION("""COMPUTED_VALUE"""),"WJV")</f>
        <v>WJV</v>
      </c>
      <c r="F58" s="70" t="str">
        <f>IFERROR(__xludf.DUMMYFUNCTION("""COMPUTED_VALUE"""),"Central Montcalm")</f>
        <v>Central Montcalm</v>
      </c>
      <c r="G58" s="69">
        <f>IFERROR(__xludf.DUMMYFUNCTION("""COMPUTED_VALUE"""),109.8)</f>
        <v>109.8</v>
      </c>
      <c r="H58" s="70" t="str">
        <f>IFERROR(__xludf.DUMMYFUNCTION("""COMPUTED_VALUE"""),"Peterman, Darby")</f>
        <v>Peterman, Darby</v>
      </c>
      <c r="I58" s="71" t="str">
        <f>IFERROR(__xludf.DUMMYFUNCTION("""COMPUTED_VALUE"""),"115g")</f>
        <v>115g</v>
      </c>
      <c r="J58" s="69" t="str">
        <f>IFERROR(__xludf.DUMMYFUNCTION("""COMPUTED_VALUE"""),"130g")</f>
        <v>130g</v>
      </c>
      <c r="K58" s="69" t="str">
        <f>IFERROR(__xludf.DUMMYFUNCTION("""COMPUTED_VALUE"""),"145g")</f>
        <v>145g</v>
      </c>
      <c r="L58" s="69">
        <f>IFERROR(__xludf.DUMMYFUNCTION("""COMPUTED_VALUE"""),145.0)</f>
        <v>145</v>
      </c>
      <c r="M58" s="69" t="str">
        <f>IFERROR(__xludf.DUMMYFUNCTION("""COMPUTED_VALUE"""),"65g")</f>
        <v>65g</v>
      </c>
      <c r="N58" s="69" t="str">
        <f>IFERROR(__xludf.DUMMYFUNCTION("""COMPUTED_VALUE"""),"70g")</f>
        <v>70g</v>
      </c>
      <c r="O58" s="69" t="str">
        <f>IFERROR(__xludf.DUMMYFUNCTION("""COMPUTED_VALUE"""),"75g")</f>
        <v>75g</v>
      </c>
      <c r="P58" s="69">
        <f>IFERROR(__xludf.DUMMYFUNCTION("""COMPUTED_VALUE"""),75.0)</f>
        <v>75</v>
      </c>
      <c r="Q58" s="69" t="str">
        <f>IFERROR(__xludf.DUMMYFUNCTION("""COMPUTED_VALUE"""),"175g")</f>
        <v>175g</v>
      </c>
      <c r="R58" s="69" t="str">
        <f>IFERROR(__xludf.DUMMYFUNCTION("""COMPUTED_VALUE"""),"200g")</f>
        <v>200g</v>
      </c>
      <c r="S58" s="69" t="str">
        <f>IFERROR(__xludf.DUMMYFUNCTION("""COMPUTED_VALUE"""),"225x")</f>
        <v>225x</v>
      </c>
      <c r="T58" s="69">
        <f>IFERROR(__xludf.DUMMYFUNCTION("""COMPUTED_VALUE"""),200.0)</f>
        <v>200</v>
      </c>
      <c r="U58" s="69">
        <f>IFERROR(__xludf.DUMMYFUNCTION("""COMPUTED_VALUE"""),420.0)</f>
        <v>420</v>
      </c>
      <c r="V58" s="183">
        <f>IFERROR(__xludf.DUMMYFUNCTION("""COMPUTED_VALUE"""),3.825136612021858)</f>
        <v>3.825136612</v>
      </c>
      <c r="W58" s="156">
        <f>IFERROR(__xludf.DUMMYFUNCTION("""COMPUTED_VALUE"""),8.0)</f>
        <v>8</v>
      </c>
      <c r="X58" s="156"/>
      <c r="Y58" s="156"/>
    </row>
    <row r="59">
      <c r="B59" s="68" t="s">
        <v>545</v>
      </c>
      <c r="C59" s="68">
        <v>0.0</v>
      </c>
      <c r="D59" s="68" t="str">
        <f>IFERROR(__xludf.DUMMYFUNCTION("""COMPUTED_VALUE"""),"114 WJV")</f>
        <v>114 WJV</v>
      </c>
      <c r="E59" s="69" t="str">
        <f>IFERROR(__xludf.DUMMYFUNCTION("""COMPUTED_VALUE"""),"WJV")</f>
        <v>WJV</v>
      </c>
      <c r="F59" s="70" t="str">
        <f>IFERROR(__xludf.DUMMYFUNCTION("""COMPUTED_VALUE"""),"Dowagiac")</f>
        <v>Dowagiac</v>
      </c>
      <c r="G59" s="69">
        <f>IFERROR(__xludf.DUMMYFUNCTION("""COMPUTED_VALUE"""),107.0)</f>
        <v>107</v>
      </c>
      <c r="H59" s="70" t="str">
        <f>IFERROR(__xludf.DUMMYFUNCTION("""COMPUTED_VALUE"""),"Mathew, Jayme")</f>
        <v>Mathew, Jayme</v>
      </c>
      <c r="I59" s="71" t="str">
        <f>IFERROR(__xludf.DUMMYFUNCTION("""COMPUTED_VALUE"""),"140g")</f>
        <v>140g</v>
      </c>
      <c r="J59" s="69" t="str">
        <f>IFERROR(__xludf.DUMMYFUNCTION("""COMPUTED_VALUE"""),"150g")</f>
        <v>150g</v>
      </c>
      <c r="K59" s="69" t="str">
        <f>IFERROR(__xludf.DUMMYFUNCTION("""COMPUTED_VALUE"""),"160x")</f>
        <v>160x</v>
      </c>
      <c r="L59" s="69">
        <f>IFERROR(__xludf.DUMMYFUNCTION("""COMPUTED_VALUE"""),150.0)</f>
        <v>150</v>
      </c>
      <c r="M59" s="69" t="str">
        <f>IFERROR(__xludf.DUMMYFUNCTION("""COMPUTED_VALUE"""),"60x")</f>
        <v>60x</v>
      </c>
      <c r="N59" s="69" t="str">
        <f>IFERROR(__xludf.DUMMYFUNCTION("""COMPUTED_VALUE"""),"70g")</f>
        <v>70g</v>
      </c>
      <c r="O59" s="69" t="str">
        <f>IFERROR(__xludf.DUMMYFUNCTION("""COMPUTED_VALUE"""),"80g")</f>
        <v>80g</v>
      </c>
      <c r="P59" s="69">
        <f>IFERROR(__xludf.DUMMYFUNCTION("""COMPUTED_VALUE"""),80.0)</f>
        <v>80</v>
      </c>
      <c r="Q59" s="69" t="str">
        <f>IFERROR(__xludf.DUMMYFUNCTION("""COMPUTED_VALUE"""),"165g")</f>
        <v>165g</v>
      </c>
      <c r="R59" s="69" t="str">
        <f>IFERROR(__xludf.DUMMYFUNCTION("""COMPUTED_VALUE"""),"175g")</f>
        <v>175g</v>
      </c>
      <c r="S59" s="69" t="str">
        <f>IFERROR(__xludf.DUMMYFUNCTION("""COMPUTED_VALUE"""),"185g")</f>
        <v>185g</v>
      </c>
      <c r="T59" s="69">
        <f>IFERROR(__xludf.DUMMYFUNCTION("""COMPUTED_VALUE"""),185.0)</f>
        <v>185</v>
      </c>
      <c r="U59" s="69">
        <f>IFERROR(__xludf.DUMMYFUNCTION("""COMPUTED_VALUE"""),415.0)</f>
        <v>415</v>
      </c>
      <c r="V59" s="183">
        <f>IFERROR(__xludf.DUMMYFUNCTION("""COMPUTED_VALUE"""),3.878504672897196)</f>
        <v>3.878504673</v>
      </c>
      <c r="W59" s="156">
        <f>IFERROR(__xludf.DUMMYFUNCTION("""COMPUTED_VALUE"""),7.0)</f>
        <v>7</v>
      </c>
      <c r="X59" s="156"/>
      <c r="Y59" s="156"/>
    </row>
    <row r="60">
      <c r="B60" s="68" t="s">
        <v>546</v>
      </c>
      <c r="C60" s="68">
        <v>0.0</v>
      </c>
      <c r="D60" s="68" t="str">
        <f>IFERROR(__xludf.DUMMYFUNCTION("""COMPUTED_VALUE"""),"114 WJV")</f>
        <v>114 WJV</v>
      </c>
      <c r="E60" s="69" t="str">
        <f>IFERROR(__xludf.DUMMYFUNCTION("""COMPUTED_VALUE"""),"WJV")</f>
        <v>WJV</v>
      </c>
      <c r="F60" s="70" t="str">
        <f>IFERROR(__xludf.DUMMYFUNCTION("""COMPUTED_VALUE"""),"Birch Run")</f>
        <v>Birch Run</v>
      </c>
      <c r="G60" s="69">
        <f>IFERROR(__xludf.DUMMYFUNCTION("""COMPUTED_VALUE"""),109.9)</f>
        <v>109.9</v>
      </c>
      <c r="H60" s="70" t="str">
        <f>IFERROR(__xludf.DUMMYFUNCTION("""COMPUTED_VALUE"""),"Polzin, Madsion")</f>
        <v>Polzin, Madsion</v>
      </c>
      <c r="I60" s="71" t="str">
        <f>IFERROR(__xludf.DUMMYFUNCTION("""COMPUTED_VALUE"""),"115g")</f>
        <v>115g</v>
      </c>
      <c r="J60" s="69" t="str">
        <f>IFERROR(__xludf.DUMMYFUNCTION("""COMPUTED_VALUE"""),"125g")</f>
        <v>125g</v>
      </c>
      <c r="K60" s="69" t="str">
        <f>IFERROR(__xludf.DUMMYFUNCTION("""COMPUTED_VALUE"""),"135g")</f>
        <v>135g</v>
      </c>
      <c r="L60" s="69">
        <f>IFERROR(__xludf.DUMMYFUNCTION("""COMPUTED_VALUE"""),135.0)</f>
        <v>135</v>
      </c>
      <c r="M60" s="69" t="str">
        <f>IFERROR(__xludf.DUMMYFUNCTION("""COMPUTED_VALUE"""),"70g")</f>
        <v>70g</v>
      </c>
      <c r="N60" s="69" t="str">
        <f>IFERROR(__xludf.DUMMYFUNCTION("""COMPUTED_VALUE"""),"75g")</f>
        <v>75g</v>
      </c>
      <c r="O60" s="69" t="str">
        <f>IFERROR(__xludf.DUMMYFUNCTION("""COMPUTED_VALUE"""),"85g")</f>
        <v>85g</v>
      </c>
      <c r="P60" s="69">
        <f>IFERROR(__xludf.DUMMYFUNCTION("""COMPUTED_VALUE"""),85.0)</f>
        <v>85</v>
      </c>
      <c r="Q60" s="69" t="str">
        <f>IFERROR(__xludf.DUMMYFUNCTION("""COMPUTED_VALUE"""),"180g")</f>
        <v>180g</v>
      </c>
      <c r="R60" s="69" t="str">
        <f>IFERROR(__xludf.DUMMYFUNCTION("""COMPUTED_VALUE"""),"195x")</f>
        <v>195x</v>
      </c>
      <c r="S60" s="69" t="str">
        <f>IFERROR(__xludf.DUMMYFUNCTION("""COMPUTED_VALUE"""),"195g")</f>
        <v>195g</v>
      </c>
      <c r="T60" s="69">
        <f>IFERROR(__xludf.DUMMYFUNCTION("""COMPUTED_VALUE"""),195.0)</f>
        <v>195</v>
      </c>
      <c r="U60" s="69">
        <f>IFERROR(__xludf.DUMMYFUNCTION("""COMPUTED_VALUE"""),415.0)</f>
        <v>415</v>
      </c>
      <c r="V60" s="183">
        <f>IFERROR(__xludf.DUMMYFUNCTION("""COMPUTED_VALUE"""),3.776160145586897)</f>
        <v>3.776160146</v>
      </c>
      <c r="W60" s="156">
        <f>IFERROR(__xludf.DUMMYFUNCTION("""COMPUTED_VALUE"""),8.0)</f>
        <v>8</v>
      </c>
      <c r="X60" s="156"/>
      <c r="Y60" s="156"/>
    </row>
    <row r="61">
      <c r="B61" s="68" t="s">
        <v>547</v>
      </c>
      <c r="C61" s="68">
        <v>0.0</v>
      </c>
      <c r="D61" s="68" t="str">
        <f>IFERROR(__xludf.DUMMYFUNCTION("""COMPUTED_VALUE"""),"114 WJV")</f>
        <v>114 WJV</v>
      </c>
      <c r="E61" s="69" t="str">
        <f>IFERROR(__xludf.DUMMYFUNCTION("""COMPUTED_VALUE"""),"WJV")</f>
        <v>WJV</v>
      </c>
      <c r="F61" s="70" t="str">
        <f>IFERROR(__xludf.DUMMYFUNCTION("""COMPUTED_VALUE"""),"Birch Run")</f>
        <v>Birch Run</v>
      </c>
      <c r="G61" s="69">
        <f>IFERROR(__xludf.DUMMYFUNCTION("""COMPUTED_VALUE"""),113.0)</f>
        <v>113</v>
      </c>
      <c r="H61" s="70" t="str">
        <f>IFERROR(__xludf.DUMMYFUNCTION("""COMPUTED_VALUE"""),"Bronner, Emma")</f>
        <v>Bronner, Emma</v>
      </c>
      <c r="I61" s="71" t="str">
        <f>IFERROR(__xludf.DUMMYFUNCTION("""COMPUTED_VALUE"""),"115g")</f>
        <v>115g</v>
      </c>
      <c r="J61" s="69" t="str">
        <f>IFERROR(__xludf.DUMMYFUNCTION("""COMPUTED_VALUE"""),"130g")</f>
        <v>130g</v>
      </c>
      <c r="K61" s="69" t="str">
        <f>IFERROR(__xludf.DUMMYFUNCTION("""COMPUTED_VALUE"""),"140g")</f>
        <v>140g</v>
      </c>
      <c r="L61" s="69">
        <f>IFERROR(__xludf.DUMMYFUNCTION("""COMPUTED_VALUE"""),140.0)</f>
        <v>140</v>
      </c>
      <c r="M61" s="69" t="str">
        <f>IFERROR(__xludf.DUMMYFUNCTION("""COMPUTED_VALUE"""),"65g")</f>
        <v>65g</v>
      </c>
      <c r="N61" s="69" t="str">
        <f>IFERROR(__xludf.DUMMYFUNCTION("""COMPUTED_VALUE"""),"75x")</f>
        <v>75x</v>
      </c>
      <c r="O61" s="69" t="str">
        <f>IFERROR(__xludf.DUMMYFUNCTION("""COMPUTED_VALUE"""),"75x")</f>
        <v>75x</v>
      </c>
      <c r="P61" s="69">
        <f>IFERROR(__xludf.DUMMYFUNCTION("""COMPUTED_VALUE"""),65.0)</f>
        <v>65</v>
      </c>
      <c r="Q61" s="69" t="str">
        <f>IFERROR(__xludf.DUMMYFUNCTION("""COMPUTED_VALUE"""),"180g")</f>
        <v>180g</v>
      </c>
      <c r="R61" s="69" t="str">
        <f>IFERROR(__xludf.DUMMYFUNCTION("""COMPUTED_VALUE"""),"195g")</f>
        <v>195g</v>
      </c>
      <c r="S61" s="69" t="str">
        <f>IFERROR(__xludf.DUMMYFUNCTION("""COMPUTED_VALUE"""),"200x")</f>
        <v>200x</v>
      </c>
      <c r="T61" s="69">
        <f>IFERROR(__xludf.DUMMYFUNCTION("""COMPUTED_VALUE"""),195.0)</f>
        <v>195</v>
      </c>
      <c r="U61" s="69">
        <f>IFERROR(__xludf.DUMMYFUNCTION("""COMPUTED_VALUE"""),400.0)</f>
        <v>400</v>
      </c>
      <c r="V61" s="183">
        <f>IFERROR(__xludf.DUMMYFUNCTION("""COMPUTED_VALUE"""),3.5398230088495577)</f>
        <v>3.539823009</v>
      </c>
      <c r="W61" s="156">
        <f>IFERROR(__xludf.DUMMYFUNCTION("""COMPUTED_VALUE"""),6.0)</f>
        <v>6</v>
      </c>
      <c r="X61" s="156"/>
      <c r="Y61" s="156"/>
    </row>
    <row r="62">
      <c r="B62" s="68" t="s">
        <v>548</v>
      </c>
      <c r="C62" s="68">
        <v>0.0</v>
      </c>
      <c r="D62" s="68" t="str">
        <f>IFERROR(__xludf.DUMMYFUNCTION("""COMPUTED_VALUE"""),"114 WJV")</f>
        <v>114 WJV</v>
      </c>
      <c r="E62" s="69" t="str">
        <f>IFERROR(__xludf.DUMMYFUNCTION("""COMPUTED_VALUE"""),"WJV")</f>
        <v>WJV</v>
      </c>
      <c r="F62" s="70" t="str">
        <f>IFERROR(__xludf.DUMMYFUNCTION("""COMPUTED_VALUE"""),"Cros-Lex")</f>
        <v>Cros-Lex</v>
      </c>
      <c r="G62" s="69">
        <f>IFERROR(__xludf.DUMMYFUNCTION("""COMPUTED_VALUE"""),109.6)</f>
        <v>109.6</v>
      </c>
      <c r="H62" s="70" t="str">
        <f>IFERROR(__xludf.DUMMYFUNCTION("""COMPUTED_VALUE"""),"Dougherty, Samantha")</f>
        <v>Dougherty, Samantha</v>
      </c>
      <c r="I62" s="71" t="str">
        <f>IFERROR(__xludf.DUMMYFUNCTION("""COMPUTED_VALUE"""),"125g")</f>
        <v>125g</v>
      </c>
      <c r="J62" s="69" t="str">
        <f>IFERROR(__xludf.DUMMYFUNCTION("""COMPUTED_VALUE"""),"135g")</f>
        <v>135g</v>
      </c>
      <c r="K62" s="69" t="str">
        <f>IFERROR(__xludf.DUMMYFUNCTION("""COMPUTED_VALUE"""),"145g")</f>
        <v>145g</v>
      </c>
      <c r="L62" s="69">
        <f>IFERROR(__xludf.DUMMYFUNCTION("""COMPUTED_VALUE"""),145.0)</f>
        <v>145</v>
      </c>
      <c r="M62" s="69" t="str">
        <f>IFERROR(__xludf.DUMMYFUNCTION("""COMPUTED_VALUE"""),"50g")</f>
        <v>50g</v>
      </c>
      <c r="N62" s="69" t="str">
        <f>IFERROR(__xludf.DUMMYFUNCTION("""COMPUTED_VALUE"""),"60g")</f>
        <v>60g</v>
      </c>
      <c r="O62" s="69" t="str">
        <f>IFERROR(__xludf.DUMMYFUNCTION("""COMPUTED_VALUE"""),"70x")</f>
        <v>70x</v>
      </c>
      <c r="P62" s="69">
        <f>IFERROR(__xludf.DUMMYFUNCTION("""COMPUTED_VALUE"""),60.0)</f>
        <v>60</v>
      </c>
      <c r="Q62" s="69" t="str">
        <f>IFERROR(__xludf.DUMMYFUNCTION("""COMPUTED_VALUE"""),"150g")</f>
        <v>150g</v>
      </c>
      <c r="R62" s="69" t="str">
        <f>IFERROR(__xludf.DUMMYFUNCTION("""COMPUTED_VALUE"""),"170g")</f>
        <v>170g</v>
      </c>
      <c r="S62" s="69" t="str">
        <f>IFERROR(__xludf.DUMMYFUNCTION("""COMPUTED_VALUE"""),"190g")</f>
        <v>190g</v>
      </c>
      <c r="T62" s="69">
        <f>IFERROR(__xludf.DUMMYFUNCTION("""COMPUTED_VALUE"""),190.0)</f>
        <v>190</v>
      </c>
      <c r="U62" s="69">
        <f>IFERROR(__xludf.DUMMYFUNCTION("""COMPUTED_VALUE"""),395.0)</f>
        <v>395</v>
      </c>
      <c r="V62" s="183">
        <f>IFERROR(__xludf.DUMMYFUNCTION("""COMPUTED_VALUE"""),3.604014598540146)</f>
        <v>3.604014599</v>
      </c>
      <c r="W62" s="156">
        <f>IFERROR(__xludf.DUMMYFUNCTION("""COMPUTED_VALUE"""),8.0)</f>
        <v>8</v>
      </c>
      <c r="X62" s="156"/>
      <c r="Y62" s="156"/>
    </row>
    <row r="63">
      <c r="B63" s="68" t="s">
        <v>549</v>
      </c>
      <c r="C63" s="68">
        <v>0.0</v>
      </c>
      <c r="D63" s="68" t="str">
        <f>IFERROR(__xludf.DUMMYFUNCTION("""COMPUTED_VALUE"""),"114 WJV")</f>
        <v>114 WJV</v>
      </c>
      <c r="E63" s="69" t="str">
        <f>IFERROR(__xludf.DUMMYFUNCTION("""COMPUTED_VALUE"""),"WJV")</f>
        <v>WJV</v>
      </c>
      <c r="F63" s="70" t="str">
        <f>IFERROR(__xludf.DUMMYFUNCTION("""COMPUTED_VALUE"""),"Kalkaska")</f>
        <v>Kalkaska</v>
      </c>
      <c r="G63" s="69">
        <f>IFERROR(__xludf.DUMMYFUNCTION("""COMPUTED_VALUE"""),111.6)</f>
        <v>111.6</v>
      </c>
      <c r="H63" s="70" t="str">
        <f>IFERROR(__xludf.DUMMYFUNCTION("""COMPUTED_VALUE"""),"Cartmell, Hannah")</f>
        <v>Cartmell, Hannah</v>
      </c>
      <c r="I63" s="71" t="str">
        <f>IFERROR(__xludf.DUMMYFUNCTION("""COMPUTED_VALUE"""),"80g")</f>
        <v>80g</v>
      </c>
      <c r="J63" s="69" t="str">
        <f>IFERROR(__xludf.DUMMYFUNCTION("""COMPUTED_VALUE"""),"100g")</f>
        <v>100g</v>
      </c>
      <c r="K63" s="69" t="str">
        <f>IFERROR(__xludf.DUMMYFUNCTION("""COMPUTED_VALUE"""),"125g")</f>
        <v>125g</v>
      </c>
      <c r="L63" s="69">
        <f>IFERROR(__xludf.DUMMYFUNCTION("""COMPUTED_VALUE"""),125.0)</f>
        <v>125</v>
      </c>
      <c r="M63" s="69" t="str">
        <f>IFERROR(__xludf.DUMMYFUNCTION("""COMPUTED_VALUE"""),"60g")</f>
        <v>60g</v>
      </c>
      <c r="N63" s="69" t="str">
        <f>IFERROR(__xludf.DUMMYFUNCTION("""COMPUTED_VALUE"""),"70x")</f>
        <v>70x</v>
      </c>
      <c r="O63" s="69" t="str">
        <f>IFERROR(__xludf.DUMMYFUNCTION("""COMPUTED_VALUE"""),"70x")</f>
        <v>70x</v>
      </c>
      <c r="P63" s="69">
        <f>IFERROR(__xludf.DUMMYFUNCTION("""COMPUTED_VALUE"""),60.0)</f>
        <v>60</v>
      </c>
      <c r="Q63" s="69" t="str">
        <f>IFERROR(__xludf.DUMMYFUNCTION("""COMPUTED_VALUE"""),"165g")</f>
        <v>165g</v>
      </c>
      <c r="R63" s="69" t="str">
        <f>IFERROR(__xludf.DUMMYFUNCTION("""COMPUTED_VALUE"""),"190g")</f>
        <v>190g</v>
      </c>
      <c r="S63" s="69" t="str">
        <f>IFERROR(__xludf.DUMMYFUNCTION("""COMPUTED_VALUE"""),"205g")</f>
        <v>205g</v>
      </c>
      <c r="T63" s="69">
        <f>IFERROR(__xludf.DUMMYFUNCTION("""COMPUTED_VALUE"""),205.0)</f>
        <v>205</v>
      </c>
      <c r="U63" s="69">
        <f>IFERROR(__xludf.DUMMYFUNCTION("""COMPUTED_VALUE"""),390.0)</f>
        <v>390</v>
      </c>
      <c r="V63" s="183">
        <f>IFERROR(__xludf.DUMMYFUNCTION("""COMPUTED_VALUE"""),3.4946236559139785)</f>
        <v>3.494623656</v>
      </c>
      <c r="W63" s="156">
        <f>IFERROR(__xludf.DUMMYFUNCTION("""COMPUTED_VALUE"""),7.0)</f>
        <v>7</v>
      </c>
      <c r="X63" s="156"/>
      <c r="Y63" s="156"/>
    </row>
    <row r="64">
      <c r="B64" s="68" t="s">
        <v>550</v>
      </c>
      <c r="C64" s="68">
        <v>0.0</v>
      </c>
      <c r="D64" s="68" t="str">
        <f>IFERROR(__xludf.DUMMYFUNCTION("""COMPUTED_VALUE"""),"114 WJV")</f>
        <v>114 WJV</v>
      </c>
      <c r="E64" s="69" t="str">
        <f>IFERROR(__xludf.DUMMYFUNCTION("""COMPUTED_VALUE"""),"WJV")</f>
        <v>WJV</v>
      </c>
      <c r="F64" s="70" t="str">
        <f>IFERROR(__xludf.DUMMYFUNCTION("""COMPUTED_VALUE"""),"Montague")</f>
        <v>Montague</v>
      </c>
      <c r="G64" s="69">
        <f>IFERROR(__xludf.DUMMYFUNCTION("""COMPUTED_VALUE"""),113.3)</f>
        <v>113.3</v>
      </c>
      <c r="H64" s="70" t="str">
        <f>IFERROR(__xludf.DUMMYFUNCTION("""COMPUTED_VALUE"""),"Worley, Aubrie")</f>
        <v>Worley, Aubrie</v>
      </c>
      <c r="I64" s="71" t="str">
        <f>IFERROR(__xludf.DUMMYFUNCTION("""COMPUTED_VALUE"""),"120g")</f>
        <v>120g</v>
      </c>
      <c r="J64" s="69" t="str">
        <f>IFERROR(__xludf.DUMMYFUNCTION("""COMPUTED_VALUE"""),"130x")</f>
        <v>130x</v>
      </c>
      <c r="K64" s="69" t="str">
        <f>IFERROR(__xludf.DUMMYFUNCTION("""COMPUTED_VALUE"""),"130x")</f>
        <v>130x</v>
      </c>
      <c r="L64" s="69">
        <f>IFERROR(__xludf.DUMMYFUNCTION("""COMPUTED_VALUE"""),120.0)</f>
        <v>120</v>
      </c>
      <c r="M64" s="69" t="str">
        <f>IFERROR(__xludf.DUMMYFUNCTION("""COMPUTED_VALUE"""),"65g")</f>
        <v>65g</v>
      </c>
      <c r="N64" s="69" t="str">
        <f>IFERROR(__xludf.DUMMYFUNCTION("""COMPUTED_VALUE"""),"70g")</f>
        <v>70g</v>
      </c>
      <c r="O64" s="69" t="str">
        <f>IFERROR(__xludf.DUMMYFUNCTION("""COMPUTED_VALUE"""),"75x")</f>
        <v>75x</v>
      </c>
      <c r="P64" s="69">
        <f>IFERROR(__xludf.DUMMYFUNCTION("""COMPUTED_VALUE"""),70.0)</f>
        <v>70</v>
      </c>
      <c r="Q64" s="69" t="str">
        <f>IFERROR(__xludf.DUMMYFUNCTION("""COMPUTED_VALUE"""),"190g")</f>
        <v>190g</v>
      </c>
      <c r="R64" s="69" t="str">
        <f>IFERROR(__xludf.DUMMYFUNCTION("""COMPUTED_VALUE"""),"200g")</f>
        <v>200g</v>
      </c>
      <c r="S64" s="69" t="str">
        <f>IFERROR(__xludf.DUMMYFUNCTION("""COMPUTED_VALUE"""),"215x")</f>
        <v>215x</v>
      </c>
      <c r="T64" s="69">
        <f>IFERROR(__xludf.DUMMYFUNCTION("""COMPUTED_VALUE"""),200.0)</f>
        <v>200</v>
      </c>
      <c r="U64" s="69">
        <f>IFERROR(__xludf.DUMMYFUNCTION("""COMPUTED_VALUE"""),390.0)</f>
        <v>390</v>
      </c>
      <c r="V64" s="183">
        <f>IFERROR(__xludf.DUMMYFUNCTION("""COMPUTED_VALUE"""),3.442188879082083)</f>
        <v>3.442188879</v>
      </c>
      <c r="W64" s="156">
        <f>IFERROR(__xludf.DUMMYFUNCTION("""COMPUTED_VALUE"""),5.0)</f>
        <v>5</v>
      </c>
      <c r="X64" s="156"/>
      <c r="Y64" s="156"/>
    </row>
    <row r="65">
      <c r="B65" s="68" t="s">
        <v>551</v>
      </c>
      <c r="C65" s="68">
        <v>0.0</v>
      </c>
      <c r="D65" s="68" t="str">
        <f>IFERROR(__xludf.DUMMYFUNCTION("""COMPUTED_VALUE"""),"114 WJV")</f>
        <v>114 WJV</v>
      </c>
      <c r="E65" s="69" t="str">
        <f>IFERROR(__xludf.DUMMYFUNCTION("""COMPUTED_VALUE"""),"WJV")</f>
        <v>WJV</v>
      </c>
      <c r="F65" s="70" t="str">
        <f>IFERROR(__xludf.DUMMYFUNCTION("""COMPUTED_VALUE"""),"Standish-Sterling")</f>
        <v>Standish-Sterling</v>
      </c>
      <c r="G65" s="69">
        <f>IFERROR(__xludf.DUMMYFUNCTION("""COMPUTED_VALUE"""),110.4)</f>
        <v>110.4</v>
      </c>
      <c r="H65" s="70" t="str">
        <f>IFERROR(__xludf.DUMMYFUNCTION("""COMPUTED_VALUE"""),"Kraska, Kaydryn")</f>
        <v>Kraska, Kaydryn</v>
      </c>
      <c r="I65" s="71" t="str">
        <f>IFERROR(__xludf.DUMMYFUNCTION("""COMPUTED_VALUE"""),"110g")</f>
        <v>110g</v>
      </c>
      <c r="J65" s="69" t="str">
        <f>IFERROR(__xludf.DUMMYFUNCTION("""COMPUTED_VALUE"""),"125g")</f>
        <v>125g</v>
      </c>
      <c r="K65" s="69" t="str">
        <f>IFERROR(__xludf.DUMMYFUNCTION("""COMPUTED_VALUE"""),"135x")</f>
        <v>135x</v>
      </c>
      <c r="L65" s="69">
        <f>IFERROR(__xludf.DUMMYFUNCTION("""COMPUTED_VALUE"""),125.0)</f>
        <v>125</v>
      </c>
      <c r="M65" s="69" t="str">
        <f>IFERROR(__xludf.DUMMYFUNCTION("""COMPUTED_VALUE"""),"60g")</f>
        <v>60g</v>
      </c>
      <c r="N65" s="69" t="str">
        <f>IFERROR(__xludf.DUMMYFUNCTION("""COMPUTED_VALUE"""),"75g")</f>
        <v>75g</v>
      </c>
      <c r="O65" s="69" t="str">
        <f>IFERROR(__xludf.DUMMYFUNCTION("""COMPUTED_VALUE"""),"85x")</f>
        <v>85x</v>
      </c>
      <c r="P65" s="69">
        <f>IFERROR(__xludf.DUMMYFUNCTION("""COMPUTED_VALUE"""),75.0)</f>
        <v>75</v>
      </c>
      <c r="Q65" s="69" t="str">
        <f>IFERROR(__xludf.DUMMYFUNCTION("""COMPUTED_VALUE"""),"160g")</f>
        <v>160g</v>
      </c>
      <c r="R65" s="69" t="str">
        <f>IFERROR(__xludf.DUMMYFUNCTION("""COMPUTED_VALUE"""),"180g")</f>
        <v>180g</v>
      </c>
      <c r="S65" s="69" t="str">
        <f>IFERROR(__xludf.DUMMYFUNCTION("""COMPUTED_VALUE"""),"185g")</f>
        <v>185g</v>
      </c>
      <c r="T65" s="69">
        <f>IFERROR(__xludf.DUMMYFUNCTION("""COMPUTED_VALUE"""),185.0)</f>
        <v>185</v>
      </c>
      <c r="U65" s="69">
        <f>IFERROR(__xludf.DUMMYFUNCTION("""COMPUTED_VALUE"""),385.0)</f>
        <v>385</v>
      </c>
      <c r="V65" s="183">
        <f>IFERROR(__xludf.DUMMYFUNCTION("""COMPUTED_VALUE"""),3.48731884057971)</f>
        <v>3.487318841</v>
      </c>
      <c r="W65" s="156">
        <f>IFERROR(__xludf.DUMMYFUNCTION("""COMPUTED_VALUE"""),7.0)</f>
        <v>7</v>
      </c>
      <c r="X65" s="156"/>
      <c r="Y65" s="156"/>
    </row>
    <row r="66">
      <c r="A66" s="58">
        <v>123.0</v>
      </c>
      <c r="B66" s="157" t="s">
        <v>120</v>
      </c>
      <c r="C66" s="157">
        <v>12.0</v>
      </c>
      <c r="D66" s="157" t="str">
        <f>IFERROR(__xludf.DUMMYFUNCTION("ARRAY_CONSTRAIN(filter('All Platforms'!A3:T1802,'All Platforms'!A3:A1802=""123 WJV""),20,20)"),"123 WJV")</f>
        <v>123 WJV</v>
      </c>
      <c r="E66" s="64" t="str">
        <f>IFERROR(__xludf.DUMMYFUNCTION("""COMPUTED_VALUE"""),"WJV")</f>
        <v>WJV</v>
      </c>
      <c r="F66" s="158" t="str">
        <f>IFERROR(__xludf.DUMMYFUNCTION("""COMPUTED_VALUE"""),"Central Montcalm")</f>
        <v>Central Montcalm</v>
      </c>
      <c r="G66" s="64">
        <f>IFERROR(__xludf.DUMMYFUNCTION("""COMPUTED_VALUE"""),118.8)</f>
        <v>118.8</v>
      </c>
      <c r="H66" s="158" t="str">
        <f>IFERROR(__xludf.DUMMYFUNCTION("""COMPUTED_VALUE"""),"Nicholson, Kamryn")</f>
        <v>Nicholson, Kamryn</v>
      </c>
      <c r="I66" s="159" t="str">
        <f>IFERROR(__xludf.DUMMYFUNCTION("""COMPUTED_VALUE"""),"195g")</f>
        <v>195g</v>
      </c>
      <c r="J66" s="64" t="str">
        <f>IFERROR(__xludf.DUMMYFUNCTION("""COMPUTED_VALUE"""),"205g")</f>
        <v>205g</v>
      </c>
      <c r="K66" s="64" t="str">
        <f>IFERROR(__xludf.DUMMYFUNCTION("""COMPUTED_VALUE"""),"215x")</f>
        <v>215x</v>
      </c>
      <c r="L66" s="64">
        <f>IFERROR(__xludf.DUMMYFUNCTION("""COMPUTED_VALUE"""),205.0)</f>
        <v>205</v>
      </c>
      <c r="M66" s="64" t="str">
        <f>IFERROR(__xludf.DUMMYFUNCTION("""COMPUTED_VALUE"""),"95g")</f>
        <v>95g</v>
      </c>
      <c r="N66" s="64" t="str">
        <f>IFERROR(__xludf.DUMMYFUNCTION("""COMPUTED_VALUE"""),"105g")</f>
        <v>105g</v>
      </c>
      <c r="O66" s="64" t="str">
        <f>IFERROR(__xludf.DUMMYFUNCTION("""COMPUTED_VALUE"""),"110g")</f>
        <v>110g</v>
      </c>
      <c r="P66" s="64">
        <f>IFERROR(__xludf.DUMMYFUNCTION("""COMPUTED_VALUE"""),110.0)</f>
        <v>110</v>
      </c>
      <c r="Q66" s="64" t="str">
        <f>IFERROR(__xludf.DUMMYFUNCTION("""COMPUTED_VALUE"""),"225g")</f>
        <v>225g</v>
      </c>
      <c r="R66" s="64" t="str">
        <f>IFERROR(__xludf.DUMMYFUNCTION("""COMPUTED_VALUE"""),"250g")</f>
        <v>250g</v>
      </c>
      <c r="S66" s="64" t="str">
        <f>IFERROR(__xludf.DUMMYFUNCTION("""COMPUTED_VALUE"""),"265g")</f>
        <v>265g</v>
      </c>
      <c r="T66" s="64">
        <f>IFERROR(__xludf.DUMMYFUNCTION("""COMPUTED_VALUE"""),265.0)</f>
        <v>265</v>
      </c>
      <c r="U66" s="64">
        <f>IFERROR(__xludf.DUMMYFUNCTION("""COMPUTED_VALUE"""),580.0)</f>
        <v>580</v>
      </c>
      <c r="V66" s="182">
        <f>IFERROR(__xludf.DUMMYFUNCTION("""COMPUTED_VALUE"""),4.882154882154882)</f>
        <v>4.882154882</v>
      </c>
      <c r="W66" s="57">
        <f>IFERROR(__xludf.DUMMYFUNCTION("""COMPUTED_VALUE"""),8.0)</f>
        <v>8</v>
      </c>
      <c r="X66" s="57"/>
      <c r="Y66" s="57"/>
    </row>
    <row r="67">
      <c r="B67" s="157" t="s">
        <v>121</v>
      </c>
      <c r="C67" s="157">
        <v>9.0</v>
      </c>
      <c r="D67" s="157" t="str">
        <f>IFERROR(__xludf.DUMMYFUNCTION("""COMPUTED_VALUE"""),"123 WJV")</f>
        <v>123 WJV</v>
      </c>
      <c r="E67" s="64" t="str">
        <f>IFERROR(__xludf.DUMMYFUNCTION("""COMPUTED_VALUE"""),"WJV")</f>
        <v>WJV</v>
      </c>
      <c r="F67" s="158" t="str">
        <f>IFERROR(__xludf.DUMMYFUNCTION("""COMPUTED_VALUE"""),"Central Montcalm")</f>
        <v>Central Montcalm</v>
      </c>
      <c r="G67" s="64">
        <f>IFERROR(__xludf.DUMMYFUNCTION("""COMPUTED_VALUE"""),115.3)</f>
        <v>115.3</v>
      </c>
      <c r="H67" s="158" t="str">
        <f>IFERROR(__xludf.DUMMYFUNCTION("""COMPUTED_VALUE"""),"Choponis, Grace")</f>
        <v>Choponis, Grace</v>
      </c>
      <c r="I67" s="159" t="str">
        <f>IFERROR(__xludf.DUMMYFUNCTION("""COMPUTED_VALUE"""),"185g")</f>
        <v>185g</v>
      </c>
      <c r="J67" s="64" t="str">
        <f>IFERROR(__xludf.DUMMYFUNCTION("""COMPUTED_VALUE"""),"195x")</f>
        <v>195x</v>
      </c>
      <c r="K67" s="64" t="str">
        <f>IFERROR(__xludf.DUMMYFUNCTION("""COMPUTED_VALUE"""),"205x")</f>
        <v>205x</v>
      </c>
      <c r="L67" s="64">
        <f>IFERROR(__xludf.DUMMYFUNCTION("""COMPUTED_VALUE"""),185.0)</f>
        <v>185</v>
      </c>
      <c r="M67" s="64" t="str">
        <f>IFERROR(__xludf.DUMMYFUNCTION("""COMPUTED_VALUE"""),"85g")</f>
        <v>85g</v>
      </c>
      <c r="N67" s="64" t="str">
        <f>IFERROR(__xludf.DUMMYFUNCTION("""COMPUTED_VALUE"""),"95g")</f>
        <v>95g</v>
      </c>
      <c r="O67" s="64" t="str">
        <f>IFERROR(__xludf.DUMMYFUNCTION("""COMPUTED_VALUE"""),"100x")</f>
        <v>100x</v>
      </c>
      <c r="P67" s="64">
        <f>IFERROR(__xludf.DUMMYFUNCTION("""COMPUTED_VALUE"""),95.0)</f>
        <v>95</v>
      </c>
      <c r="Q67" s="64" t="str">
        <f>IFERROR(__xludf.DUMMYFUNCTION("""COMPUTED_VALUE"""),"225g")</f>
        <v>225g</v>
      </c>
      <c r="R67" s="64" t="str">
        <f>IFERROR(__xludf.DUMMYFUNCTION("""COMPUTED_VALUE"""),"265g")</f>
        <v>265g</v>
      </c>
      <c r="S67" s="64" t="str">
        <f>IFERROR(__xludf.DUMMYFUNCTION("""COMPUTED_VALUE"""),"280x")</f>
        <v>280x</v>
      </c>
      <c r="T67" s="64">
        <f>IFERROR(__xludf.DUMMYFUNCTION("""COMPUTED_VALUE"""),265.0)</f>
        <v>265</v>
      </c>
      <c r="U67" s="64">
        <f>IFERROR(__xludf.DUMMYFUNCTION("""COMPUTED_VALUE"""),545.0)</f>
        <v>545</v>
      </c>
      <c r="V67" s="182">
        <f>IFERROR(__xludf.DUMMYFUNCTION("""COMPUTED_VALUE"""),4.726799653078925)</f>
        <v>4.726799653</v>
      </c>
      <c r="W67" s="57">
        <f>IFERROR(__xludf.DUMMYFUNCTION("""COMPUTED_VALUE"""),5.0)</f>
        <v>5</v>
      </c>
      <c r="X67" s="57"/>
      <c r="Y67" s="57"/>
    </row>
    <row r="68">
      <c r="B68" s="157" t="s">
        <v>122</v>
      </c>
      <c r="C68" s="157">
        <f>if(countif(F66:F67,F68)&gt;1,0,8)</f>
        <v>8</v>
      </c>
      <c r="D68" s="157" t="str">
        <f>IFERROR(__xludf.DUMMYFUNCTION("""COMPUTED_VALUE"""),"123 WJV")</f>
        <v>123 WJV</v>
      </c>
      <c r="E68" s="64" t="str">
        <f>IFERROR(__xludf.DUMMYFUNCTION("""COMPUTED_VALUE"""),"WJV")</f>
        <v>WJV</v>
      </c>
      <c r="F68" s="158" t="str">
        <f>IFERROR(__xludf.DUMMYFUNCTION("""COMPUTED_VALUE"""),"Standish-Sterling")</f>
        <v>Standish-Sterling</v>
      </c>
      <c r="G68" s="64">
        <f>IFERROR(__xludf.DUMMYFUNCTION("""COMPUTED_VALUE"""),120.6)</f>
        <v>120.6</v>
      </c>
      <c r="H68" s="158" t="str">
        <f>IFERROR(__xludf.DUMMYFUNCTION("""COMPUTED_VALUE"""),"Kraska, Karasyn")</f>
        <v>Kraska, Karasyn</v>
      </c>
      <c r="I68" s="159" t="str">
        <f>IFERROR(__xludf.DUMMYFUNCTION("""COMPUTED_VALUE"""),"185g")</f>
        <v>185g</v>
      </c>
      <c r="J68" s="64" t="str">
        <f>IFERROR(__xludf.DUMMYFUNCTION("""COMPUTED_VALUE"""),"205g")</f>
        <v>205g</v>
      </c>
      <c r="K68" s="64" t="str">
        <f>IFERROR(__xludf.DUMMYFUNCTION("""COMPUTED_VALUE"""),"215x")</f>
        <v>215x</v>
      </c>
      <c r="L68" s="64">
        <f>IFERROR(__xludf.DUMMYFUNCTION("""COMPUTED_VALUE"""),205.0)</f>
        <v>205</v>
      </c>
      <c r="M68" s="64" t="str">
        <f>IFERROR(__xludf.DUMMYFUNCTION("""COMPUTED_VALUE"""),"115x")</f>
        <v>115x</v>
      </c>
      <c r="N68" s="64" t="str">
        <f>IFERROR(__xludf.DUMMYFUNCTION("""COMPUTED_VALUE"""),"115g")</f>
        <v>115g</v>
      </c>
      <c r="O68" s="64" t="str">
        <f>IFERROR(__xludf.DUMMYFUNCTION("""COMPUTED_VALUE"""),"125x")</f>
        <v>125x</v>
      </c>
      <c r="P68" s="64">
        <f>IFERROR(__xludf.DUMMYFUNCTION("""COMPUTED_VALUE"""),115.0)</f>
        <v>115</v>
      </c>
      <c r="Q68" s="64" t="str">
        <f>IFERROR(__xludf.DUMMYFUNCTION("""COMPUTED_VALUE"""),"215g")</f>
        <v>215g</v>
      </c>
      <c r="R68" s="64" t="str">
        <f>IFERROR(__xludf.DUMMYFUNCTION("""COMPUTED_VALUE"""),"225g")</f>
        <v>225g</v>
      </c>
      <c r="S68" s="64" t="str">
        <f>IFERROR(__xludf.DUMMYFUNCTION("""COMPUTED_VALUE"""),"250x")</f>
        <v>250x</v>
      </c>
      <c r="T68" s="64">
        <f>IFERROR(__xludf.DUMMYFUNCTION("""COMPUTED_VALUE"""),225.0)</f>
        <v>225</v>
      </c>
      <c r="U68" s="64">
        <f>IFERROR(__xludf.DUMMYFUNCTION("""COMPUTED_VALUE"""),545.0)</f>
        <v>545</v>
      </c>
      <c r="V68" s="182">
        <f>IFERROR(__xludf.DUMMYFUNCTION("""COMPUTED_VALUE"""),4.519071310116087)</f>
        <v>4.51907131</v>
      </c>
      <c r="W68" s="57">
        <f>IFERROR(__xludf.DUMMYFUNCTION("""COMPUTED_VALUE"""),5.0)</f>
        <v>5</v>
      </c>
      <c r="X68" s="57"/>
      <c r="Y68" s="57"/>
    </row>
    <row r="69">
      <c r="B69" s="157" t="s">
        <v>123</v>
      </c>
      <c r="C69" s="157">
        <f>if(countif(F66:F68,F69)&gt;1,0,7)</f>
        <v>7</v>
      </c>
      <c r="D69" s="157" t="str">
        <f>IFERROR(__xludf.DUMMYFUNCTION("""COMPUTED_VALUE"""),"123 WJV")</f>
        <v>123 WJV</v>
      </c>
      <c r="E69" s="64" t="str">
        <f>IFERROR(__xludf.DUMMYFUNCTION("""COMPUTED_VALUE"""),"WJV")</f>
        <v>WJV</v>
      </c>
      <c r="F69" s="158" t="str">
        <f>IFERROR(__xludf.DUMMYFUNCTION("""COMPUTED_VALUE"""),"Cros-Lex")</f>
        <v>Cros-Lex</v>
      </c>
      <c r="G69" s="64">
        <f>IFERROR(__xludf.DUMMYFUNCTION("""COMPUTED_VALUE"""),119.6)</f>
        <v>119.6</v>
      </c>
      <c r="H69" s="158" t="str">
        <f>IFERROR(__xludf.DUMMYFUNCTION("""COMPUTED_VALUE"""),"Brooks, Kayla")</f>
        <v>Brooks, Kayla</v>
      </c>
      <c r="I69" s="159" t="str">
        <f>IFERROR(__xludf.DUMMYFUNCTION("""COMPUTED_VALUE"""),"170g")</f>
        <v>170g</v>
      </c>
      <c r="J69" s="64" t="str">
        <f>IFERROR(__xludf.DUMMYFUNCTION("""COMPUTED_VALUE"""),"180g")</f>
        <v>180g</v>
      </c>
      <c r="K69" s="64" t="str">
        <f>IFERROR(__xludf.DUMMYFUNCTION("""COMPUTED_VALUE"""),"190g")</f>
        <v>190g</v>
      </c>
      <c r="L69" s="64">
        <f>IFERROR(__xludf.DUMMYFUNCTION("""COMPUTED_VALUE"""),190.0)</f>
        <v>190</v>
      </c>
      <c r="M69" s="64" t="str">
        <f>IFERROR(__xludf.DUMMYFUNCTION("""COMPUTED_VALUE"""),"90g")</f>
        <v>90g</v>
      </c>
      <c r="N69" s="64" t="str">
        <f>IFERROR(__xludf.DUMMYFUNCTION("""COMPUTED_VALUE"""),"100g")</f>
        <v>100g</v>
      </c>
      <c r="O69" s="64" t="str">
        <f>IFERROR(__xludf.DUMMYFUNCTION("""COMPUTED_VALUE"""),"105g")</f>
        <v>105g</v>
      </c>
      <c r="P69" s="64">
        <f>IFERROR(__xludf.DUMMYFUNCTION("""COMPUTED_VALUE"""),105.0)</f>
        <v>105</v>
      </c>
      <c r="Q69" s="64" t="str">
        <f>IFERROR(__xludf.DUMMYFUNCTION("""COMPUTED_VALUE"""),"195g")</f>
        <v>195g</v>
      </c>
      <c r="R69" s="64" t="str">
        <f>IFERROR(__xludf.DUMMYFUNCTION("""COMPUTED_VALUE"""),"220g")</f>
        <v>220g</v>
      </c>
      <c r="S69" s="64" t="str">
        <f>IFERROR(__xludf.DUMMYFUNCTION("""COMPUTED_VALUE"""),"235g")</f>
        <v>235g</v>
      </c>
      <c r="T69" s="64">
        <f>IFERROR(__xludf.DUMMYFUNCTION("""COMPUTED_VALUE"""),235.0)</f>
        <v>235</v>
      </c>
      <c r="U69" s="64">
        <f>IFERROR(__xludf.DUMMYFUNCTION("""COMPUTED_VALUE"""),530.0)</f>
        <v>530</v>
      </c>
      <c r="V69" s="182">
        <f>IFERROR(__xludf.DUMMYFUNCTION("""COMPUTED_VALUE"""),4.431438127090301)</f>
        <v>4.431438127</v>
      </c>
      <c r="W69" s="57">
        <f>IFERROR(__xludf.DUMMYFUNCTION("""COMPUTED_VALUE"""),9.0)</f>
        <v>9</v>
      </c>
      <c r="X69" s="57"/>
      <c r="Y69" s="57"/>
    </row>
    <row r="70">
      <c r="B70" s="157" t="s">
        <v>124</v>
      </c>
      <c r="C70" s="157">
        <f>if(countif(F66:F69,F70)&gt;1,0,6)</f>
        <v>6</v>
      </c>
      <c r="D70" s="157" t="str">
        <f>IFERROR(__xludf.DUMMYFUNCTION("""COMPUTED_VALUE"""),"123 WJV")</f>
        <v>123 WJV</v>
      </c>
      <c r="E70" s="64" t="str">
        <f>IFERROR(__xludf.DUMMYFUNCTION("""COMPUTED_VALUE"""),"WJV")</f>
        <v>WJV</v>
      </c>
      <c r="F70" s="158" t="str">
        <f>IFERROR(__xludf.DUMMYFUNCTION("""COMPUTED_VALUE"""),"Port Huron")</f>
        <v>Port Huron</v>
      </c>
      <c r="G70" s="64">
        <f>IFERROR(__xludf.DUMMYFUNCTION("""COMPUTED_VALUE"""),120.4)</f>
        <v>120.4</v>
      </c>
      <c r="H70" s="158" t="str">
        <f>IFERROR(__xludf.DUMMYFUNCTION("""COMPUTED_VALUE"""),"Post, Angelina")</f>
        <v>Post, Angelina</v>
      </c>
      <c r="I70" s="159" t="str">
        <f>IFERROR(__xludf.DUMMYFUNCTION("""COMPUTED_VALUE"""),"175g")</f>
        <v>175g</v>
      </c>
      <c r="J70" s="64" t="str">
        <f>IFERROR(__xludf.DUMMYFUNCTION("""COMPUTED_VALUE"""),"185g")</f>
        <v>185g</v>
      </c>
      <c r="K70" s="64" t="str">
        <f>IFERROR(__xludf.DUMMYFUNCTION("""COMPUTED_VALUE"""),"195g")</f>
        <v>195g</v>
      </c>
      <c r="L70" s="64">
        <f>IFERROR(__xludf.DUMMYFUNCTION("""COMPUTED_VALUE"""),195.0)</f>
        <v>195</v>
      </c>
      <c r="M70" s="64" t="str">
        <f>IFERROR(__xludf.DUMMYFUNCTION("""COMPUTED_VALUE"""),"90g")</f>
        <v>90g</v>
      </c>
      <c r="N70" s="64" t="str">
        <f>IFERROR(__xludf.DUMMYFUNCTION("""COMPUTED_VALUE"""),"95g")</f>
        <v>95g</v>
      </c>
      <c r="O70" s="64" t="str">
        <f>IFERROR(__xludf.DUMMYFUNCTION("""COMPUTED_VALUE"""),"100x")</f>
        <v>100x</v>
      </c>
      <c r="P70" s="64">
        <f>IFERROR(__xludf.DUMMYFUNCTION("""COMPUTED_VALUE"""),95.0)</f>
        <v>95</v>
      </c>
      <c r="Q70" s="64" t="str">
        <f>IFERROR(__xludf.DUMMYFUNCTION("""COMPUTED_VALUE"""),"215g")</f>
        <v>215g</v>
      </c>
      <c r="R70" s="64" t="str">
        <f>IFERROR(__xludf.DUMMYFUNCTION("""COMPUTED_VALUE"""),"225g")</f>
        <v>225g</v>
      </c>
      <c r="S70" s="64" t="str">
        <f>IFERROR(__xludf.DUMMYFUNCTION("""COMPUTED_VALUE"""),"235g")</f>
        <v>235g</v>
      </c>
      <c r="T70" s="64">
        <f>IFERROR(__xludf.DUMMYFUNCTION("""COMPUTED_VALUE"""),235.0)</f>
        <v>235</v>
      </c>
      <c r="U70" s="64">
        <f>IFERROR(__xludf.DUMMYFUNCTION("""COMPUTED_VALUE"""),525.0)</f>
        <v>525</v>
      </c>
      <c r="V70" s="182">
        <f>IFERROR(__xludf.DUMMYFUNCTION("""COMPUTED_VALUE"""),4.3604651162790695)</f>
        <v>4.360465116</v>
      </c>
      <c r="W70" s="57">
        <f>IFERROR(__xludf.DUMMYFUNCTION("""COMPUTED_VALUE"""),8.0)</f>
        <v>8</v>
      </c>
      <c r="X70" s="57"/>
      <c r="Y70" s="57"/>
    </row>
    <row r="71">
      <c r="B71" s="157" t="s">
        <v>125</v>
      </c>
      <c r="C71" s="157">
        <f>if(countif(F66:F70,F71)&gt;1,0,5)</f>
        <v>5</v>
      </c>
      <c r="D71" s="157" t="str">
        <f>IFERROR(__xludf.DUMMYFUNCTION("""COMPUTED_VALUE"""),"123 WJV")</f>
        <v>123 WJV</v>
      </c>
      <c r="E71" s="64" t="str">
        <f>IFERROR(__xludf.DUMMYFUNCTION("""COMPUTED_VALUE"""),"WJV")</f>
        <v>WJV</v>
      </c>
      <c r="F71" s="158" t="str">
        <f>IFERROR(__xludf.DUMMYFUNCTION("""COMPUTED_VALUE"""),"Central Lake")</f>
        <v>Central Lake</v>
      </c>
      <c r="G71" s="64">
        <f>IFERROR(__xludf.DUMMYFUNCTION("""COMPUTED_VALUE"""),122.4)</f>
        <v>122.4</v>
      </c>
      <c r="H71" s="158" t="str">
        <f>IFERROR(__xludf.DUMMYFUNCTION("""COMPUTED_VALUE"""),"Perry, Liberty")</f>
        <v>Perry, Liberty</v>
      </c>
      <c r="I71" s="159" t="str">
        <f>IFERROR(__xludf.DUMMYFUNCTION("""COMPUTED_VALUE"""),"185g")</f>
        <v>185g</v>
      </c>
      <c r="J71" s="64" t="str">
        <f>IFERROR(__xludf.DUMMYFUNCTION("""COMPUTED_VALUE"""),"200g")</f>
        <v>200g</v>
      </c>
      <c r="K71" s="64" t="str">
        <f>IFERROR(__xludf.DUMMYFUNCTION("""COMPUTED_VALUE"""),"210x")</f>
        <v>210x</v>
      </c>
      <c r="L71" s="64">
        <f>IFERROR(__xludf.DUMMYFUNCTION("""COMPUTED_VALUE"""),200.0)</f>
        <v>200</v>
      </c>
      <c r="M71" s="64" t="str">
        <f>IFERROR(__xludf.DUMMYFUNCTION("""COMPUTED_VALUE"""),"95g")</f>
        <v>95g</v>
      </c>
      <c r="N71" s="64" t="str">
        <f>IFERROR(__xludf.DUMMYFUNCTION("""COMPUTED_VALUE"""),"105g")</f>
        <v>105g</v>
      </c>
      <c r="O71" s="64" t="str">
        <f>IFERROR(__xludf.DUMMYFUNCTION("""COMPUTED_VALUE"""),"110x")</f>
        <v>110x</v>
      </c>
      <c r="P71" s="64">
        <f>IFERROR(__xludf.DUMMYFUNCTION("""COMPUTED_VALUE"""),105.0)</f>
        <v>105</v>
      </c>
      <c r="Q71" s="64" t="str">
        <f>IFERROR(__xludf.DUMMYFUNCTION("""COMPUTED_VALUE"""),"185g")</f>
        <v>185g</v>
      </c>
      <c r="R71" s="64" t="str">
        <f>IFERROR(__xludf.DUMMYFUNCTION("""COMPUTED_VALUE"""),"200g")</f>
        <v>200g</v>
      </c>
      <c r="S71" s="64" t="str">
        <f>IFERROR(__xludf.DUMMYFUNCTION("""COMPUTED_VALUE"""),"215g")</f>
        <v>215g</v>
      </c>
      <c r="T71" s="64">
        <f>IFERROR(__xludf.DUMMYFUNCTION("""COMPUTED_VALUE"""),215.0)</f>
        <v>215</v>
      </c>
      <c r="U71" s="64">
        <f>IFERROR(__xludf.DUMMYFUNCTION("""COMPUTED_VALUE"""),520.0)</f>
        <v>520</v>
      </c>
      <c r="V71" s="182">
        <f>IFERROR(__xludf.DUMMYFUNCTION("""COMPUTED_VALUE"""),4.248366013071895)</f>
        <v>4.248366013</v>
      </c>
      <c r="W71" s="57">
        <f>IFERROR(__xludf.DUMMYFUNCTION("""COMPUTED_VALUE"""),7.0)</f>
        <v>7</v>
      </c>
      <c r="X71" s="57"/>
      <c r="Y71" s="57"/>
    </row>
    <row r="72">
      <c r="B72" s="157" t="s">
        <v>126</v>
      </c>
      <c r="C72" s="157">
        <f>if(countif(F66:F71,F72)&gt;1,0,4)</f>
        <v>4</v>
      </c>
      <c r="D72" s="157" t="str">
        <f>IFERROR(__xludf.DUMMYFUNCTION("""COMPUTED_VALUE"""),"123 WJV")</f>
        <v>123 WJV</v>
      </c>
      <c r="E72" s="64" t="str">
        <f>IFERROR(__xludf.DUMMYFUNCTION("""COMPUTED_VALUE"""),"WJV")</f>
        <v>WJV</v>
      </c>
      <c r="F72" s="158" t="str">
        <f>IFERROR(__xludf.DUMMYFUNCTION("""COMPUTED_VALUE"""),"Traverse City West")</f>
        <v>Traverse City West</v>
      </c>
      <c r="G72" s="64">
        <f>IFERROR(__xludf.DUMMYFUNCTION("""COMPUTED_VALUE"""),120.8)</f>
        <v>120.8</v>
      </c>
      <c r="H72" s="158" t="str">
        <f>IFERROR(__xludf.DUMMYFUNCTION("""COMPUTED_VALUE"""),"Jaquish, Isabelle")</f>
        <v>Jaquish, Isabelle</v>
      </c>
      <c r="I72" s="159" t="str">
        <f>IFERROR(__xludf.DUMMYFUNCTION("""COMPUTED_VALUE"""),"165x")</f>
        <v>165x</v>
      </c>
      <c r="J72" s="64" t="str">
        <f>IFERROR(__xludf.DUMMYFUNCTION("""COMPUTED_VALUE"""),"165g")</f>
        <v>165g</v>
      </c>
      <c r="K72" s="64" t="str">
        <f>IFERROR(__xludf.DUMMYFUNCTION("""COMPUTED_VALUE"""),"185g")</f>
        <v>185g</v>
      </c>
      <c r="L72" s="64">
        <f>IFERROR(__xludf.DUMMYFUNCTION("""COMPUTED_VALUE"""),185.0)</f>
        <v>185</v>
      </c>
      <c r="M72" s="64" t="str">
        <f>IFERROR(__xludf.DUMMYFUNCTION("""COMPUTED_VALUE"""),"95g")</f>
        <v>95g</v>
      </c>
      <c r="N72" s="64" t="str">
        <f>IFERROR(__xludf.DUMMYFUNCTION("""COMPUTED_VALUE"""),"105x")</f>
        <v>105x</v>
      </c>
      <c r="O72" s="64" t="str">
        <f>IFERROR(__xludf.DUMMYFUNCTION("""COMPUTED_VALUE"""),"105x")</f>
        <v>105x</v>
      </c>
      <c r="P72" s="64">
        <f>IFERROR(__xludf.DUMMYFUNCTION("""COMPUTED_VALUE"""),95.0)</f>
        <v>95</v>
      </c>
      <c r="Q72" s="64" t="str">
        <f>IFERROR(__xludf.DUMMYFUNCTION("""COMPUTED_VALUE"""),"195g")</f>
        <v>195g</v>
      </c>
      <c r="R72" s="64" t="str">
        <f>IFERROR(__xludf.DUMMYFUNCTION("""COMPUTED_VALUE"""),"225g")</f>
        <v>225g</v>
      </c>
      <c r="S72" s="64" t="str">
        <f>IFERROR(__xludf.DUMMYFUNCTION("""COMPUTED_VALUE"""),"235g")</f>
        <v>235g</v>
      </c>
      <c r="T72" s="64">
        <f>IFERROR(__xludf.DUMMYFUNCTION("""COMPUTED_VALUE"""),235.0)</f>
        <v>235</v>
      </c>
      <c r="U72" s="64">
        <f>IFERROR(__xludf.DUMMYFUNCTION("""COMPUTED_VALUE"""),515.0)</f>
        <v>515</v>
      </c>
      <c r="V72" s="182">
        <f>IFERROR(__xludf.DUMMYFUNCTION("""COMPUTED_VALUE"""),4.263245033112583)</f>
        <v>4.263245033</v>
      </c>
      <c r="W72" s="57">
        <f>IFERROR(__xludf.DUMMYFUNCTION("""COMPUTED_VALUE"""),6.0)</f>
        <v>6</v>
      </c>
      <c r="X72" s="57"/>
      <c r="Y72" s="57"/>
    </row>
    <row r="73">
      <c r="B73" s="157" t="s">
        <v>127</v>
      </c>
      <c r="C73" s="157">
        <f>if(countif(F66:F72,F73)&gt;1,0,3)</f>
        <v>3</v>
      </c>
      <c r="D73" s="157" t="str">
        <f>IFERROR(__xludf.DUMMYFUNCTION("""COMPUTED_VALUE"""),"123 WJV")</f>
        <v>123 WJV</v>
      </c>
      <c r="E73" s="64" t="str">
        <f>IFERROR(__xludf.DUMMYFUNCTION("""COMPUTED_VALUE"""),"WJV")</f>
        <v>WJV</v>
      </c>
      <c r="F73" s="158" t="str">
        <f>IFERROR(__xludf.DUMMYFUNCTION("""COMPUTED_VALUE"""),"Almont")</f>
        <v>Almont</v>
      </c>
      <c r="G73" s="64">
        <f>IFERROR(__xludf.DUMMYFUNCTION("""COMPUTED_VALUE"""),121.0)</f>
        <v>121</v>
      </c>
      <c r="H73" s="158" t="str">
        <f>IFERROR(__xludf.DUMMYFUNCTION("""COMPUTED_VALUE"""),"Wilson, Lindsey")</f>
        <v>Wilson, Lindsey</v>
      </c>
      <c r="I73" s="159" t="str">
        <f>IFERROR(__xludf.DUMMYFUNCTION("""COMPUTED_VALUE"""),"170g")</f>
        <v>170g</v>
      </c>
      <c r="J73" s="64" t="str">
        <f>IFERROR(__xludf.DUMMYFUNCTION("""COMPUTED_VALUE"""),"185g")</f>
        <v>185g</v>
      </c>
      <c r="K73" s="64" t="str">
        <f>IFERROR(__xludf.DUMMYFUNCTION("""COMPUTED_VALUE"""),"200x")</f>
        <v>200x</v>
      </c>
      <c r="L73" s="64">
        <f>IFERROR(__xludf.DUMMYFUNCTION("""COMPUTED_VALUE"""),185.0)</f>
        <v>185</v>
      </c>
      <c r="M73" s="64" t="str">
        <f>IFERROR(__xludf.DUMMYFUNCTION("""COMPUTED_VALUE"""),"75g")</f>
        <v>75g</v>
      </c>
      <c r="N73" s="64" t="str">
        <f>IFERROR(__xludf.DUMMYFUNCTION("""COMPUTED_VALUE"""),"85g")</f>
        <v>85g</v>
      </c>
      <c r="O73" s="64" t="str">
        <f>IFERROR(__xludf.DUMMYFUNCTION("""COMPUTED_VALUE"""),"90g")</f>
        <v>90g</v>
      </c>
      <c r="P73" s="64">
        <f>IFERROR(__xludf.DUMMYFUNCTION("""COMPUTED_VALUE"""),90.0)</f>
        <v>90</v>
      </c>
      <c r="Q73" s="64" t="str">
        <f>IFERROR(__xludf.DUMMYFUNCTION("""COMPUTED_VALUE"""),"210g")</f>
        <v>210g</v>
      </c>
      <c r="R73" s="64" t="str">
        <f>IFERROR(__xludf.DUMMYFUNCTION("""COMPUTED_VALUE"""),"220g")</f>
        <v>220g</v>
      </c>
      <c r="S73" s="64" t="str">
        <f>IFERROR(__xludf.DUMMYFUNCTION("""COMPUTED_VALUE"""),"235g")</f>
        <v>235g</v>
      </c>
      <c r="T73" s="64">
        <f>IFERROR(__xludf.DUMMYFUNCTION("""COMPUTED_VALUE"""),235.0)</f>
        <v>235</v>
      </c>
      <c r="U73" s="64">
        <f>IFERROR(__xludf.DUMMYFUNCTION("""COMPUTED_VALUE"""),510.0)</f>
        <v>510</v>
      </c>
      <c r="V73" s="182">
        <f>IFERROR(__xludf.DUMMYFUNCTION("""COMPUTED_VALUE"""),4.214876033057851)</f>
        <v>4.214876033</v>
      </c>
      <c r="W73" s="57">
        <f>IFERROR(__xludf.DUMMYFUNCTION("""COMPUTED_VALUE"""),8.0)</f>
        <v>8</v>
      </c>
      <c r="X73" s="57"/>
      <c r="Y73" s="57"/>
    </row>
    <row r="74">
      <c r="B74" s="157" t="s">
        <v>128</v>
      </c>
      <c r="C74" s="157">
        <f>if(countif(F66:F73,F74)&gt;1,0,2)</f>
        <v>2</v>
      </c>
      <c r="D74" s="157" t="str">
        <f>IFERROR(__xludf.DUMMYFUNCTION("""COMPUTED_VALUE"""),"123 WJV")</f>
        <v>123 WJV</v>
      </c>
      <c r="E74" s="64" t="str">
        <f>IFERROR(__xludf.DUMMYFUNCTION("""COMPUTED_VALUE"""),"WJV")</f>
        <v>WJV</v>
      </c>
      <c r="F74" s="158" t="str">
        <f>IFERROR(__xludf.DUMMYFUNCTION("""COMPUTED_VALUE"""),"Grand Haven")</f>
        <v>Grand Haven</v>
      </c>
      <c r="G74" s="64">
        <f>IFERROR(__xludf.DUMMYFUNCTION("""COMPUTED_VALUE"""),119.2)</f>
        <v>119.2</v>
      </c>
      <c r="H74" s="158" t="str">
        <f>IFERROR(__xludf.DUMMYFUNCTION("""COMPUTED_VALUE"""),"Spencer, Sydney")</f>
        <v>Spencer, Sydney</v>
      </c>
      <c r="I74" s="159" t="str">
        <f>IFERROR(__xludf.DUMMYFUNCTION("""COMPUTED_VALUE"""),"155g")</f>
        <v>155g</v>
      </c>
      <c r="J74" s="64" t="str">
        <f>IFERROR(__xludf.DUMMYFUNCTION("""COMPUTED_VALUE"""),"185g")</f>
        <v>185g</v>
      </c>
      <c r="K74" s="64" t="str">
        <f>IFERROR(__xludf.DUMMYFUNCTION("""COMPUTED_VALUE"""),"195g")</f>
        <v>195g</v>
      </c>
      <c r="L74" s="64">
        <f>IFERROR(__xludf.DUMMYFUNCTION("""COMPUTED_VALUE"""),195.0)</f>
        <v>195</v>
      </c>
      <c r="M74" s="64" t="str">
        <f>IFERROR(__xludf.DUMMYFUNCTION("""COMPUTED_VALUE"""),"75g")</f>
        <v>75g</v>
      </c>
      <c r="N74" s="64" t="str">
        <f>IFERROR(__xludf.DUMMYFUNCTION("""COMPUTED_VALUE"""),"85g")</f>
        <v>85g</v>
      </c>
      <c r="O74" s="64" t="str">
        <f>IFERROR(__xludf.DUMMYFUNCTION("""COMPUTED_VALUE"""),"90x")</f>
        <v>90x</v>
      </c>
      <c r="P74" s="64">
        <f>IFERROR(__xludf.DUMMYFUNCTION("""COMPUTED_VALUE"""),85.0)</f>
        <v>85</v>
      </c>
      <c r="Q74" s="64" t="str">
        <f>IFERROR(__xludf.DUMMYFUNCTION("""COMPUTED_VALUE"""),"195g")</f>
        <v>195g</v>
      </c>
      <c r="R74" s="64" t="str">
        <f>IFERROR(__xludf.DUMMYFUNCTION("""COMPUTED_VALUE"""),"215g")</f>
        <v>215g</v>
      </c>
      <c r="S74" s="64" t="str">
        <f>IFERROR(__xludf.DUMMYFUNCTION("""COMPUTED_VALUE"""),"225x")</f>
        <v>225x</v>
      </c>
      <c r="T74" s="64">
        <f>IFERROR(__xludf.DUMMYFUNCTION("""COMPUTED_VALUE"""),215.0)</f>
        <v>215</v>
      </c>
      <c r="U74" s="64">
        <f>IFERROR(__xludf.DUMMYFUNCTION("""COMPUTED_VALUE"""),495.0)</f>
        <v>495</v>
      </c>
      <c r="V74" s="182">
        <f>IFERROR(__xludf.DUMMYFUNCTION("""COMPUTED_VALUE"""),4.152684563758389)</f>
        <v>4.152684564</v>
      </c>
      <c r="W74" s="57">
        <f>IFERROR(__xludf.DUMMYFUNCTION("""COMPUTED_VALUE"""),7.0)</f>
        <v>7</v>
      </c>
      <c r="X74" s="57"/>
      <c r="Y74" s="57"/>
    </row>
    <row r="75">
      <c r="B75" s="157" t="s">
        <v>129</v>
      </c>
      <c r="C75" s="157">
        <f>if(countif(F66:F74,F75)&gt;1,0,1)</f>
        <v>1</v>
      </c>
      <c r="D75" s="157" t="str">
        <f>IFERROR(__xludf.DUMMYFUNCTION("""COMPUTED_VALUE"""),"123 WJV")</f>
        <v>123 WJV</v>
      </c>
      <c r="E75" s="64" t="str">
        <f>IFERROR(__xludf.DUMMYFUNCTION("""COMPUTED_VALUE"""),"WJV")</f>
        <v>WJV</v>
      </c>
      <c r="F75" s="158" t="str">
        <f>IFERROR(__xludf.DUMMYFUNCTION("""COMPUTED_VALUE"""),"Standish-Sterling")</f>
        <v>Standish-Sterling</v>
      </c>
      <c r="G75" s="64">
        <f>IFERROR(__xludf.DUMMYFUNCTION("""COMPUTED_VALUE"""),119.9)</f>
        <v>119.9</v>
      </c>
      <c r="H75" s="158" t="str">
        <f>IFERROR(__xludf.DUMMYFUNCTION("""COMPUTED_VALUE"""),"Wallaker, Rylee")</f>
        <v>Wallaker, Rylee</v>
      </c>
      <c r="I75" s="159" t="str">
        <f>IFERROR(__xludf.DUMMYFUNCTION("""COMPUTED_VALUE"""),"140g")</f>
        <v>140g</v>
      </c>
      <c r="J75" s="64" t="str">
        <f>IFERROR(__xludf.DUMMYFUNCTION("""COMPUTED_VALUE"""),"155g")</f>
        <v>155g</v>
      </c>
      <c r="K75" s="64" t="str">
        <f>IFERROR(__xludf.DUMMYFUNCTION("""COMPUTED_VALUE"""),"175x")</f>
        <v>175x</v>
      </c>
      <c r="L75" s="64">
        <f>IFERROR(__xludf.DUMMYFUNCTION("""COMPUTED_VALUE"""),155.0)</f>
        <v>155</v>
      </c>
      <c r="M75" s="64" t="str">
        <f>IFERROR(__xludf.DUMMYFUNCTION("""COMPUTED_VALUE"""),"75g")</f>
        <v>75g</v>
      </c>
      <c r="N75" s="64" t="str">
        <f>IFERROR(__xludf.DUMMYFUNCTION("""COMPUTED_VALUE"""),"85g")</f>
        <v>85g</v>
      </c>
      <c r="O75" s="64" t="str">
        <f>IFERROR(__xludf.DUMMYFUNCTION("""COMPUTED_VALUE"""),"90x")</f>
        <v>90x</v>
      </c>
      <c r="P75" s="64">
        <f>IFERROR(__xludf.DUMMYFUNCTION("""COMPUTED_VALUE"""),85.0)</f>
        <v>85</v>
      </c>
      <c r="Q75" s="64" t="str">
        <f>IFERROR(__xludf.DUMMYFUNCTION("""COMPUTED_VALUE"""),"185g")</f>
        <v>185g</v>
      </c>
      <c r="R75" s="64" t="str">
        <f>IFERROR(__xludf.DUMMYFUNCTION("""COMPUTED_VALUE"""),"200g")</f>
        <v>200g</v>
      </c>
      <c r="S75" s="64" t="str">
        <f>IFERROR(__xludf.DUMMYFUNCTION("""COMPUTED_VALUE"""),"230g")</f>
        <v>230g</v>
      </c>
      <c r="T75" s="64">
        <f>IFERROR(__xludf.DUMMYFUNCTION("""COMPUTED_VALUE"""),230.0)</f>
        <v>230</v>
      </c>
      <c r="U75" s="64">
        <f>IFERROR(__xludf.DUMMYFUNCTION("""COMPUTED_VALUE"""),470.0)</f>
        <v>470</v>
      </c>
      <c r="V75" s="182">
        <f>IFERROR(__xludf.DUMMYFUNCTION("""COMPUTED_VALUE"""),3.9199332777314426)</f>
        <v>3.919933278</v>
      </c>
      <c r="W75" s="57">
        <f>IFERROR(__xludf.DUMMYFUNCTION("""COMPUTED_VALUE"""),7.0)</f>
        <v>7</v>
      </c>
      <c r="X75" s="57"/>
      <c r="Y75" s="57"/>
    </row>
    <row r="76">
      <c r="A76" s="67">
        <v>123.0</v>
      </c>
      <c r="B76" s="68" t="s">
        <v>542</v>
      </c>
      <c r="C76" s="68">
        <v>0.0</v>
      </c>
      <c r="D76" s="68" t="str">
        <f>IFERROR(__xludf.DUMMYFUNCTION("""COMPUTED_VALUE"""),"123 WJV")</f>
        <v>123 WJV</v>
      </c>
      <c r="E76" s="69" t="str">
        <f>IFERROR(__xludf.DUMMYFUNCTION("""COMPUTED_VALUE"""),"WJV")</f>
        <v>WJV</v>
      </c>
      <c r="F76" s="70" t="str">
        <f>IFERROR(__xludf.DUMMYFUNCTION("""COMPUTED_VALUE"""),"Central Lake")</f>
        <v>Central Lake</v>
      </c>
      <c r="G76" s="69">
        <f>IFERROR(__xludf.DUMMYFUNCTION("""COMPUTED_VALUE"""),120.2)</f>
        <v>120.2</v>
      </c>
      <c r="H76" s="70" t="str">
        <f>IFERROR(__xludf.DUMMYFUNCTION("""COMPUTED_VALUE"""),"Grafenauer, Kylie")</f>
        <v>Grafenauer, Kylie</v>
      </c>
      <c r="I76" s="71" t="str">
        <f>IFERROR(__xludf.DUMMYFUNCTION("""COMPUTED_VALUE"""),"140g")</f>
        <v>140g</v>
      </c>
      <c r="J76" s="69" t="str">
        <f>IFERROR(__xludf.DUMMYFUNCTION("""COMPUTED_VALUE"""),"155g")</f>
        <v>155g</v>
      </c>
      <c r="K76" s="69" t="str">
        <f>IFERROR(__xludf.DUMMYFUNCTION("""COMPUTED_VALUE"""),"165g")</f>
        <v>165g</v>
      </c>
      <c r="L76" s="69">
        <f>IFERROR(__xludf.DUMMYFUNCTION("""COMPUTED_VALUE"""),165.0)</f>
        <v>165</v>
      </c>
      <c r="M76" s="69" t="str">
        <f>IFERROR(__xludf.DUMMYFUNCTION("""COMPUTED_VALUE"""),"70g")</f>
        <v>70g</v>
      </c>
      <c r="N76" s="69" t="str">
        <f>IFERROR(__xludf.DUMMYFUNCTION("""COMPUTED_VALUE"""),"80g")</f>
        <v>80g</v>
      </c>
      <c r="O76" s="69" t="str">
        <f>IFERROR(__xludf.DUMMYFUNCTION("""COMPUTED_VALUE"""),"85x")</f>
        <v>85x</v>
      </c>
      <c r="P76" s="69">
        <f>IFERROR(__xludf.DUMMYFUNCTION("""COMPUTED_VALUE"""),80.0)</f>
        <v>80</v>
      </c>
      <c r="Q76" s="69" t="str">
        <f>IFERROR(__xludf.DUMMYFUNCTION("""COMPUTED_VALUE"""),"190g")</f>
        <v>190g</v>
      </c>
      <c r="R76" s="69" t="str">
        <f>IFERROR(__xludf.DUMMYFUNCTION("""COMPUTED_VALUE"""),"205g")</f>
        <v>205g</v>
      </c>
      <c r="S76" s="69" t="str">
        <f>IFERROR(__xludf.DUMMYFUNCTION("""COMPUTED_VALUE"""),"225g")</f>
        <v>225g</v>
      </c>
      <c r="T76" s="69">
        <f>IFERROR(__xludf.DUMMYFUNCTION("""COMPUTED_VALUE"""),225.0)</f>
        <v>225</v>
      </c>
      <c r="U76" s="69">
        <f>IFERROR(__xludf.DUMMYFUNCTION("""COMPUTED_VALUE"""),470.0)</f>
        <v>470</v>
      </c>
      <c r="V76" s="183">
        <f>IFERROR(__xludf.DUMMYFUNCTION("""COMPUTED_VALUE"""),3.9101497504159735)</f>
        <v>3.91014975</v>
      </c>
      <c r="W76" s="156">
        <f>IFERROR(__xludf.DUMMYFUNCTION("""COMPUTED_VALUE"""),8.0)</f>
        <v>8</v>
      </c>
      <c r="X76" s="156"/>
      <c r="Y76" s="156"/>
    </row>
    <row r="77">
      <c r="B77" s="68" t="s">
        <v>543</v>
      </c>
      <c r="C77" s="68">
        <v>0.0</v>
      </c>
      <c r="D77" s="68" t="str">
        <f>IFERROR(__xludf.DUMMYFUNCTION("""COMPUTED_VALUE"""),"123 WJV")</f>
        <v>123 WJV</v>
      </c>
      <c r="E77" s="69" t="str">
        <f>IFERROR(__xludf.DUMMYFUNCTION("""COMPUTED_VALUE"""),"WJV")</f>
        <v>WJV</v>
      </c>
      <c r="F77" s="70" t="str">
        <f>IFERROR(__xludf.DUMMYFUNCTION("""COMPUTED_VALUE"""),"Goodrich")</f>
        <v>Goodrich</v>
      </c>
      <c r="G77" s="69">
        <f>IFERROR(__xludf.DUMMYFUNCTION("""COMPUTED_VALUE"""),122.6)</f>
        <v>122.6</v>
      </c>
      <c r="H77" s="70" t="str">
        <f>IFERROR(__xludf.DUMMYFUNCTION("""COMPUTED_VALUE"""),"Sardo, Michaela")</f>
        <v>Sardo, Michaela</v>
      </c>
      <c r="I77" s="71" t="str">
        <f>IFERROR(__xludf.DUMMYFUNCTION("""COMPUTED_VALUE"""),"135g")</f>
        <v>135g</v>
      </c>
      <c r="J77" s="69" t="str">
        <f>IFERROR(__xludf.DUMMYFUNCTION("""COMPUTED_VALUE"""),"155x")</f>
        <v>155x</v>
      </c>
      <c r="K77" s="69" t="str">
        <f>IFERROR(__xludf.DUMMYFUNCTION("""COMPUTED_VALUE"""),"155x")</f>
        <v>155x</v>
      </c>
      <c r="L77" s="69">
        <f>IFERROR(__xludf.DUMMYFUNCTION("""COMPUTED_VALUE"""),135.0)</f>
        <v>135</v>
      </c>
      <c r="M77" s="69" t="str">
        <f>IFERROR(__xludf.DUMMYFUNCTION("""COMPUTED_VALUE"""),"75g")</f>
        <v>75g</v>
      </c>
      <c r="N77" s="69" t="str">
        <f>IFERROR(__xludf.DUMMYFUNCTION("""COMPUTED_VALUE"""),"90g")</f>
        <v>90g</v>
      </c>
      <c r="O77" s="69" t="str">
        <f>IFERROR(__xludf.DUMMYFUNCTION("""COMPUTED_VALUE"""),"100x")</f>
        <v>100x</v>
      </c>
      <c r="P77" s="69">
        <f>IFERROR(__xludf.DUMMYFUNCTION("""COMPUTED_VALUE"""),90.0)</f>
        <v>90</v>
      </c>
      <c r="Q77" s="69" t="str">
        <f>IFERROR(__xludf.DUMMYFUNCTION("""COMPUTED_VALUE"""),"215g")</f>
        <v>215g</v>
      </c>
      <c r="R77" s="69" t="str">
        <f>IFERROR(__xludf.DUMMYFUNCTION("""COMPUTED_VALUE"""),"230g")</f>
        <v>230g</v>
      </c>
      <c r="S77" s="69" t="str">
        <f>IFERROR(__xludf.DUMMYFUNCTION("""COMPUTED_VALUE"""),"245g")</f>
        <v>245g</v>
      </c>
      <c r="T77" s="69">
        <f>IFERROR(__xludf.DUMMYFUNCTION("""COMPUTED_VALUE"""),245.0)</f>
        <v>245</v>
      </c>
      <c r="U77" s="69">
        <f>IFERROR(__xludf.DUMMYFUNCTION("""COMPUTED_VALUE"""),470.0)</f>
        <v>470</v>
      </c>
      <c r="V77" s="183">
        <f>IFERROR(__xludf.DUMMYFUNCTION("""COMPUTED_VALUE"""),3.8336052202283852)</f>
        <v>3.83360522</v>
      </c>
      <c r="W77" s="156">
        <f>IFERROR(__xludf.DUMMYFUNCTION("""COMPUTED_VALUE"""),6.0)</f>
        <v>6</v>
      </c>
      <c r="X77" s="156"/>
      <c r="Y77" s="156"/>
    </row>
    <row r="78">
      <c r="B78" s="68" t="s">
        <v>544</v>
      </c>
      <c r="C78" s="68">
        <v>0.0</v>
      </c>
      <c r="D78" s="68" t="str">
        <f>IFERROR(__xludf.DUMMYFUNCTION("""COMPUTED_VALUE"""),"123 WJV")</f>
        <v>123 WJV</v>
      </c>
      <c r="E78" s="69" t="str">
        <f>IFERROR(__xludf.DUMMYFUNCTION("""COMPUTED_VALUE"""),"WJV")</f>
        <v>WJV</v>
      </c>
      <c r="F78" s="70" t="str">
        <f>IFERROR(__xludf.DUMMYFUNCTION("""COMPUTED_VALUE"""),"Flushing")</f>
        <v>Flushing</v>
      </c>
      <c r="G78" s="69">
        <f>IFERROR(__xludf.DUMMYFUNCTION("""COMPUTED_VALUE"""),120.6)</f>
        <v>120.6</v>
      </c>
      <c r="H78" s="70" t="str">
        <f>IFERROR(__xludf.DUMMYFUNCTION("""COMPUTED_VALUE"""),"Ostrander, Sophie")</f>
        <v>Ostrander, Sophie</v>
      </c>
      <c r="I78" s="71" t="str">
        <f>IFERROR(__xludf.DUMMYFUNCTION("""COMPUTED_VALUE"""),"145g")</f>
        <v>145g</v>
      </c>
      <c r="J78" s="69" t="str">
        <f>IFERROR(__xludf.DUMMYFUNCTION("""COMPUTED_VALUE"""),"155g")</f>
        <v>155g</v>
      </c>
      <c r="K78" s="69" t="str">
        <f>IFERROR(__xludf.DUMMYFUNCTION("""COMPUTED_VALUE"""),"165g")</f>
        <v>165g</v>
      </c>
      <c r="L78" s="69">
        <f>IFERROR(__xludf.DUMMYFUNCTION("""COMPUTED_VALUE"""),165.0)</f>
        <v>165</v>
      </c>
      <c r="M78" s="69" t="str">
        <f>IFERROR(__xludf.DUMMYFUNCTION("""COMPUTED_VALUE"""),"85g")</f>
        <v>85g</v>
      </c>
      <c r="N78" s="69" t="str">
        <f>IFERROR(__xludf.DUMMYFUNCTION("""COMPUTED_VALUE"""),"95g")</f>
        <v>95g</v>
      </c>
      <c r="O78" s="69" t="str">
        <f>IFERROR(__xludf.DUMMYFUNCTION("""COMPUTED_VALUE"""),"105x")</f>
        <v>105x</v>
      </c>
      <c r="P78" s="69">
        <f>IFERROR(__xludf.DUMMYFUNCTION("""COMPUTED_VALUE"""),95.0)</f>
        <v>95</v>
      </c>
      <c r="Q78" s="69" t="str">
        <f>IFERROR(__xludf.DUMMYFUNCTION("""COMPUTED_VALUE"""),"165g")</f>
        <v>165g</v>
      </c>
      <c r="R78" s="69" t="str">
        <f>IFERROR(__xludf.DUMMYFUNCTION("""COMPUTED_VALUE"""),"175g")</f>
        <v>175g</v>
      </c>
      <c r="S78" s="69" t="str">
        <f>IFERROR(__xludf.DUMMYFUNCTION("""COMPUTED_VALUE"""),"190g")</f>
        <v>190g</v>
      </c>
      <c r="T78" s="69">
        <f>IFERROR(__xludf.DUMMYFUNCTION("""COMPUTED_VALUE"""),190.0)</f>
        <v>190</v>
      </c>
      <c r="U78" s="69">
        <f>IFERROR(__xludf.DUMMYFUNCTION("""COMPUTED_VALUE"""),450.0)</f>
        <v>450</v>
      </c>
      <c r="V78" s="183">
        <f>IFERROR(__xludf.DUMMYFUNCTION("""COMPUTED_VALUE"""),3.7313432835820897)</f>
        <v>3.731343284</v>
      </c>
      <c r="W78" s="156">
        <f>IFERROR(__xludf.DUMMYFUNCTION("""COMPUTED_VALUE"""),8.0)</f>
        <v>8</v>
      </c>
      <c r="X78" s="156"/>
      <c r="Y78" s="156"/>
    </row>
    <row r="79">
      <c r="B79" s="68" t="s">
        <v>545</v>
      </c>
      <c r="C79" s="68">
        <v>0.0</v>
      </c>
      <c r="D79" s="68" t="str">
        <f>IFERROR(__xludf.DUMMYFUNCTION("""COMPUTED_VALUE"""),"123 WJV")</f>
        <v>123 WJV</v>
      </c>
      <c r="E79" s="69" t="str">
        <f>IFERROR(__xludf.DUMMYFUNCTION("""COMPUTED_VALUE"""),"WJV")</f>
        <v>WJV</v>
      </c>
      <c r="F79" s="70" t="str">
        <f>IFERROR(__xludf.DUMMYFUNCTION("""COMPUTED_VALUE"""),"Standish-Sterling")</f>
        <v>Standish-Sterling</v>
      </c>
      <c r="G79" s="69">
        <f>IFERROR(__xludf.DUMMYFUNCTION("""COMPUTED_VALUE"""),121.3)</f>
        <v>121.3</v>
      </c>
      <c r="H79" s="70" t="str">
        <f>IFERROR(__xludf.DUMMYFUNCTION("""COMPUTED_VALUE"""),"Stodolak, Malorie")</f>
        <v>Stodolak, Malorie</v>
      </c>
      <c r="I79" s="71" t="str">
        <f>IFERROR(__xludf.DUMMYFUNCTION("""COMPUTED_VALUE"""),"145g")</f>
        <v>145g</v>
      </c>
      <c r="J79" s="69" t="str">
        <f>IFERROR(__xludf.DUMMYFUNCTION("""COMPUTED_VALUE"""),"160g")</f>
        <v>160g</v>
      </c>
      <c r="K79" s="69" t="str">
        <f>IFERROR(__xludf.DUMMYFUNCTION("""COMPUTED_VALUE"""),"170x")</f>
        <v>170x</v>
      </c>
      <c r="L79" s="69">
        <f>IFERROR(__xludf.DUMMYFUNCTION("""COMPUTED_VALUE"""),160.0)</f>
        <v>160</v>
      </c>
      <c r="M79" s="69" t="str">
        <f>IFERROR(__xludf.DUMMYFUNCTION("""COMPUTED_VALUE"""),"55g")</f>
        <v>55g</v>
      </c>
      <c r="N79" s="69" t="str">
        <f>IFERROR(__xludf.DUMMYFUNCTION("""COMPUTED_VALUE"""),"65g")</f>
        <v>65g</v>
      </c>
      <c r="O79" s="69" t="str">
        <f>IFERROR(__xludf.DUMMYFUNCTION("""COMPUTED_VALUE"""),"75g")</f>
        <v>75g</v>
      </c>
      <c r="P79" s="69">
        <f>IFERROR(__xludf.DUMMYFUNCTION("""COMPUTED_VALUE"""),75.0)</f>
        <v>75</v>
      </c>
      <c r="Q79" s="69" t="str">
        <f>IFERROR(__xludf.DUMMYFUNCTION("""COMPUTED_VALUE"""),"175g")</f>
        <v>175g</v>
      </c>
      <c r="R79" s="69" t="str">
        <f>IFERROR(__xludf.DUMMYFUNCTION("""COMPUTED_VALUE"""),"185g")</f>
        <v>185g</v>
      </c>
      <c r="S79" s="69" t="str">
        <f>IFERROR(__xludf.DUMMYFUNCTION("""COMPUTED_VALUE"""),"200x")</f>
        <v>200x</v>
      </c>
      <c r="T79" s="69">
        <f>IFERROR(__xludf.DUMMYFUNCTION("""COMPUTED_VALUE"""),185.0)</f>
        <v>185</v>
      </c>
      <c r="U79" s="69">
        <f>IFERROR(__xludf.DUMMYFUNCTION("""COMPUTED_VALUE"""),420.0)</f>
        <v>420</v>
      </c>
      <c r="V79" s="183">
        <f>IFERROR(__xludf.DUMMYFUNCTION("""COMPUTED_VALUE"""),3.462489694971146)</f>
        <v>3.462489695</v>
      </c>
      <c r="W79" s="156">
        <f>IFERROR(__xludf.DUMMYFUNCTION("""COMPUTED_VALUE"""),7.0)</f>
        <v>7</v>
      </c>
      <c r="X79" s="156"/>
      <c r="Y79" s="156"/>
    </row>
    <row r="80">
      <c r="B80" s="68" t="s">
        <v>546</v>
      </c>
      <c r="C80" s="68">
        <v>0.0</v>
      </c>
      <c r="D80" s="68" t="str">
        <f>IFERROR(__xludf.DUMMYFUNCTION("""COMPUTED_VALUE"""),"123 WJV")</f>
        <v>123 WJV</v>
      </c>
      <c r="E80" s="69" t="str">
        <f>IFERROR(__xludf.DUMMYFUNCTION("""COMPUTED_VALUE"""),"WJV")</f>
        <v>WJV</v>
      </c>
      <c r="F80" s="70" t="str">
        <f>IFERROR(__xludf.DUMMYFUNCTION("""COMPUTED_VALUE"""),"Birch Run")</f>
        <v>Birch Run</v>
      </c>
      <c r="G80" s="69">
        <f>IFERROR(__xludf.DUMMYFUNCTION("""COMPUTED_VALUE"""),121.5)</f>
        <v>121.5</v>
      </c>
      <c r="H80" s="70" t="str">
        <f>IFERROR(__xludf.DUMMYFUNCTION("""COMPUTED_VALUE"""),"Sabraw, Kylie")</f>
        <v>Sabraw, Kylie</v>
      </c>
      <c r="I80" s="71" t="str">
        <f>IFERROR(__xludf.DUMMYFUNCTION("""COMPUTED_VALUE"""),"130x")</f>
        <v>130x</v>
      </c>
      <c r="J80" s="69" t="str">
        <f>IFERROR(__xludf.DUMMYFUNCTION("""COMPUTED_VALUE"""),"130g")</f>
        <v>130g</v>
      </c>
      <c r="K80" s="69" t="str">
        <f>IFERROR(__xludf.DUMMYFUNCTION("""COMPUTED_VALUE"""),"145g")</f>
        <v>145g</v>
      </c>
      <c r="L80" s="69">
        <f>IFERROR(__xludf.DUMMYFUNCTION("""COMPUTED_VALUE"""),145.0)</f>
        <v>145</v>
      </c>
      <c r="M80" s="69" t="str">
        <f>IFERROR(__xludf.DUMMYFUNCTION("""COMPUTED_VALUE"""),"85g")</f>
        <v>85g</v>
      </c>
      <c r="N80" s="69" t="str">
        <f>IFERROR(__xludf.DUMMYFUNCTION("""COMPUTED_VALUE"""),"90x")</f>
        <v>90x</v>
      </c>
      <c r="O80" s="69" t="str">
        <f>IFERROR(__xludf.DUMMYFUNCTION("""COMPUTED_VALUE"""),"90x")</f>
        <v>90x</v>
      </c>
      <c r="P80" s="69">
        <f>IFERROR(__xludf.DUMMYFUNCTION("""COMPUTED_VALUE"""),85.0)</f>
        <v>85</v>
      </c>
      <c r="Q80" s="69" t="str">
        <f>IFERROR(__xludf.DUMMYFUNCTION("""COMPUTED_VALUE"""),"170g")</f>
        <v>170g</v>
      </c>
      <c r="R80" s="69" t="str">
        <f>IFERROR(__xludf.DUMMYFUNCTION("""COMPUTED_VALUE"""),"190g")</f>
        <v>190g</v>
      </c>
      <c r="S80" s="69" t="str">
        <f>IFERROR(__xludf.DUMMYFUNCTION("""COMPUTED_VALUE"""),"210x")</f>
        <v>210x</v>
      </c>
      <c r="T80" s="69">
        <f>IFERROR(__xludf.DUMMYFUNCTION("""COMPUTED_VALUE"""),190.0)</f>
        <v>190</v>
      </c>
      <c r="U80" s="69">
        <f>IFERROR(__xludf.DUMMYFUNCTION("""COMPUTED_VALUE"""),420.0)</f>
        <v>420</v>
      </c>
      <c r="V80" s="183">
        <f>IFERROR(__xludf.DUMMYFUNCTION("""COMPUTED_VALUE"""),3.45679012345679)</f>
        <v>3.456790123</v>
      </c>
      <c r="W80" s="156">
        <f>IFERROR(__xludf.DUMMYFUNCTION("""COMPUTED_VALUE"""),5.0)</f>
        <v>5</v>
      </c>
      <c r="X80" s="156"/>
      <c r="Y80" s="156"/>
    </row>
    <row r="81">
      <c r="B81" s="68" t="s">
        <v>547</v>
      </c>
      <c r="C81" s="68">
        <v>0.0</v>
      </c>
      <c r="D81" s="68" t="str">
        <f>IFERROR(__xludf.DUMMYFUNCTION("""COMPUTED_VALUE"""),"123 WJV")</f>
        <v>123 WJV</v>
      </c>
      <c r="E81" s="69" t="str">
        <f>IFERROR(__xludf.DUMMYFUNCTION("""COMPUTED_VALUE"""),"WJV")</f>
        <v>WJV</v>
      </c>
      <c r="F81" s="70" t="str">
        <f>IFERROR(__xludf.DUMMYFUNCTION("""COMPUTED_VALUE"""),"Lake Orion")</f>
        <v>Lake Orion</v>
      </c>
      <c r="G81" s="69">
        <f>IFERROR(__xludf.DUMMYFUNCTION("""COMPUTED_VALUE"""),121.2)</f>
        <v>121.2</v>
      </c>
      <c r="H81" s="70" t="str">
        <f>IFERROR(__xludf.DUMMYFUNCTION("""COMPUTED_VALUE"""),"Selent, Cailee")</f>
        <v>Selent, Cailee</v>
      </c>
      <c r="I81" s="71" t="str">
        <f>IFERROR(__xludf.DUMMYFUNCTION("""COMPUTED_VALUE"""),"125g")</f>
        <v>125g</v>
      </c>
      <c r="J81" s="69" t="str">
        <f>IFERROR(__xludf.DUMMYFUNCTION("""COMPUTED_VALUE"""),"135x")</f>
        <v>135x</v>
      </c>
      <c r="K81" s="69" t="str">
        <f>IFERROR(__xludf.DUMMYFUNCTION("""COMPUTED_VALUE"""),"135g")</f>
        <v>135g</v>
      </c>
      <c r="L81" s="69">
        <f>IFERROR(__xludf.DUMMYFUNCTION("""COMPUTED_VALUE"""),135.0)</f>
        <v>135</v>
      </c>
      <c r="M81" s="69" t="str">
        <f>IFERROR(__xludf.DUMMYFUNCTION("""COMPUTED_VALUE"""),"70g")</f>
        <v>70g</v>
      </c>
      <c r="N81" s="69" t="str">
        <f>IFERROR(__xludf.DUMMYFUNCTION("""COMPUTED_VALUE"""),"75g")</f>
        <v>75g</v>
      </c>
      <c r="O81" s="69" t="str">
        <f>IFERROR(__xludf.DUMMYFUNCTION("""COMPUTED_VALUE"""),"80x")</f>
        <v>80x</v>
      </c>
      <c r="P81" s="69">
        <f>IFERROR(__xludf.DUMMYFUNCTION("""COMPUTED_VALUE"""),75.0)</f>
        <v>75</v>
      </c>
      <c r="Q81" s="69" t="str">
        <f>IFERROR(__xludf.DUMMYFUNCTION("""COMPUTED_VALUE"""),"185g")</f>
        <v>185g</v>
      </c>
      <c r="R81" s="69" t="str">
        <f>IFERROR(__xludf.DUMMYFUNCTION("""COMPUTED_VALUE"""),"200x")</f>
        <v>200x</v>
      </c>
      <c r="S81" s="69" t="str">
        <f>IFERROR(__xludf.DUMMYFUNCTION("""COMPUTED_VALUE"""),"200g")</f>
        <v>200g</v>
      </c>
      <c r="T81" s="69">
        <f>IFERROR(__xludf.DUMMYFUNCTION("""COMPUTED_VALUE"""),200.0)</f>
        <v>200</v>
      </c>
      <c r="U81" s="69">
        <f>IFERROR(__xludf.DUMMYFUNCTION("""COMPUTED_VALUE"""),410.0)</f>
        <v>410</v>
      </c>
      <c r="V81" s="183">
        <f>IFERROR(__xludf.DUMMYFUNCTION("""COMPUTED_VALUE"""),3.3828382838283826)</f>
        <v>3.382838284</v>
      </c>
      <c r="W81" s="156">
        <f>IFERROR(__xludf.DUMMYFUNCTION("""COMPUTED_VALUE"""),6.0)</f>
        <v>6</v>
      </c>
      <c r="X81" s="156"/>
      <c r="Y81" s="156"/>
    </row>
    <row r="82">
      <c r="B82" s="68" t="s">
        <v>548</v>
      </c>
      <c r="C82" s="68">
        <v>0.0</v>
      </c>
      <c r="D82" s="68" t="str">
        <f>IFERROR(__xludf.DUMMYFUNCTION("""COMPUTED_VALUE"""),"123 WJV")</f>
        <v>123 WJV</v>
      </c>
      <c r="E82" s="69" t="str">
        <f>IFERROR(__xludf.DUMMYFUNCTION("""COMPUTED_VALUE"""),"WJV")</f>
        <v>WJV</v>
      </c>
      <c r="F82" s="70" t="str">
        <f>IFERROR(__xludf.DUMMYFUNCTION("""COMPUTED_VALUE"""),"Standish-Sterling")</f>
        <v>Standish-Sterling</v>
      </c>
      <c r="G82" s="69">
        <f>IFERROR(__xludf.DUMMYFUNCTION("""COMPUTED_VALUE"""),118.9)</f>
        <v>118.9</v>
      </c>
      <c r="H82" s="70" t="str">
        <f>IFERROR(__xludf.DUMMYFUNCTION("""COMPUTED_VALUE"""),"Murphy, Kari")</f>
        <v>Murphy, Kari</v>
      </c>
      <c r="I82" s="71" t="str">
        <f>IFERROR(__xludf.DUMMYFUNCTION("""COMPUTED_VALUE"""),"135g")</f>
        <v>135g</v>
      </c>
      <c r="J82" s="69" t="str">
        <f>IFERROR(__xludf.DUMMYFUNCTION("""COMPUTED_VALUE"""),"145x")</f>
        <v>145x</v>
      </c>
      <c r="K82" s="69" t="str">
        <f>IFERROR(__xludf.DUMMYFUNCTION("""COMPUTED_VALUE"""),"145g")</f>
        <v>145g</v>
      </c>
      <c r="L82" s="69">
        <f>IFERROR(__xludf.DUMMYFUNCTION("""COMPUTED_VALUE"""),145.0)</f>
        <v>145</v>
      </c>
      <c r="M82" s="69" t="str">
        <f>IFERROR(__xludf.DUMMYFUNCTION("""COMPUTED_VALUE"""),"70g")</f>
        <v>70g</v>
      </c>
      <c r="N82" s="69" t="str">
        <f>IFERROR(__xludf.DUMMYFUNCTION("""COMPUTED_VALUE"""),"80g")</f>
        <v>80g</v>
      </c>
      <c r="O82" s="69" t="str">
        <f>IFERROR(__xludf.DUMMYFUNCTION("""COMPUTED_VALUE"""),"85x")</f>
        <v>85x</v>
      </c>
      <c r="P82" s="69">
        <f>IFERROR(__xludf.DUMMYFUNCTION("""COMPUTED_VALUE"""),80.0)</f>
        <v>80</v>
      </c>
      <c r="Q82" s="69" t="str">
        <f>IFERROR(__xludf.DUMMYFUNCTION("""COMPUTED_VALUE"""),"170g")</f>
        <v>170g</v>
      </c>
      <c r="R82" s="69" t="str">
        <f>IFERROR(__xludf.DUMMYFUNCTION("""COMPUTED_VALUE"""),"180g")</f>
        <v>180g</v>
      </c>
      <c r="S82" s="69" t="str">
        <f>IFERROR(__xludf.DUMMYFUNCTION("""COMPUTED_VALUE"""),"180x")</f>
        <v>180x</v>
      </c>
      <c r="T82" s="69">
        <f>IFERROR(__xludf.DUMMYFUNCTION("""COMPUTED_VALUE"""),180.0)</f>
        <v>180</v>
      </c>
      <c r="U82" s="69">
        <f>IFERROR(__xludf.DUMMYFUNCTION("""COMPUTED_VALUE"""),405.0)</f>
        <v>405</v>
      </c>
      <c r="V82" s="183">
        <f>IFERROR(__xludf.DUMMYFUNCTION("""COMPUTED_VALUE"""),3.4062237174095875)</f>
        <v>3.406223717</v>
      </c>
      <c r="W82" s="156">
        <f>IFERROR(__xludf.DUMMYFUNCTION("""COMPUTED_VALUE"""),6.0)</f>
        <v>6</v>
      </c>
      <c r="X82" s="156"/>
      <c r="Y82" s="156"/>
    </row>
    <row r="83">
      <c r="B83" s="68" t="s">
        <v>549</v>
      </c>
      <c r="C83" s="68">
        <v>0.0</v>
      </c>
      <c r="D83" s="68" t="str">
        <f>IFERROR(__xludf.DUMMYFUNCTION("""COMPUTED_VALUE"""),"123 WJV")</f>
        <v>123 WJV</v>
      </c>
      <c r="E83" s="69" t="str">
        <f>IFERROR(__xludf.DUMMYFUNCTION("""COMPUTED_VALUE"""),"WJV")</f>
        <v>WJV</v>
      </c>
      <c r="F83" s="70" t="str">
        <f>IFERROR(__xludf.DUMMYFUNCTION("""COMPUTED_VALUE"""),"Kalkaska")</f>
        <v>Kalkaska</v>
      </c>
      <c r="G83" s="69">
        <f>IFERROR(__xludf.DUMMYFUNCTION("""COMPUTED_VALUE"""),119.8)</f>
        <v>119.8</v>
      </c>
      <c r="H83" s="70" t="str">
        <f>IFERROR(__xludf.DUMMYFUNCTION("""COMPUTED_VALUE"""),"Bowman, Samantha")</f>
        <v>Bowman, Samantha</v>
      </c>
      <c r="I83" s="71" t="str">
        <f>IFERROR(__xludf.DUMMYFUNCTION("""COMPUTED_VALUE"""),"95g")</f>
        <v>95g</v>
      </c>
      <c r="J83" s="69" t="str">
        <f>IFERROR(__xludf.DUMMYFUNCTION("""COMPUTED_VALUE"""),"115g")</f>
        <v>115g</v>
      </c>
      <c r="K83" s="69" t="str">
        <f>IFERROR(__xludf.DUMMYFUNCTION("""COMPUTED_VALUE"""),"145x")</f>
        <v>145x</v>
      </c>
      <c r="L83" s="69">
        <f>IFERROR(__xludf.DUMMYFUNCTION("""COMPUTED_VALUE"""),115.0)</f>
        <v>115</v>
      </c>
      <c r="M83" s="69" t="str">
        <f>IFERROR(__xludf.DUMMYFUNCTION("""COMPUTED_VALUE"""),"70g")</f>
        <v>70g</v>
      </c>
      <c r="N83" s="69" t="str">
        <f>IFERROR(__xludf.DUMMYFUNCTION("""COMPUTED_VALUE"""),"75x")</f>
        <v>75x</v>
      </c>
      <c r="O83" s="69" t="str">
        <f>IFERROR(__xludf.DUMMYFUNCTION("""COMPUTED_VALUE"""),"75x")</f>
        <v>75x</v>
      </c>
      <c r="P83" s="69">
        <f>IFERROR(__xludf.DUMMYFUNCTION("""COMPUTED_VALUE"""),70.0)</f>
        <v>70</v>
      </c>
      <c r="Q83" s="69" t="str">
        <f>IFERROR(__xludf.DUMMYFUNCTION("""COMPUTED_VALUE"""),"165g")</f>
        <v>165g</v>
      </c>
      <c r="R83" s="69" t="str">
        <f>IFERROR(__xludf.DUMMYFUNCTION("""COMPUTED_VALUE"""),"195g")</f>
        <v>195g</v>
      </c>
      <c r="S83" s="69" t="str">
        <f>IFERROR(__xludf.DUMMYFUNCTION("""COMPUTED_VALUE"""),"220g")</f>
        <v>220g</v>
      </c>
      <c r="T83" s="69">
        <f>IFERROR(__xludf.DUMMYFUNCTION("""COMPUTED_VALUE"""),220.0)</f>
        <v>220</v>
      </c>
      <c r="U83" s="69">
        <f>IFERROR(__xludf.DUMMYFUNCTION("""COMPUTED_VALUE"""),405.0)</f>
        <v>405</v>
      </c>
      <c r="V83" s="183">
        <f>IFERROR(__xludf.DUMMYFUNCTION("""COMPUTED_VALUE"""),3.3806343906510854)</f>
        <v>3.380634391</v>
      </c>
      <c r="W83" s="156">
        <f>IFERROR(__xludf.DUMMYFUNCTION("""COMPUTED_VALUE"""),6.0)</f>
        <v>6</v>
      </c>
      <c r="X83" s="156"/>
      <c r="Y83" s="156"/>
    </row>
    <row r="84">
      <c r="B84" s="68" t="s">
        <v>550</v>
      </c>
      <c r="C84" s="68">
        <v>0.0</v>
      </c>
      <c r="D84" s="68" t="str">
        <f>IFERROR(__xludf.DUMMYFUNCTION("""COMPUTED_VALUE"""),"123 WJV")</f>
        <v>123 WJV</v>
      </c>
      <c r="E84" s="69" t="str">
        <f>IFERROR(__xludf.DUMMYFUNCTION("""COMPUTED_VALUE"""),"WJV")</f>
        <v>WJV</v>
      </c>
      <c r="F84" s="70" t="str">
        <f>IFERROR(__xludf.DUMMYFUNCTION("""COMPUTED_VALUE"""),"North Branch")</f>
        <v>North Branch</v>
      </c>
      <c r="G84" s="69">
        <f>IFERROR(__xludf.DUMMYFUNCTION("""COMPUTED_VALUE"""),121.4)</f>
        <v>121.4</v>
      </c>
      <c r="H84" s="70" t="str">
        <f>IFERROR(__xludf.DUMMYFUNCTION("""COMPUTED_VALUE"""),"Gregory, Gracie")</f>
        <v>Gregory, Gracie</v>
      </c>
      <c r="I84" s="71" t="str">
        <f>IFERROR(__xludf.DUMMYFUNCTION("""COMPUTED_VALUE"""),"130g")</f>
        <v>130g</v>
      </c>
      <c r="J84" s="69" t="str">
        <f>IFERROR(__xludf.DUMMYFUNCTION("""COMPUTED_VALUE"""),"140g")</f>
        <v>140g</v>
      </c>
      <c r="K84" s="69" t="str">
        <f>IFERROR(__xludf.DUMMYFUNCTION("""COMPUTED_VALUE"""),"150x")</f>
        <v>150x</v>
      </c>
      <c r="L84" s="69">
        <f>IFERROR(__xludf.DUMMYFUNCTION("""COMPUTED_VALUE"""),140.0)</f>
        <v>140</v>
      </c>
      <c r="M84" s="69" t="str">
        <f>IFERROR(__xludf.DUMMYFUNCTION("""COMPUTED_VALUE"""),"90g")</f>
        <v>90g</v>
      </c>
      <c r="N84" s="69" t="str">
        <f>IFERROR(__xludf.DUMMYFUNCTION("""COMPUTED_VALUE"""),"95g")</f>
        <v>95g</v>
      </c>
      <c r="O84" s="69" t="str">
        <f>IFERROR(__xludf.DUMMYFUNCTION("""COMPUTED_VALUE"""),"100x")</f>
        <v>100x</v>
      </c>
      <c r="P84" s="69">
        <f>IFERROR(__xludf.DUMMYFUNCTION("""COMPUTED_VALUE"""),95.0)</f>
        <v>95</v>
      </c>
      <c r="Q84" s="69" t="str">
        <f>IFERROR(__xludf.DUMMYFUNCTION("""COMPUTED_VALUE"""),"140g")</f>
        <v>140g</v>
      </c>
      <c r="R84" s="69" t="str">
        <f>IFERROR(__xludf.DUMMYFUNCTION("""COMPUTED_VALUE"""),"155g")</f>
        <v>155g</v>
      </c>
      <c r="S84" s="69" t="str">
        <f>IFERROR(__xludf.DUMMYFUNCTION("""COMPUTED_VALUE"""),"170g")</f>
        <v>170g</v>
      </c>
      <c r="T84" s="69">
        <f>IFERROR(__xludf.DUMMYFUNCTION("""COMPUTED_VALUE"""),170.0)</f>
        <v>170</v>
      </c>
      <c r="U84" s="69">
        <f>IFERROR(__xludf.DUMMYFUNCTION("""COMPUTED_VALUE"""),405.0)</f>
        <v>405</v>
      </c>
      <c r="V84" s="183">
        <f>IFERROR(__xludf.DUMMYFUNCTION("""COMPUTED_VALUE"""),3.3360790774299836)</f>
        <v>3.336079077</v>
      </c>
      <c r="W84" s="156">
        <f>IFERROR(__xludf.DUMMYFUNCTION("""COMPUTED_VALUE"""),7.0)</f>
        <v>7</v>
      </c>
      <c r="X84" s="156"/>
      <c r="Y84" s="156"/>
    </row>
    <row r="85">
      <c r="B85" s="68" t="s">
        <v>551</v>
      </c>
      <c r="C85" s="68">
        <v>0.0</v>
      </c>
      <c r="D85" s="68" t="str">
        <f>IFERROR(__xludf.DUMMYFUNCTION("""COMPUTED_VALUE"""),"123 WJV")</f>
        <v>123 WJV</v>
      </c>
      <c r="E85" s="69" t="str">
        <f>IFERROR(__xludf.DUMMYFUNCTION("""COMPUTED_VALUE"""),"WJV")</f>
        <v>WJV</v>
      </c>
      <c r="F85" s="70" t="str">
        <f>IFERROR(__xludf.DUMMYFUNCTION("""COMPUTED_VALUE"""),"Goodrich")</f>
        <v>Goodrich</v>
      </c>
      <c r="G85" s="69">
        <f>IFERROR(__xludf.DUMMYFUNCTION("""COMPUTED_VALUE"""),121.4)</f>
        <v>121.4</v>
      </c>
      <c r="H85" s="70" t="str">
        <f>IFERROR(__xludf.DUMMYFUNCTION("""COMPUTED_VALUE"""),"Lang, Alexis")</f>
        <v>Lang, Alexis</v>
      </c>
      <c r="I85" s="71" t="str">
        <f>IFERROR(__xludf.DUMMYFUNCTION("""COMPUTED_VALUE"""),"125g")</f>
        <v>125g</v>
      </c>
      <c r="J85" s="69" t="str">
        <f>IFERROR(__xludf.DUMMYFUNCTION("""COMPUTED_VALUE"""),"135x")</f>
        <v>135x</v>
      </c>
      <c r="K85" s="69" t="str">
        <f>IFERROR(__xludf.DUMMYFUNCTION("""COMPUTED_VALUE"""),"135x")</f>
        <v>135x</v>
      </c>
      <c r="L85" s="69">
        <f>IFERROR(__xludf.DUMMYFUNCTION("""COMPUTED_VALUE"""),125.0)</f>
        <v>125</v>
      </c>
      <c r="M85" s="69" t="str">
        <f>IFERROR(__xludf.DUMMYFUNCTION("""COMPUTED_VALUE"""),"65g")</f>
        <v>65g</v>
      </c>
      <c r="N85" s="69" t="str">
        <f>IFERROR(__xludf.DUMMYFUNCTION("""COMPUTED_VALUE"""),"75g")</f>
        <v>75g</v>
      </c>
      <c r="O85" s="69" t="str">
        <f>IFERROR(__xludf.DUMMYFUNCTION("""COMPUTED_VALUE"""),"80x")</f>
        <v>80x</v>
      </c>
      <c r="P85" s="69">
        <f>IFERROR(__xludf.DUMMYFUNCTION("""COMPUTED_VALUE"""),75.0)</f>
        <v>75</v>
      </c>
      <c r="Q85" s="69" t="str">
        <f>IFERROR(__xludf.DUMMYFUNCTION("""COMPUTED_VALUE"""),"175g")</f>
        <v>175g</v>
      </c>
      <c r="R85" s="69" t="str">
        <f>IFERROR(__xludf.DUMMYFUNCTION("""COMPUTED_VALUE"""),"195g")</f>
        <v>195g</v>
      </c>
      <c r="S85" s="69" t="str">
        <f>IFERROR(__xludf.DUMMYFUNCTION("""COMPUTED_VALUE"""),"205x")</f>
        <v>205x</v>
      </c>
      <c r="T85" s="69">
        <f>IFERROR(__xludf.DUMMYFUNCTION("""COMPUTED_VALUE"""),195.0)</f>
        <v>195</v>
      </c>
      <c r="U85" s="69">
        <f>IFERROR(__xludf.DUMMYFUNCTION("""COMPUTED_VALUE"""),395.0)</f>
        <v>395</v>
      </c>
      <c r="V85" s="183">
        <f>IFERROR(__xludf.DUMMYFUNCTION("""COMPUTED_VALUE"""),3.2537067545304774)</f>
        <v>3.253706755</v>
      </c>
      <c r="W85" s="156">
        <f>IFERROR(__xludf.DUMMYFUNCTION("""COMPUTED_VALUE"""),5.0)</f>
        <v>5</v>
      </c>
      <c r="X85" s="156"/>
      <c r="Y85" s="156"/>
    </row>
    <row r="86">
      <c r="A86" s="58">
        <v>132.0</v>
      </c>
      <c r="B86" s="157" t="s">
        <v>120</v>
      </c>
      <c r="C86" s="157">
        <v>12.0</v>
      </c>
      <c r="D86" s="57" t="str">
        <f>IFERROR(__xludf.DUMMYFUNCTION("ARRAY_CONSTRAIN(filter('All Platforms'!A3:T1802,'All Platforms'!A3:A1802=""132 WJV""),20,20)"),"132 WJV")</f>
        <v>132 WJV</v>
      </c>
      <c r="E86" s="64" t="str">
        <f>IFERROR(__xludf.DUMMYFUNCTION("""COMPUTED_VALUE"""),"WJV")</f>
        <v>WJV</v>
      </c>
      <c r="F86" s="158" t="str">
        <f>IFERROR(__xludf.DUMMYFUNCTION("""COMPUTED_VALUE"""),"Central Montcalm")</f>
        <v>Central Montcalm</v>
      </c>
      <c r="G86" s="64">
        <f>IFERROR(__xludf.DUMMYFUNCTION("""COMPUTED_VALUE"""),130.8)</f>
        <v>130.8</v>
      </c>
      <c r="H86" s="158" t="str">
        <f>IFERROR(__xludf.DUMMYFUNCTION("""COMPUTED_VALUE"""),"Long, Madison")</f>
        <v>Long, Madison</v>
      </c>
      <c r="I86" s="159" t="str">
        <f>IFERROR(__xludf.DUMMYFUNCTION("""COMPUTED_VALUE"""),"195g")</f>
        <v>195g</v>
      </c>
      <c r="J86" s="64" t="str">
        <f>IFERROR(__xludf.DUMMYFUNCTION("""COMPUTED_VALUE"""),"205g")</f>
        <v>205g</v>
      </c>
      <c r="K86" s="64" t="str">
        <f>IFERROR(__xludf.DUMMYFUNCTION("""COMPUTED_VALUE"""),"215x")</f>
        <v>215x</v>
      </c>
      <c r="L86" s="64">
        <f>IFERROR(__xludf.DUMMYFUNCTION("""COMPUTED_VALUE"""),205.0)</f>
        <v>205</v>
      </c>
      <c r="M86" s="64" t="str">
        <f>IFERROR(__xludf.DUMMYFUNCTION("""COMPUTED_VALUE"""),"95g")</f>
        <v>95g</v>
      </c>
      <c r="N86" s="64" t="str">
        <f>IFERROR(__xludf.DUMMYFUNCTION("""COMPUTED_VALUE"""),"105g")</f>
        <v>105g</v>
      </c>
      <c r="O86" s="64" t="str">
        <f>IFERROR(__xludf.DUMMYFUNCTION("""COMPUTED_VALUE"""),"110g")</f>
        <v>110g</v>
      </c>
      <c r="P86" s="64">
        <f>IFERROR(__xludf.DUMMYFUNCTION("""COMPUTED_VALUE"""),110.0)</f>
        <v>110</v>
      </c>
      <c r="Q86" s="64" t="str">
        <f>IFERROR(__xludf.DUMMYFUNCTION("""COMPUTED_VALUE"""),"225g")</f>
        <v>225g</v>
      </c>
      <c r="R86" s="64" t="str">
        <f>IFERROR(__xludf.DUMMYFUNCTION("""COMPUTED_VALUE"""),"255g")</f>
        <v>255g</v>
      </c>
      <c r="S86" s="64" t="str">
        <f>IFERROR(__xludf.DUMMYFUNCTION("""COMPUTED_VALUE"""),"275g")</f>
        <v>275g</v>
      </c>
      <c r="T86" s="64">
        <f>IFERROR(__xludf.DUMMYFUNCTION("""COMPUTED_VALUE"""),275.0)</f>
        <v>275</v>
      </c>
      <c r="U86" s="64">
        <f>IFERROR(__xludf.DUMMYFUNCTION("""COMPUTED_VALUE"""),590.0)</f>
        <v>590</v>
      </c>
      <c r="V86" s="182">
        <f>IFERROR(__xludf.DUMMYFUNCTION("""COMPUTED_VALUE"""),4.510703363914373)</f>
        <v>4.510703364</v>
      </c>
      <c r="W86" s="57">
        <f>IFERROR(__xludf.DUMMYFUNCTION("""COMPUTED_VALUE"""),8.0)</f>
        <v>8</v>
      </c>
      <c r="X86" s="57"/>
      <c r="Y86" s="57"/>
    </row>
    <row r="87">
      <c r="B87" s="157" t="s">
        <v>121</v>
      </c>
      <c r="C87" s="157">
        <v>9.0</v>
      </c>
      <c r="D87" s="157" t="str">
        <f>IFERROR(__xludf.DUMMYFUNCTION("""COMPUTED_VALUE"""),"132 WJV")</f>
        <v>132 WJV</v>
      </c>
      <c r="E87" s="64" t="str">
        <f>IFERROR(__xludf.DUMMYFUNCTION("""COMPUTED_VALUE"""),"WJV")</f>
        <v>WJV</v>
      </c>
      <c r="F87" s="158" t="str">
        <f>IFERROR(__xludf.DUMMYFUNCTION("""COMPUTED_VALUE"""),"Independent")</f>
        <v>Independent</v>
      </c>
      <c r="G87" s="64">
        <f>IFERROR(__xludf.DUMMYFUNCTION("""COMPUTED_VALUE"""),128.1)</f>
        <v>128.1</v>
      </c>
      <c r="H87" s="158" t="str">
        <f>IFERROR(__xludf.DUMMYFUNCTION("""COMPUTED_VALUE"""),"Clark, Reagan")</f>
        <v>Clark, Reagan</v>
      </c>
      <c r="I87" s="159" t="str">
        <f>IFERROR(__xludf.DUMMYFUNCTION("""COMPUTED_VALUE"""),"180x")</f>
        <v>180x</v>
      </c>
      <c r="J87" s="64" t="str">
        <f>IFERROR(__xludf.DUMMYFUNCTION("""COMPUTED_VALUE"""),"180g")</f>
        <v>180g</v>
      </c>
      <c r="K87" s="64" t="str">
        <f>IFERROR(__xludf.DUMMYFUNCTION("""COMPUTED_VALUE"""),"200g")</f>
        <v>200g</v>
      </c>
      <c r="L87" s="64">
        <f>IFERROR(__xludf.DUMMYFUNCTION("""COMPUTED_VALUE"""),200.0)</f>
        <v>200</v>
      </c>
      <c r="M87" s="64" t="str">
        <f>IFERROR(__xludf.DUMMYFUNCTION("""COMPUTED_VALUE"""),"90g")</f>
        <v>90g</v>
      </c>
      <c r="N87" s="64" t="str">
        <f>IFERROR(__xludf.DUMMYFUNCTION("""COMPUTED_VALUE"""),"95g")</f>
        <v>95g</v>
      </c>
      <c r="O87" s="64" t="str">
        <f>IFERROR(__xludf.DUMMYFUNCTION("""COMPUTED_VALUE"""),"105g")</f>
        <v>105g</v>
      </c>
      <c r="P87" s="64">
        <f>IFERROR(__xludf.DUMMYFUNCTION("""COMPUTED_VALUE"""),105.0)</f>
        <v>105</v>
      </c>
      <c r="Q87" s="64" t="str">
        <f>IFERROR(__xludf.DUMMYFUNCTION("""COMPUTED_VALUE"""),"250g")</f>
        <v>250g</v>
      </c>
      <c r="R87" s="64" t="str">
        <f>IFERROR(__xludf.DUMMYFUNCTION("""COMPUTED_VALUE"""),"260g")</f>
        <v>260g</v>
      </c>
      <c r="S87" s="64" t="str">
        <f>IFERROR(__xludf.DUMMYFUNCTION("""COMPUTED_VALUE"""),"270g")</f>
        <v>270g</v>
      </c>
      <c r="T87" s="64">
        <f>IFERROR(__xludf.DUMMYFUNCTION("""COMPUTED_VALUE"""),270.0)</f>
        <v>270</v>
      </c>
      <c r="U87" s="64">
        <f>IFERROR(__xludf.DUMMYFUNCTION("""COMPUTED_VALUE"""),575.0)</f>
        <v>575</v>
      </c>
      <c r="V87" s="182">
        <f>IFERROR(__xludf.DUMMYFUNCTION("""COMPUTED_VALUE"""),4.488680718188915)</f>
        <v>4.488680718</v>
      </c>
      <c r="W87" s="57">
        <f>IFERROR(__xludf.DUMMYFUNCTION("""COMPUTED_VALUE"""),8.0)</f>
        <v>8</v>
      </c>
      <c r="X87" s="57"/>
      <c r="Y87" s="57"/>
    </row>
    <row r="88">
      <c r="B88" s="157" t="s">
        <v>122</v>
      </c>
      <c r="C88" s="157">
        <f>if(countif(F86:F87,F88)&gt;1,0,8)</f>
        <v>8</v>
      </c>
      <c r="D88" s="157" t="str">
        <f>IFERROR(__xludf.DUMMYFUNCTION("""COMPUTED_VALUE"""),"132 WJV")</f>
        <v>132 WJV</v>
      </c>
      <c r="E88" s="64" t="str">
        <f>IFERROR(__xludf.DUMMYFUNCTION("""COMPUTED_VALUE"""),"WJV")</f>
        <v>WJV</v>
      </c>
      <c r="F88" s="158" t="str">
        <f>IFERROR(__xludf.DUMMYFUNCTION("""COMPUTED_VALUE"""),"Central Montcalm")</f>
        <v>Central Montcalm</v>
      </c>
      <c r="G88" s="64">
        <f>IFERROR(__xludf.DUMMYFUNCTION("""COMPUTED_VALUE"""),124.7)</f>
        <v>124.7</v>
      </c>
      <c r="H88" s="158" t="str">
        <f>IFERROR(__xludf.DUMMYFUNCTION("""COMPUTED_VALUE"""),"Scott, Azlynn")</f>
        <v>Scott, Azlynn</v>
      </c>
      <c r="I88" s="159" t="str">
        <f>IFERROR(__xludf.DUMMYFUNCTION("""COMPUTED_VALUE"""),"175g")</f>
        <v>175g</v>
      </c>
      <c r="J88" s="64" t="str">
        <f>IFERROR(__xludf.DUMMYFUNCTION("""COMPUTED_VALUE"""),"185g")</f>
        <v>185g</v>
      </c>
      <c r="K88" s="64" t="str">
        <f>IFERROR(__xludf.DUMMYFUNCTION("""COMPUTED_VALUE"""),"190g")</f>
        <v>190g</v>
      </c>
      <c r="L88" s="64">
        <f>IFERROR(__xludf.DUMMYFUNCTION("""COMPUTED_VALUE"""),190.0)</f>
        <v>190</v>
      </c>
      <c r="M88" s="64" t="str">
        <f>IFERROR(__xludf.DUMMYFUNCTION("""COMPUTED_VALUE"""),"105g")</f>
        <v>105g</v>
      </c>
      <c r="N88" s="64" t="str">
        <f>IFERROR(__xludf.DUMMYFUNCTION("""COMPUTED_VALUE"""),"115g")</f>
        <v>115g</v>
      </c>
      <c r="O88" s="64" t="str">
        <f>IFERROR(__xludf.DUMMYFUNCTION("""COMPUTED_VALUE"""),"120x")</f>
        <v>120x</v>
      </c>
      <c r="P88" s="64">
        <f>IFERROR(__xludf.DUMMYFUNCTION("""COMPUTED_VALUE"""),115.0)</f>
        <v>115</v>
      </c>
      <c r="Q88" s="64" t="str">
        <f>IFERROR(__xludf.DUMMYFUNCTION("""COMPUTED_VALUE"""),"215g")</f>
        <v>215g</v>
      </c>
      <c r="R88" s="64" t="str">
        <f>IFERROR(__xludf.DUMMYFUNCTION("""COMPUTED_VALUE"""),"235g")</f>
        <v>235g</v>
      </c>
      <c r="S88" s="64" t="str">
        <f>IFERROR(__xludf.DUMMYFUNCTION("""COMPUTED_VALUE"""),"250g")</f>
        <v>250g</v>
      </c>
      <c r="T88" s="64">
        <f>IFERROR(__xludf.DUMMYFUNCTION("""COMPUTED_VALUE"""),250.0)</f>
        <v>250</v>
      </c>
      <c r="U88" s="64">
        <f>IFERROR(__xludf.DUMMYFUNCTION("""COMPUTED_VALUE"""),555.0)</f>
        <v>555</v>
      </c>
      <c r="V88" s="182">
        <f>IFERROR(__xludf.DUMMYFUNCTION("""COMPUTED_VALUE"""),4.450681635926223)</f>
        <v>4.450681636</v>
      </c>
      <c r="W88" s="57">
        <f>IFERROR(__xludf.DUMMYFUNCTION("""COMPUTED_VALUE"""),8.0)</f>
        <v>8</v>
      </c>
      <c r="X88" s="57"/>
      <c r="Y88" s="57"/>
    </row>
    <row r="89">
      <c r="B89" s="157" t="s">
        <v>123</v>
      </c>
      <c r="C89" s="157">
        <f>if(countif(F86:F88,F89)&gt;1,0,7)</f>
        <v>7</v>
      </c>
      <c r="D89" s="157" t="str">
        <f>IFERROR(__xludf.DUMMYFUNCTION("""COMPUTED_VALUE"""),"132 WJV")</f>
        <v>132 WJV</v>
      </c>
      <c r="E89" s="64" t="str">
        <f>IFERROR(__xludf.DUMMYFUNCTION("""COMPUTED_VALUE"""),"WJV")</f>
        <v>WJV</v>
      </c>
      <c r="F89" s="158" t="str">
        <f>IFERROR(__xludf.DUMMYFUNCTION("""COMPUTED_VALUE"""),"Lake Orion")</f>
        <v>Lake Orion</v>
      </c>
      <c r="G89" s="64">
        <f>IFERROR(__xludf.DUMMYFUNCTION("""COMPUTED_VALUE"""),127.3)</f>
        <v>127.3</v>
      </c>
      <c r="H89" s="158" t="str">
        <f>IFERROR(__xludf.DUMMYFUNCTION("""COMPUTED_VALUE"""),"McVety, Kylee")</f>
        <v>McVety, Kylee</v>
      </c>
      <c r="I89" s="159" t="str">
        <f>IFERROR(__xludf.DUMMYFUNCTION("""COMPUTED_VALUE"""),"180g")</f>
        <v>180g</v>
      </c>
      <c r="J89" s="64" t="str">
        <f>IFERROR(__xludf.DUMMYFUNCTION("""COMPUTED_VALUE"""),"190g")</f>
        <v>190g</v>
      </c>
      <c r="K89" s="64" t="str">
        <f>IFERROR(__xludf.DUMMYFUNCTION("""COMPUTED_VALUE"""),"200x")</f>
        <v>200x</v>
      </c>
      <c r="L89" s="64">
        <f>IFERROR(__xludf.DUMMYFUNCTION("""COMPUTED_VALUE"""),190.0)</f>
        <v>190</v>
      </c>
      <c r="M89" s="64" t="str">
        <f>IFERROR(__xludf.DUMMYFUNCTION("""COMPUTED_VALUE"""),"120g")</f>
        <v>120g</v>
      </c>
      <c r="N89" s="64" t="str">
        <f>IFERROR(__xludf.DUMMYFUNCTION("""COMPUTED_VALUE"""),"125x")</f>
        <v>125x</v>
      </c>
      <c r="O89" s="64" t="str">
        <f>IFERROR(__xludf.DUMMYFUNCTION("""COMPUTED_VALUE"""),"125x")</f>
        <v>125x</v>
      </c>
      <c r="P89" s="64">
        <f>IFERROR(__xludf.DUMMYFUNCTION("""COMPUTED_VALUE"""),120.0)</f>
        <v>120</v>
      </c>
      <c r="Q89" s="64" t="str">
        <f>IFERROR(__xludf.DUMMYFUNCTION("""COMPUTED_VALUE"""),"240g")</f>
        <v>240g</v>
      </c>
      <c r="R89" s="64" t="str">
        <f>IFERROR(__xludf.DUMMYFUNCTION("""COMPUTED_VALUE"""),"260x")</f>
        <v>260x</v>
      </c>
      <c r="S89" s="64" t="str">
        <f>IFERROR(__xludf.DUMMYFUNCTION("""COMPUTED_VALUE"""),"260x")</f>
        <v>260x</v>
      </c>
      <c r="T89" s="64">
        <f>IFERROR(__xludf.DUMMYFUNCTION("""COMPUTED_VALUE"""),240.0)</f>
        <v>240</v>
      </c>
      <c r="U89" s="64">
        <f>IFERROR(__xludf.DUMMYFUNCTION("""COMPUTED_VALUE"""),550.0)</f>
        <v>550</v>
      </c>
      <c r="V89" s="182">
        <f>IFERROR(__xludf.DUMMYFUNCTION("""COMPUTED_VALUE"""),4.32050274941084)</f>
        <v>4.320502749</v>
      </c>
      <c r="W89" s="57">
        <f>IFERROR(__xludf.DUMMYFUNCTION("""COMPUTED_VALUE"""),4.0)</f>
        <v>4</v>
      </c>
      <c r="X89" s="57"/>
      <c r="Y89" s="57"/>
    </row>
    <row r="90">
      <c r="B90" s="157" t="s">
        <v>124</v>
      </c>
      <c r="C90" s="157">
        <f>if(countif(F86:F89,F90)&gt;1,0,6)</f>
        <v>6</v>
      </c>
      <c r="D90" s="157" t="str">
        <f>IFERROR(__xludf.DUMMYFUNCTION("""COMPUTED_VALUE"""),"132 WJV")</f>
        <v>132 WJV</v>
      </c>
      <c r="E90" s="64" t="str">
        <f>IFERROR(__xludf.DUMMYFUNCTION("""COMPUTED_VALUE"""),"WJV")</f>
        <v>WJV</v>
      </c>
      <c r="F90" s="158" t="str">
        <f>IFERROR(__xludf.DUMMYFUNCTION("""COMPUTED_VALUE"""),"Almont")</f>
        <v>Almont</v>
      </c>
      <c r="G90" s="64">
        <f>IFERROR(__xludf.DUMMYFUNCTION("""COMPUTED_VALUE"""),130.4)</f>
        <v>130.4</v>
      </c>
      <c r="H90" s="158" t="str">
        <f>IFERROR(__xludf.DUMMYFUNCTION("""COMPUTED_VALUE"""),"Burchi, Brianna")</f>
        <v>Burchi, Brianna</v>
      </c>
      <c r="I90" s="159" t="str">
        <f>IFERROR(__xludf.DUMMYFUNCTION("""COMPUTED_VALUE"""),"180g")</f>
        <v>180g</v>
      </c>
      <c r="J90" s="64" t="str">
        <f>IFERROR(__xludf.DUMMYFUNCTION("""COMPUTED_VALUE"""),"200g")</f>
        <v>200g</v>
      </c>
      <c r="K90" s="64" t="str">
        <f>IFERROR(__xludf.DUMMYFUNCTION("""COMPUTED_VALUE"""),"215x")</f>
        <v>215x</v>
      </c>
      <c r="L90" s="64">
        <f>IFERROR(__xludf.DUMMYFUNCTION("""COMPUTED_VALUE"""),200.0)</f>
        <v>200</v>
      </c>
      <c r="M90" s="64" t="str">
        <f>IFERROR(__xludf.DUMMYFUNCTION("""COMPUTED_VALUE"""),"85g")</f>
        <v>85g</v>
      </c>
      <c r="N90" s="64" t="str">
        <f>IFERROR(__xludf.DUMMYFUNCTION("""COMPUTED_VALUE"""),"95g")</f>
        <v>95g</v>
      </c>
      <c r="O90" s="64" t="str">
        <f>IFERROR(__xludf.DUMMYFUNCTION("""COMPUTED_VALUE"""),"100g")</f>
        <v>100g</v>
      </c>
      <c r="P90" s="64">
        <f>IFERROR(__xludf.DUMMYFUNCTION("""COMPUTED_VALUE"""),100.0)</f>
        <v>100</v>
      </c>
      <c r="Q90" s="64" t="str">
        <f>IFERROR(__xludf.DUMMYFUNCTION("""COMPUTED_VALUE"""),"200g")</f>
        <v>200g</v>
      </c>
      <c r="R90" s="64" t="str">
        <f>IFERROR(__xludf.DUMMYFUNCTION("""COMPUTED_VALUE"""),"220g")</f>
        <v>220g</v>
      </c>
      <c r="S90" s="64" t="str">
        <f>IFERROR(__xludf.DUMMYFUNCTION("""COMPUTED_VALUE"""),"235g")</f>
        <v>235g</v>
      </c>
      <c r="T90" s="64">
        <f>IFERROR(__xludf.DUMMYFUNCTION("""COMPUTED_VALUE"""),235.0)</f>
        <v>235</v>
      </c>
      <c r="U90" s="64">
        <f>IFERROR(__xludf.DUMMYFUNCTION("""COMPUTED_VALUE"""),535.0)</f>
        <v>535</v>
      </c>
      <c r="V90" s="182">
        <f>IFERROR(__xludf.DUMMYFUNCTION("""COMPUTED_VALUE"""),4.102760736196319)</f>
        <v>4.102760736</v>
      </c>
      <c r="W90" s="57">
        <f>IFERROR(__xludf.DUMMYFUNCTION("""COMPUTED_VALUE"""),8.0)</f>
        <v>8</v>
      </c>
      <c r="X90" s="57"/>
      <c r="Y90" s="57"/>
    </row>
    <row r="91">
      <c r="B91" s="157" t="s">
        <v>125</v>
      </c>
      <c r="C91" s="157">
        <f>if(countif(F86:F90,F91)&gt;1,0,5)</f>
        <v>5</v>
      </c>
      <c r="D91" s="157" t="str">
        <f>IFERROR(__xludf.DUMMYFUNCTION("""COMPUTED_VALUE"""),"132 WJV")</f>
        <v>132 WJV</v>
      </c>
      <c r="E91" s="64" t="str">
        <f>IFERROR(__xludf.DUMMYFUNCTION("""COMPUTED_VALUE"""),"WJV")</f>
        <v>WJV</v>
      </c>
      <c r="F91" s="158" t="str">
        <f>IFERROR(__xludf.DUMMYFUNCTION("""COMPUTED_VALUE"""),"Port Huron")</f>
        <v>Port Huron</v>
      </c>
      <c r="G91" s="64">
        <f>IFERROR(__xludf.DUMMYFUNCTION("""COMPUTED_VALUE"""),131.3)</f>
        <v>131.3</v>
      </c>
      <c r="H91" s="158" t="str">
        <f>IFERROR(__xludf.DUMMYFUNCTION("""COMPUTED_VALUE"""),"Reid, Ariana")</f>
        <v>Reid, Ariana</v>
      </c>
      <c r="I91" s="159" t="str">
        <f>IFERROR(__xludf.DUMMYFUNCTION("""COMPUTED_VALUE"""),"140g")</f>
        <v>140g</v>
      </c>
      <c r="J91" s="64" t="str">
        <f>IFERROR(__xludf.DUMMYFUNCTION("""COMPUTED_VALUE"""),"150g")</f>
        <v>150g</v>
      </c>
      <c r="K91" s="64" t="str">
        <f>IFERROR(__xludf.DUMMYFUNCTION("""COMPUTED_VALUE"""),"160g")</f>
        <v>160g</v>
      </c>
      <c r="L91" s="64">
        <f>IFERROR(__xludf.DUMMYFUNCTION("""COMPUTED_VALUE"""),160.0)</f>
        <v>160</v>
      </c>
      <c r="M91" s="64" t="str">
        <f>IFERROR(__xludf.DUMMYFUNCTION("""COMPUTED_VALUE"""),"95g")</f>
        <v>95g</v>
      </c>
      <c r="N91" s="64" t="str">
        <f>IFERROR(__xludf.DUMMYFUNCTION("""COMPUTED_VALUE"""),"100g")</f>
        <v>100g</v>
      </c>
      <c r="O91" s="64" t="str">
        <f>IFERROR(__xludf.DUMMYFUNCTION("""COMPUTED_VALUE"""),"105x")</f>
        <v>105x</v>
      </c>
      <c r="P91" s="64">
        <f>IFERROR(__xludf.DUMMYFUNCTION("""COMPUTED_VALUE"""),100.0)</f>
        <v>100</v>
      </c>
      <c r="Q91" s="64" t="str">
        <f>IFERROR(__xludf.DUMMYFUNCTION("""COMPUTED_VALUE"""),"260g")</f>
        <v>260g</v>
      </c>
      <c r="R91" s="64" t="str">
        <f>IFERROR(__xludf.DUMMYFUNCTION("""COMPUTED_VALUE"""),"280x")</f>
        <v>280x</v>
      </c>
      <c r="S91" s="64" t="str">
        <f>IFERROR(__xludf.DUMMYFUNCTION("""COMPUTED_VALUE"""),"280x")</f>
        <v>280x</v>
      </c>
      <c r="T91" s="64">
        <f>IFERROR(__xludf.DUMMYFUNCTION("""COMPUTED_VALUE"""),260.0)</f>
        <v>260</v>
      </c>
      <c r="U91" s="64">
        <f>IFERROR(__xludf.DUMMYFUNCTION("""COMPUTED_VALUE"""),520.0)</f>
        <v>520</v>
      </c>
      <c r="V91" s="182">
        <f>IFERROR(__xludf.DUMMYFUNCTION("""COMPUTED_VALUE"""),3.96039603960396)</f>
        <v>3.96039604</v>
      </c>
      <c r="W91" s="57">
        <f>IFERROR(__xludf.DUMMYFUNCTION("""COMPUTED_VALUE"""),6.0)</f>
        <v>6</v>
      </c>
      <c r="X91" s="57"/>
      <c r="Y91" s="57"/>
    </row>
    <row r="92">
      <c r="B92" s="157" t="s">
        <v>126</v>
      </c>
      <c r="C92" s="157">
        <f>if(countif(F86:F91,F92)&gt;1,0,4)</f>
        <v>4</v>
      </c>
      <c r="D92" s="157" t="str">
        <f>IFERROR(__xludf.DUMMYFUNCTION("""COMPUTED_VALUE"""),"132 WJV")</f>
        <v>132 WJV</v>
      </c>
      <c r="E92" s="64" t="str">
        <f>IFERROR(__xludf.DUMMYFUNCTION("""COMPUTED_VALUE"""),"WJV")</f>
        <v>WJV</v>
      </c>
      <c r="F92" s="158" t="str">
        <f>IFERROR(__xludf.DUMMYFUNCTION("""COMPUTED_VALUE"""),"Martin")</f>
        <v>Martin</v>
      </c>
      <c r="G92" s="64">
        <f>IFERROR(__xludf.DUMMYFUNCTION("""COMPUTED_VALUE"""),126.6)</f>
        <v>126.6</v>
      </c>
      <c r="H92" s="158" t="str">
        <f>IFERROR(__xludf.DUMMYFUNCTION("""COMPUTED_VALUE"""),"Reinke, Elizabeth")</f>
        <v>Reinke, Elizabeth</v>
      </c>
      <c r="I92" s="159" t="str">
        <f>IFERROR(__xludf.DUMMYFUNCTION("""COMPUTED_VALUE"""),"140g")</f>
        <v>140g</v>
      </c>
      <c r="J92" s="64" t="str">
        <f>IFERROR(__xludf.DUMMYFUNCTION("""COMPUTED_VALUE"""),"165g")</f>
        <v>165g</v>
      </c>
      <c r="K92" s="64" t="str">
        <f>IFERROR(__xludf.DUMMYFUNCTION("""COMPUTED_VALUE"""),"180x")</f>
        <v>180x</v>
      </c>
      <c r="L92" s="64">
        <f>IFERROR(__xludf.DUMMYFUNCTION("""COMPUTED_VALUE"""),165.0)</f>
        <v>165</v>
      </c>
      <c r="M92" s="64" t="str">
        <f>IFERROR(__xludf.DUMMYFUNCTION("""COMPUTED_VALUE"""),"80g")</f>
        <v>80g</v>
      </c>
      <c r="N92" s="64" t="str">
        <f>IFERROR(__xludf.DUMMYFUNCTION("""COMPUTED_VALUE"""),"90g")</f>
        <v>90g</v>
      </c>
      <c r="O92" s="64" t="str">
        <f>IFERROR(__xludf.DUMMYFUNCTION("""COMPUTED_VALUE"""),"95g")</f>
        <v>95g</v>
      </c>
      <c r="P92" s="64">
        <f>IFERROR(__xludf.DUMMYFUNCTION("""COMPUTED_VALUE"""),95.0)</f>
        <v>95</v>
      </c>
      <c r="Q92" s="64" t="str">
        <f>IFERROR(__xludf.DUMMYFUNCTION("""COMPUTED_VALUE"""),"215g")</f>
        <v>215g</v>
      </c>
      <c r="R92" s="64" t="str">
        <f>IFERROR(__xludf.DUMMYFUNCTION("""COMPUTED_VALUE"""),"235g")</f>
        <v>235g</v>
      </c>
      <c r="S92" s="64" t="str">
        <f>IFERROR(__xludf.DUMMYFUNCTION("""COMPUTED_VALUE"""),"250g")</f>
        <v>250g</v>
      </c>
      <c r="T92" s="64">
        <f>IFERROR(__xludf.DUMMYFUNCTION("""COMPUTED_VALUE"""),250.0)</f>
        <v>250</v>
      </c>
      <c r="U92" s="64">
        <f>IFERROR(__xludf.DUMMYFUNCTION("""COMPUTED_VALUE"""),510.0)</f>
        <v>510</v>
      </c>
      <c r="V92" s="182">
        <f>IFERROR(__xludf.DUMMYFUNCTION("""COMPUTED_VALUE"""),4.028436018957346)</f>
        <v>4.028436019</v>
      </c>
      <c r="W92" s="57">
        <f>IFERROR(__xludf.DUMMYFUNCTION("""COMPUTED_VALUE"""),8.0)</f>
        <v>8</v>
      </c>
      <c r="X92" s="57"/>
      <c r="Y92" s="57"/>
    </row>
    <row r="93">
      <c r="B93" s="157" t="s">
        <v>127</v>
      </c>
      <c r="C93" s="157">
        <f>if(countif(F86:F92,F93)&gt;1,0,3)</f>
        <v>3</v>
      </c>
      <c r="D93" s="157" t="str">
        <f>IFERROR(__xludf.DUMMYFUNCTION("""COMPUTED_VALUE"""),"132 WJV")</f>
        <v>132 WJV</v>
      </c>
      <c r="E93" s="64" t="str">
        <f>IFERROR(__xludf.DUMMYFUNCTION("""COMPUTED_VALUE"""),"WJV")</f>
        <v>WJV</v>
      </c>
      <c r="F93" s="158" t="str">
        <f>IFERROR(__xludf.DUMMYFUNCTION("""COMPUTED_VALUE"""),"Port Huron")</f>
        <v>Port Huron</v>
      </c>
      <c r="G93" s="64">
        <f>IFERROR(__xludf.DUMMYFUNCTION("""COMPUTED_VALUE"""),127.2)</f>
        <v>127.2</v>
      </c>
      <c r="H93" s="158" t="str">
        <f>IFERROR(__xludf.DUMMYFUNCTION("""COMPUTED_VALUE"""),"Hunger, Hope")</f>
        <v>Hunger, Hope</v>
      </c>
      <c r="I93" s="159" t="str">
        <f>IFERROR(__xludf.DUMMYFUNCTION("""COMPUTED_VALUE"""),"135x")</f>
        <v>135x</v>
      </c>
      <c r="J93" s="64" t="str">
        <f>IFERROR(__xludf.DUMMYFUNCTION("""COMPUTED_VALUE"""),"135g")</f>
        <v>135g</v>
      </c>
      <c r="K93" s="64" t="str">
        <f>IFERROR(__xludf.DUMMYFUNCTION("""COMPUTED_VALUE"""),"155g")</f>
        <v>155g</v>
      </c>
      <c r="L93" s="64">
        <f>IFERROR(__xludf.DUMMYFUNCTION("""COMPUTED_VALUE"""),155.0)</f>
        <v>155</v>
      </c>
      <c r="M93" s="64" t="str">
        <f>IFERROR(__xludf.DUMMYFUNCTION("""COMPUTED_VALUE"""),"85g")</f>
        <v>85g</v>
      </c>
      <c r="N93" s="64" t="str">
        <f>IFERROR(__xludf.DUMMYFUNCTION("""COMPUTED_VALUE"""),"90g")</f>
        <v>90g</v>
      </c>
      <c r="O93" s="64" t="str">
        <f>IFERROR(__xludf.DUMMYFUNCTION("""COMPUTED_VALUE"""),"95g")</f>
        <v>95g</v>
      </c>
      <c r="P93" s="64">
        <f>IFERROR(__xludf.DUMMYFUNCTION("""COMPUTED_VALUE"""),95.0)</f>
        <v>95</v>
      </c>
      <c r="Q93" s="64" t="str">
        <f>IFERROR(__xludf.DUMMYFUNCTION("""COMPUTED_VALUE"""),"225g")</f>
        <v>225g</v>
      </c>
      <c r="R93" s="64" t="str">
        <f>IFERROR(__xludf.DUMMYFUNCTION("""COMPUTED_VALUE"""),"240g")</f>
        <v>240g</v>
      </c>
      <c r="S93" s="64" t="str">
        <f>IFERROR(__xludf.DUMMYFUNCTION("""COMPUTED_VALUE"""),"255g")</f>
        <v>255g</v>
      </c>
      <c r="T93" s="64">
        <f>IFERROR(__xludf.DUMMYFUNCTION("""COMPUTED_VALUE"""),255.0)</f>
        <v>255</v>
      </c>
      <c r="U93" s="64">
        <f>IFERROR(__xludf.DUMMYFUNCTION("""COMPUTED_VALUE"""),505.0)</f>
        <v>505</v>
      </c>
      <c r="V93" s="182">
        <f>IFERROR(__xludf.DUMMYFUNCTION("""COMPUTED_VALUE"""),3.9701257861635217)</f>
        <v>3.970125786</v>
      </c>
      <c r="W93" s="57">
        <f>IFERROR(__xludf.DUMMYFUNCTION("""COMPUTED_VALUE"""),8.0)</f>
        <v>8</v>
      </c>
      <c r="X93" s="57"/>
      <c r="Y93" s="57"/>
    </row>
    <row r="94">
      <c r="B94" s="157" t="s">
        <v>128</v>
      </c>
      <c r="C94" s="157">
        <f>if(countif(F86:F93,F94)&gt;1,0,2)</f>
        <v>2</v>
      </c>
      <c r="D94" s="157" t="str">
        <f>IFERROR(__xludf.DUMMYFUNCTION("""COMPUTED_VALUE"""),"132 WJV")</f>
        <v>132 WJV</v>
      </c>
      <c r="E94" s="64" t="str">
        <f>IFERROR(__xludf.DUMMYFUNCTION("""COMPUTED_VALUE"""),"WJV")</f>
        <v>WJV</v>
      </c>
      <c r="F94" s="158" t="str">
        <f>IFERROR(__xludf.DUMMYFUNCTION("""COMPUTED_VALUE"""),"Mona Shores")</f>
        <v>Mona Shores</v>
      </c>
      <c r="G94" s="64">
        <f>IFERROR(__xludf.DUMMYFUNCTION("""COMPUTED_VALUE"""),130.9)</f>
        <v>130.9</v>
      </c>
      <c r="H94" s="158" t="str">
        <f>IFERROR(__xludf.DUMMYFUNCTION("""COMPUTED_VALUE"""),"Savacool, Elizabeth")</f>
        <v>Savacool, Elizabeth</v>
      </c>
      <c r="I94" s="159" t="str">
        <f>IFERROR(__xludf.DUMMYFUNCTION("""COMPUTED_VALUE"""),"185g")</f>
        <v>185g</v>
      </c>
      <c r="J94" s="64" t="str">
        <f>IFERROR(__xludf.DUMMYFUNCTION("""COMPUTED_VALUE"""),"210x")</f>
        <v>210x</v>
      </c>
      <c r="K94" s="64" t="str">
        <f>IFERROR(__xludf.DUMMYFUNCTION("""COMPUTED_VALUE"""),"210x")</f>
        <v>210x</v>
      </c>
      <c r="L94" s="64">
        <f>IFERROR(__xludf.DUMMYFUNCTION("""COMPUTED_VALUE"""),185.0)</f>
        <v>185</v>
      </c>
      <c r="M94" s="64" t="str">
        <f>IFERROR(__xludf.DUMMYFUNCTION("""COMPUTED_VALUE"""),"75g")</f>
        <v>75g</v>
      </c>
      <c r="N94" s="64" t="str">
        <f>IFERROR(__xludf.DUMMYFUNCTION("""COMPUTED_VALUE"""),"85g")</f>
        <v>85g</v>
      </c>
      <c r="O94" s="64" t="str">
        <f>IFERROR(__xludf.DUMMYFUNCTION("""COMPUTED_VALUE"""),"95g")</f>
        <v>95g</v>
      </c>
      <c r="P94" s="64">
        <f>IFERROR(__xludf.DUMMYFUNCTION("""COMPUTED_VALUE"""),95.0)</f>
        <v>95</v>
      </c>
      <c r="Q94" s="64" t="str">
        <f>IFERROR(__xludf.DUMMYFUNCTION("""COMPUTED_VALUE"""),"205g")</f>
        <v>205g</v>
      </c>
      <c r="R94" s="64" t="str">
        <f>IFERROR(__xludf.DUMMYFUNCTION("""COMPUTED_VALUE"""),"225g")</f>
        <v>225g</v>
      </c>
      <c r="S94" s="64" t="str">
        <f>IFERROR(__xludf.DUMMYFUNCTION("""COMPUTED_VALUE"""),"240x")</f>
        <v>240x</v>
      </c>
      <c r="T94" s="64">
        <f>IFERROR(__xludf.DUMMYFUNCTION("""COMPUTED_VALUE"""),225.0)</f>
        <v>225</v>
      </c>
      <c r="U94" s="64">
        <f>IFERROR(__xludf.DUMMYFUNCTION("""COMPUTED_VALUE"""),505.0)</f>
        <v>505</v>
      </c>
      <c r="V94" s="182">
        <f>IFERROR(__xludf.DUMMYFUNCTION("""COMPUTED_VALUE"""),3.8579067990832696)</f>
        <v>3.857906799</v>
      </c>
      <c r="W94" s="57">
        <f>IFERROR(__xludf.DUMMYFUNCTION("""COMPUTED_VALUE"""),6.0)</f>
        <v>6</v>
      </c>
      <c r="X94" s="57"/>
      <c r="Y94" s="57"/>
    </row>
    <row r="95">
      <c r="B95" s="157" t="s">
        <v>129</v>
      </c>
      <c r="C95" s="157">
        <f>if(countif(F86:F94,F95)&gt;1,0,1)</f>
        <v>1</v>
      </c>
      <c r="D95" s="157" t="str">
        <f>IFERROR(__xludf.DUMMYFUNCTION("""COMPUTED_VALUE"""),"132 WJV")</f>
        <v>132 WJV</v>
      </c>
      <c r="E95" s="64" t="str">
        <f>IFERROR(__xludf.DUMMYFUNCTION("""COMPUTED_VALUE"""),"WJV")</f>
        <v>WJV</v>
      </c>
      <c r="F95" s="158" t="str">
        <f>IFERROR(__xludf.DUMMYFUNCTION("""COMPUTED_VALUE"""),"Flushing")</f>
        <v>Flushing</v>
      </c>
      <c r="G95" s="64">
        <f>IFERROR(__xludf.DUMMYFUNCTION("""COMPUTED_VALUE"""),128.2)</f>
        <v>128.2</v>
      </c>
      <c r="H95" s="158" t="str">
        <f>IFERROR(__xludf.DUMMYFUNCTION("""COMPUTED_VALUE"""),"Lipe, Audrey")</f>
        <v>Lipe, Audrey</v>
      </c>
      <c r="I95" s="159" t="str">
        <f>IFERROR(__xludf.DUMMYFUNCTION("""COMPUTED_VALUE"""),"175g")</f>
        <v>175g</v>
      </c>
      <c r="J95" s="64" t="str">
        <f>IFERROR(__xludf.DUMMYFUNCTION("""COMPUTED_VALUE"""),"185g")</f>
        <v>185g</v>
      </c>
      <c r="K95" s="64" t="str">
        <f>IFERROR(__xludf.DUMMYFUNCTION("""COMPUTED_VALUE"""),"195g")</f>
        <v>195g</v>
      </c>
      <c r="L95" s="64">
        <f>IFERROR(__xludf.DUMMYFUNCTION("""COMPUTED_VALUE"""),195.0)</f>
        <v>195</v>
      </c>
      <c r="M95" s="64" t="str">
        <f>IFERROR(__xludf.DUMMYFUNCTION("""COMPUTED_VALUE"""),"80g")</f>
        <v>80g</v>
      </c>
      <c r="N95" s="64" t="str">
        <f>IFERROR(__xludf.DUMMYFUNCTION("""COMPUTED_VALUE"""),"95g")</f>
        <v>95g</v>
      </c>
      <c r="O95" s="64" t="str">
        <f>IFERROR(__xludf.DUMMYFUNCTION("""COMPUTED_VALUE"""),"105x")</f>
        <v>105x</v>
      </c>
      <c r="P95" s="64">
        <f>IFERROR(__xludf.DUMMYFUNCTION("""COMPUTED_VALUE"""),95.0)</f>
        <v>95</v>
      </c>
      <c r="Q95" s="64" t="str">
        <f>IFERROR(__xludf.DUMMYFUNCTION("""COMPUTED_VALUE"""),"185g")</f>
        <v>185g</v>
      </c>
      <c r="R95" s="64" t="str">
        <f>IFERROR(__xludf.DUMMYFUNCTION("""COMPUTED_VALUE"""),"190g")</f>
        <v>190g</v>
      </c>
      <c r="S95" s="64" t="str">
        <f>IFERROR(__xludf.DUMMYFUNCTION("""COMPUTED_VALUE"""),"205g")</f>
        <v>205g</v>
      </c>
      <c r="T95" s="64">
        <f>IFERROR(__xludf.DUMMYFUNCTION("""COMPUTED_VALUE"""),205.0)</f>
        <v>205</v>
      </c>
      <c r="U95" s="64">
        <f>IFERROR(__xludf.DUMMYFUNCTION("""COMPUTED_VALUE"""),495.0)</f>
        <v>495</v>
      </c>
      <c r="V95" s="182">
        <f>IFERROR(__xludf.DUMMYFUNCTION("""COMPUTED_VALUE"""),3.8611544461778475)</f>
        <v>3.861154446</v>
      </c>
      <c r="W95" s="57">
        <f>IFERROR(__xludf.DUMMYFUNCTION("""COMPUTED_VALUE"""),8.0)</f>
        <v>8</v>
      </c>
      <c r="X95" s="57"/>
      <c r="Y95" s="57"/>
    </row>
    <row r="96">
      <c r="A96" s="67">
        <v>132.0</v>
      </c>
      <c r="B96" s="68" t="s">
        <v>542</v>
      </c>
      <c r="C96" s="68">
        <v>0.0</v>
      </c>
      <c r="D96" s="68" t="str">
        <f>IFERROR(__xludf.DUMMYFUNCTION("""COMPUTED_VALUE"""),"132 WJV")</f>
        <v>132 WJV</v>
      </c>
      <c r="E96" s="69" t="str">
        <f>IFERROR(__xludf.DUMMYFUNCTION("""COMPUTED_VALUE"""),"WJV")</f>
        <v>WJV</v>
      </c>
      <c r="F96" s="70" t="str">
        <f>IFERROR(__xludf.DUMMYFUNCTION("""COMPUTED_VALUE"""),"Independent")</f>
        <v>Independent</v>
      </c>
      <c r="G96" s="69">
        <f>IFERROR(__xludf.DUMMYFUNCTION("""COMPUTED_VALUE"""),129.4)</f>
        <v>129.4</v>
      </c>
      <c r="H96" s="70" t="str">
        <f>IFERROR(__xludf.DUMMYFUNCTION("""COMPUTED_VALUE"""),"Roy, Hannah")</f>
        <v>Roy, Hannah</v>
      </c>
      <c r="I96" s="71" t="str">
        <f>IFERROR(__xludf.DUMMYFUNCTION("""COMPUTED_VALUE"""),"165g")</f>
        <v>165g</v>
      </c>
      <c r="J96" s="69" t="str">
        <f>IFERROR(__xludf.DUMMYFUNCTION("""COMPUTED_VALUE"""),"175x")</f>
        <v>175x</v>
      </c>
      <c r="K96" s="69" t="str">
        <f>IFERROR(__xludf.DUMMYFUNCTION("""COMPUTED_VALUE"""),"175g")</f>
        <v>175g</v>
      </c>
      <c r="L96" s="69">
        <f>IFERROR(__xludf.DUMMYFUNCTION("""COMPUTED_VALUE"""),175.0)</f>
        <v>175</v>
      </c>
      <c r="M96" s="69" t="str">
        <f>IFERROR(__xludf.DUMMYFUNCTION("""COMPUTED_VALUE"""),"75g")</f>
        <v>75g</v>
      </c>
      <c r="N96" s="69" t="str">
        <f>IFERROR(__xludf.DUMMYFUNCTION("""COMPUTED_VALUE"""),"85g")</f>
        <v>85g</v>
      </c>
      <c r="O96" s="69" t="str">
        <f>IFERROR(__xludf.DUMMYFUNCTION("""COMPUTED_VALUE"""),"95x")</f>
        <v>95x</v>
      </c>
      <c r="P96" s="69">
        <f>IFERROR(__xludf.DUMMYFUNCTION("""COMPUTED_VALUE"""),85.0)</f>
        <v>85</v>
      </c>
      <c r="Q96" s="69" t="str">
        <f>IFERROR(__xludf.DUMMYFUNCTION("""COMPUTED_VALUE"""),"200g")</f>
        <v>200g</v>
      </c>
      <c r="R96" s="69" t="str">
        <f>IFERROR(__xludf.DUMMYFUNCTION("""COMPUTED_VALUE"""),"225g")</f>
        <v>225g</v>
      </c>
      <c r="S96" s="69" t="str">
        <f>IFERROR(__xludf.DUMMYFUNCTION("""COMPUTED_VALUE"""),"235g")</f>
        <v>235g</v>
      </c>
      <c r="T96" s="69">
        <f>IFERROR(__xludf.DUMMYFUNCTION("""COMPUTED_VALUE"""),235.0)</f>
        <v>235</v>
      </c>
      <c r="U96" s="69">
        <f>IFERROR(__xludf.DUMMYFUNCTION("""COMPUTED_VALUE"""),495.0)</f>
        <v>495</v>
      </c>
      <c r="V96" s="183">
        <f>IFERROR(__xludf.DUMMYFUNCTION("""COMPUTED_VALUE"""),3.8253477588871716)</f>
        <v>3.825347759</v>
      </c>
      <c r="W96" s="156">
        <f>IFERROR(__xludf.DUMMYFUNCTION("""COMPUTED_VALUE"""),7.0)</f>
        <v>7</v>
      </c>
      <c r="X96" s="156"/>
      <c r="Y96" s="156"/>
    </row>
    <row r="97">
      <c r="B97" s="68" t="s">
        <v>543</v>
      </c>
      <c r="C97" s="68">
        <v>0.0</v>
      </c>
      <c r="D97" s="68" t="str">
        <f>IFERROR(__xludf.DUMMYFUNCTION("""COMPUTED_VALUE"""),"132 WJV")</f>
        <v>132 WJV</v>
      </c>
      <c r="E97" s="69" t="str">
        <f>IFERROR(__xludf.DUMMYFUNCTION("""COMPUTED_VALUE"""),"WJV")</f>
        <v>WJV</v>
      </c>
      <c r="F97" s="70" t="str">
        <f>IFERROR(__xludf.DUMMYFUNCTION("""COMPUTED_VALUE"""),"Grand Haven")</f>
        <v>Grand Haven</v>
      </c>
      <c r="G97" s="69">
        <f>IFERROR(__xludf.DUMMYFUNCTION("""COMPUTED_VALUE"""),128.2)</f>
        <v>128.2</v>
      </c>
      <c r="H97" s="70" t="str">
        <f>IFERROR(__xludf.DUMMYFUNCTION("""COMPUTED_VALUE"""),"Daly, Keighan")</f>
        <v>Daly, Keighan</v>
      </c>
      <c r="I97" s="71" t="str">
        <f>IFERROR(__xludf.DUMMYFUNCTION("""COMPUTED_VALUE"""),"135g")</f>
        <v>135g</v>
      </c>
      <c r="J97" s="69" t="str">
        <f>IFERROR(__xludf.DUMMYFUNCTION("""COMPUTED_VALUE"""),"150g")</f>
        <v>150g</v>
      </c>
      <c r="K97" s="69" t="str">
        <f>IFERROR(__xludf.DUMMYFUNCTION("""COMPUTED_VALUE"""),"170g")</f>
        <v>170g</v>
      </c>
      <c r="L97" s="69">
        <f>IFERROR(__xludf.DUMMYFUNCTION("""COMPUTED_VALUE"""),170.0)</f>
        <v>170</v>
      </c>
      <c r="M97" s="69" t="str">
        <f>IFERROR(__xludf.DUMMYFUNCTION("""COMPUTED_VALUE"""),"75g")</f>
        <v>75g</v>
      </c>
      <c r="N97" s="69" t="str">
        <f>IFERROR(__xludf.DUMMYFUNCTION("""COMPUTED_VALUE"""),"85g")</f>
        <v>85g</v>
      </c>
      <c r="O97" s="69" t="str">
        <f>IFERROR(__xludf.DUMMYFUNCTION("""COMPUTED_VALUE"""),"95x")</f>
        <v>95x</v>
      </c>
      <c r="P97" s="69">
        <f>IFERROR(__xludf.DUMMYFUNCTION("""COMPUTED_VALUE"""),85.0)</f>
        <v>85</v>
      </c>
      <c r="Q97" s="69" t="str">
        <f>IFERROR(__xludf.DUMMYFUNCTION("""COMPUTED_VALUE"""),"165g")</f>
        <v>165g</v>
      </c>
      <c r="R97" s="69" t="str">
        <f>IFERROR(__xludf.DUMMYFUNCTION("""COMPUTED_VALUE"""),"195g")</f>
        <v>195g</v>
      </c>
      <c r="S97" s="69" t="str">
        <f>IFERROR(__xludf.DUMMYFUNCTION("""COMPUTED_VALUE"""),"225g")</f>
        <v>225g</v>
      </c>
      <c r="T97" s="69">
        <f>IFERROR(__xludf.DUMMYFUNCTION("""COMPUTED_VALUE"""),225.0)</f>
        <v>225</v>
      </c>
      <c r="U97" s="69">
        <f>IFERROR(__xludf.DUMMYFUNCTION("""COMPUTED_VALUE"""),480.0)</f>
        <v>480</v>
      </c>
      <c r="V97" s="183">
        <f>IFERROR(__xludf.DUMMYFUNCTION("""COMPUTED_VALUE"""),3.74414976599064)</f>
        <v>3.744149766</v>
      </c>
      <c r="W97" s="156">
        <f>IFERROR(__xludf.DUMMYFUNCTION("""COMPUTED_VALUE"""),8.0)</f>
        <v>8</v>
      </c>
      <c r="X97" s="156"/>
      <c r="Y97" s="156"/>
    </row>
    <row r="98">
      <c r="B98" s="68" t="s">
        <v>544</v>
      </c>
      <c r="C98" s="68">
        <v>0.0</v>
      </c>
      <c r="D98" s="68" t="str">
        <f>IFERROR(__xludf.DUMMYFUNCTION("""COMPUTED_VALUE"""),"132 WJV")</f>
        <v>132 WJV</v>
      </c>
      <c r="E98" s="69" t="str">
        <f>IFERROR(__xludf.DUMMYFUNCTION("""COMPUTED_VALUE"""),"WJV")</f>
        <v>WJV</v>
      </c>
      <c r="F98" s="70" t="str">
        <f>IFERROR(__xludf.DUMMYFUNCTION("""COMPUTED_VALUE"""),"Michigan Lutheran")</f>
        <v>Michigan Lutheran</v>
      </c>
      <c r="G98" s="69">
        <f>IFERROR(__xludf.DUMMYFUNCTION("""COMPUTED_VALUE"""),123.4)</f>
        <v>123.4</v>
      </c>
      <c r="H98" s="70" t="str">
        <f>IFERROR(__xludf.DUMMYFUNCTION("""COMPUTED_VALUE"""),"Bartley, Faith")</f>
        <v>Bartley, Faith</v>
      </c>
      <c r="I98" s="71" t="str">
        <f>IFERROR(__xludf.DUMMYFUNCTION("""COMPUTED_VALUE"""),"120g")</f>
        <v>120g</v>
      </c>
      <c r="J98" s="69" t="str">
        <f>IFERROR(__xludf.DUMMYFUNCTION("""COMPUTED_VALUE"""),"145g")</f>
        <v>145g</v>
      </c>
      <c r="K98" s="69" t="str">
        <f>IFERROR(__xludf.DUMMYFUNCTION("""COMPUTED_VALUE"""),"160x")</f>
        <v>160x</v>
      </c>
      <c r="L98" s="69">
        <f>IFERROR(__xludf.DUMMYFUNCTION("""COMPUTED_VALUE"""),145.0)</f>
        <v>145</v>
      </c>
      <c r="M98" s="69" t="str">
        <f>IFERROR(__xludf.DUMMYFUNCTION("""COMPUTED_VALUE"""),"90g")</f>
        <v>90g</v>
      </c>
      <c r="N98" s="69" t="str">
        <f>IFERROR(__xludf.DUMMYFUNCTION("""COMPUTED_VALUE"""),"100x")</f>
        <v>100x</v>
      </c>
      <c r="O98" s="69" t="str">
        <f>IFERROR(__xludf.DUMMYFUNCTION("""COMPUTED_VALUE"""),"100x")</f>
        <v>100x</v>
      </c>
      <c r="P98" s="69">
        <f>IFERROR(__xludf.DUMMYFUNCTION("""COMPUTED_VALUE"""),90.0)</f>
        <v>90</v>
      </c>
      <c r="Q98" s="69" t="str">
        <f>IFERROR(__xludf.DUMMYFUNCTION("""COMPUTED_VALUE"""),"200g")</f>
        <v>200g</v>
      </c>
      <c r="R98" s="69" t="str">
        <f>IFERROR(__xludf.DUMMYFUNCTION("""COMPUTED_VALUE"""),"225g")</f>
        <v>225g</v>
      </c>
      <c r="S98" s="69" t="str">
        <f>IFERROR(__xludf.DUMMYFUNCTION("""COMPUTED_VALUE"""),"235g")</f>
        <v>235g</v>
      </c>
      <c r="T98" s="69">
        <f>IFERROR(__xludf.DUMMYFUNCTION("""COMPUTED_VALUE"""),235.0)</f>
        <v>235</v>
      </c>
      <c r="U98" s="69">
        <f>IFERROR(__xludf.DUMMYFUNCTION("""COMPUTED_VALUE"""),470.0)</f>
        <v>470</v>
      </c>
      <c r="V98" s="183">
        <f>IFERROR(__xludf.DUMMYFUNCTION("""COMPUTED_VALUE"""),3.8087520259319283)</f>
        <v>3.808752026</v>
      </c>
      <c r="W98" s="156">
        <f>IFERROR(__xludf.DUMMYFUNCTION("""COMPUTED_VALUE"""),6.0)</f>
        <v>6</v>
      </c>
      <c r="X98" s="156"/>
      <c r="Y98" s="156"/>
    </row>
    <row r="99">
      <c r="B99" s="68" t="s">
        <v>545</v>
      </c>
      <c r="C99" s="68">
        <v>0.0</v>
      </c>
      <c r="D99" s="68" t="str">
        <f>IFERROR(__xludf.DUMMYFUNCTION("""COMPUTED_VALUE"""),"132 WJV")</f>
        <v>132 WJV</v>
      </c>
      <c r="E99" s="69" t="str">
        <f>IFERROR(__xludf.DUMMYFUNCTION("""COMPUTED_VALUE"""),"WJV")</f>
        <v>WJV</v>
      </c>
      <c r="F99" s="70" t="str">
        <f>IFERROR(__xludf.DUMMYFUNCTION("""COMPUTED_VALUE"""),"Ionia")</f>
        <v>Ionia</v>
      </c>
      <c r="G99" s="69">
        <f>IFERROR(__xludf.DUMMYFUNCTION("""COMPUTED_VALUE"""),129.6)</f>
        <v>129.6</v>
      </c>
      <c r="H99" s="70" t="str">
        <f>IFERROR(__xludf.DUMMYFUNCTION("""COMPUTED_VALUE"""),"Brassell, Tapaynga")</f>
        <v>Brassell, Tapaynga</v>
      </c>
      <c r="I99" s="71" t="str">
        <f>IFERROR(__xludf.DUMMYFUNCTION("""COMPUTED_VALUE"""),"145g")</f>
        <v>145g</v>
      </c>
      <c r="J99" s="69" t="str">
        <f>IFERROR(__xludf.DUMMYFUNCTION("""COMPUTED_VALUE"""),"165x")</f>
        <v>165x</v>
      </c>
      <c r="K99" s="69" t="str">
        <f>IFERROR(__xludf.DUMMYFUNCTION("""COMPUTED_VALUE"""),"175g")</f>
        <v>175g</v>
      </c>
      <c r="L99" s="69">
        <f>IFERROR(__xludf.DUMMYFUNCTION("""COMPUTED_VALUE"""),175.0)</f>
        <v>175</v>
      </c>
      <c r="M99" s="69" t="str">
        <f>IFERROR(__xludf.DUMMYFUNCTION("""COMPUTED_VALUE"""),"70g")</f>
        <v>70g</v>
      </c>
      <c r="N99" s="69" t="str">
        <f>IFERROR(__xludf.DUMMYFUNCTION("""COMPUTED_VALUE"""),"80g")</f>
        <v>80g</v>
      </c>
      <c r="O99" s="69" t="str">
        <f>IFERROR(__xludf.DUMMYFUNCTION("""COMPUTED_VALUE"""),"95g")</f>
        <v>95g</v>
      </c>
      <c r="P99" s="69">
        <f>IFERROR(__xludf.DUMMYFUNCTION("""COMPUTED_VALUE"""),95.0)</f>
        <v>95</v>
      </c>
      <c r="Q99" s="69" t="str">
        <f>IFERROR(__xludf.DUMMYFUNCTION("""COMPUTED_VALUE"""),"180g")</f>
        <v>180g</v>
      </c>
      <c r="R99" s="69" t="str">
        <f>IFERROR(__xludf.DUMMYFUNCTION("""COMPUTED_VALUE"""),"200g")</f>
        <v>200g</v>
      </c>
      <c r="S99" s="69" t="str">
        <f>IFERROR(__xludf.DUMMYFUNCTION("""COMPUTED_VALUE"""),"230x")</f>
        <v>230x</v>
      </c>
      <c r="T99" s="69">
        <f>IFERROR(__xludf.DUMMYFUNCTION("""COMPUTED_VALUE"""),200.0)</f>
        <v>200</v>
      </c>
      <c r="U99" s="69">
        <f>IFERROR(__xludf.DUMMYFUNCTION("""COMPUTED_VALUE"""),470.0)</f>
        <v>470</v>
      </c>
      <c r="V99" s="183">
        <f>IFERROR(__xludf.DUMMYFUNCTION("""COMPUTED_VALUE"""),3.6265432098765435)</f>
        <v>3.62654321</v>
      </c>
      <c r="W99" s="156">
        <f>IFERROR(__xludf.DUMMYFUNCTION("""COMPUTED_VALUE"""),7.0)</f>
        <v>7</v>
      </c>
      <c r="X99" s="156"/>
      <c r="Y99" s="156"/>
    </row>
    <row r="100">
      <c r="B100" s="68" t="s">
        <v>546</v>
      </c>
      <c r="C100" s="68">
        <v>0.0</v>
      </c>
      <c r="D100" s="68" t="str">
        <f>IFERROR(__xludf.DUMMYFUNCTION("""COMPUTED_VALUE"""),"132 WJV")</f>
        <v>132 WJV</v>
      </c>
      <c r="E100" s="69" t="str">
        <f>IFERROR(__xludf.DUMMYFUNCTION("""COMPUTED_VALUE"""),"WJV")</f>
        <v>WJV</v>
      </c>
      <c r="F100" s="70" t="str">
        <f>IFERROR(__xludf.DUMMYFUNCTION("""COMPUTED_VALUE"""),"Adrian")</f>
        <v>Adrian</v>
      </c>
      <c r="G100" s="69">
        <f>IFERROR(__xludf.DUMMYFUNCTION("""COMPUTED_VALUE"""),131.2)</f>
        <v>131.2</v>
      </c>
      <c r="H100" s="70" t="str">
        <f>IFERROR(__xludf.DUMMYFUNCTION("""COMPUTED_VALUE"""),"Ford, Alexis")</f>
        <v>Ford, Alexis</v>
      </c>
      <c r="I100" s="71" t="str">
        <f>IFERROR(__xludf.DUMMYFUNCTION("""COMPUTED_VALUE"""),"135g")</f>
        <v>135g</v>
      </c>
      <c r="J100" s="69" t="str">
        <f>IFERROR(__xludf.DUMMYFUNCTION("""COMPUTED_VALUE"""),"150g")</f>
        <v>150g</v>
      </c>
      <c r="K100" s="69" t="str">
        <f>IFERROR(__xludf.DUMMYFUNCTION("""COMPUTED_VALUE"""),"170g")</f>
        <v>170g</v>
      </c>
      <c r="L100" s="69">
        <f>IFERROR(__xludf.DUMMYFUNCTION("""COMPUTED_VALUE"""),170.0)</f>
        <v>170</v>
      </c>
      <c r="M100" s="69" t="str">
        <f>IFERROR(__xludf.DUMMYFUNCTION("""COMPUTED_VALUE"""),"70g")</f>
        <v>70g</v>
      </c>
      <c r="N100" s="69" t="str">
        <f>IFERROR(__xludf.DUMMYFUNCTION("""COMPUTED_VALUE"""),"80x")</f>
        <v>80x</v>
      </c>
      <c r="O100" s="69" t="str">
        <f>IFERROR(__xludf.DUMMYFUNCTION("""COMPUTED_VALUE"""),"90g")</f>
        <v>90g</v>
      </c>
      <c r="P100" s="69">
        <f>IFERROR(__xludf.DUMMYFUNCTION("""COMPUTED_VALUE"""),90.0)</f>
        <v>90</v>
      </c>
      <c r="Q100" s="69" t="str">
        <f>IFERROR(__xludf.DUMMYFUNCTION("""COMPUTED_VALUE"""),"190g")</f>
        <v>190g</v>
      </c>
      <c r="R100" s="69" t="str">
        <f>IFERROR(__xludf.DUMMYFUNCTION("""COMPUTED_VALUE"""),"200g")</f>
        <v>200g</v>
      </c>
      <c r="S100" s="69" t="str">
        <f>IFERROR(__xludf.DUMMYFUNCTION("""COMPUTED_VALUE"""),"210g")</f>
        <v>210g</v>
      </c>
      <c r="T100" s="69">
        <f>IFERROR(__xludf.DUMMYFUNCTION("""COMPUTED_VALUE"""),210.0)</f>
        <v>210</v>
      </c>
      <c r="U100" s="69">
        <f>IFERROR(__xludf.DUMMYFUNCTION("""COMPUTED_VALUE"""),470.0)</f>
        <v>470</v>
      </c>
      <c r="V100" s="183">
        <f>IFERROR(__xludf.DUMMYFUNCTION("""COMPUTED_VALUE"""),3.582317073170732)</f>
        <v>3.582317073</v>
      </c>
      <c r="W100" s="156">
        <f>IFERROR(__xludf.DUMMYFUNCTION("""COMPUTED_VALUE"""),8.0)</f>
        <v>8</v>
      </c>
      <c r="X100" s="156"/>
      <c r="Y100" s="156"/>
    </row>
    <row r="101">
      <c r="B101" s="68" t="s">
        <v>547</v>
      </c>
      <c r="C101" s="68">
        <v>0.0</v>
      </c>
      <c r="D101" s="68" t="str">
        <f>IFERROR(__xludf.DUMMYFUNCTION("""COMPUTED_VALUE"""),"132 WJV")</f>
        <v>132 WJV</v>
      </c>
      <c r="E101" s="69" t="str">
        <f>IFERROR(__xludf.DUMMYFUNCTION("""COMPUTED_VALUE"""),"WJV")</f>
        <v>WJV</v>
      </c>
      <c r="F101" s="70" t="str">
        <f>IFERROR(__xludf.DUMMYFUNCTION("""COMPUTED_VALUE"""),"Almont")</f>
        <v>Almont</v>
      </c>
      <c r="G101" s="69">
        <f>IFERROR(__xludf.DUMMYFUNCTION("""COMPUTED_VALUE"""),130.8)</f>
        <v>130.8</v>
      </c>
      <c r="H101" s="70" t="str">
        <f>IFERROR(__xludf.DUMMYFUNCTION("""COMPUTED_VALUE"""),"Medley, Bella")</f>
        <v>Medley, Bella</v>
      </c>
      <c r="I101" s="71" t="str">
        <f>IFERROR(__xludf.DUMMYFUNCTION("""COMPUTED_VALUE"""),"170g")</f>
        <v>170g</v>
      </c>
      <c r="J101" s="69" t="str">
        <f>IFERROR(__xludf.DUMMYFUNCTION("""COMPUTED_VALUE"""),"180g")</f>
        <v>180g</v>
      </c>
      <c r="K101" s="69" t="str">
        <f>IFERROR(__xludf.DUMMYFUNCTION("""COMPUTED_VALUE"""),"185x")</f>
        <v>185x</v>
      </c>
      <c r="L101" s="69">
        <f>IFERROR(__xludf.DUMMYFUNCTION("""COMPUTED_VALUE"""),180.0)</f>
        <v>180</v>
      </c>
      <c r="M101" s="69" t="str">
        <f>IFERROR(__xludf.DUMMYFUNCTION("""COMPUTED_VALUE"""),"70x")</f>
        <v>70x</v>
      </c>
      <c r="N101" s="69" t="str">
        <f>IFERROR(__xludf.DUMMYFUNCTION("""COMPUTED_VALUE"""),"75g")</f>
        <v>75g</v>
      </c>
      <c r="O101" s="69" t="str">
        <f>IFERROR(__xludf.DUMMYFUNCTION("""COMPUTED_VALUE"""),"85g")</f>
        <v>85g</v>
      </c>
      <c r="P101" s="69">
        <f>IFERROR(__xludf.DUMMYFUNCTION("""COMPUTED_VALUE"""),85.0)</f>
        <v>85</v>
      </c>
      <c r="Q101" s="69" t="str">
        <f>IFERROR(__xludf.DUMMYFUNCTION("""COMPUTED_VALUE"""),"195g")</f>
        <v>195g</v>
      </c>
      <c r="R101" s="69" t="str">
        <f>IFERROR(__xludf.DUMMYFUNCTION("""COMPUTED_VALUE"""),"200g")</f>
        <v>200g</v>
      </c>
      <c r="S101" s="69" t="str">
        <f>IFERROR(__xludf.DUMMYFUNCTION("""COMPUTED_VALUE"""),"205x")</f>
        <v>205x</v>
      </c>
      <c r="T101" s="69">
        <f>IFERROR(__xludf.DUMMYFUNCTION("""COMPUTED_VALUE"""),200.0)</f>
        <v>200</v>
      </c>
      <c r="U101" s="69">
        <f>IFERROR(__xludf.DUMMYFUNCTION("""COMPUTED_VALUE"""),465.0)</f>
        <v>465</v>
      </c>
      <c r="V101" s="183">
        <f>IFERROR(__xludf.DUMMYFUNCTION("""COMPUTED_VALUE"""),3.5550458715596327)</f>
        <v>3.555045872</v>
      </c>
      <c r="W101" s="156">
        <f>IFERROR(__xludf.DUMMYFUNCTION("""COMPUTED_VALUE"""),6.0)</f>
        <v>6</v>
      </c>
      <c r="X101" s="156"/>
      <c r="Y101" s="156"/>
    </row>
    <row r="102">
      <c r="B102" s="68" t="s">
        <v>548</v>
      </c>
      <c r="C102" s="68">
        <v>0.0</v>
      </c>
      <c r="D102" s="68" t="str">
        <f>IFERROR(__xludf.DUMMYFUNCTION("""COMPUTED_VALUE"""),"132 WJV")</f>
        <v>132 WJV</v>
      </c>
      <c r="E102" s="69" t="str">
        <f>IFERROR(__xludf.DUMMYFUNCTION("""COMPUTED_VALUE"""),"WJV")</f>
        <v>WJV</v>
      </c>
      <c r="F102" s="70" t="str">
        <f>IFERROR(__xludf.DUMMYFUNCTION("""COMPUTED_VALUE"""),"Ionia")</f>
        <v>Ionia</v>
      </c>
      <c r="G102" s="69">
        <f>IFERROR(__xludf.DUMMYFUNCTION("""COMPUTED_VALUE"""),131.5)</f>
        <v>131.5</v>
      </c>
      <c r="H102" s="70" t="str">
        <f>IFERROR(__xludf.DUMMYFUNCTION("""COMPUTED_VALUE"""),"Irish, Rebecca")</f>
        <v>Irish, Rebecca</v>
      </c>
      <c r="I102" s="71" t="str">
        <f>IFERROR(__xludf.DUMMYFUNCTION("""COMPUTED_VALUE"""),"135g")</f>
        <v>135g</v>
      </c>
      <c r="J102" s="69" t="str">
        <f>IFERROR(__xludf.DUMMYFUNCTION("""COMPUTED_VALUE"""),"150g")</f>
        <v>150g</v>
      </c>
      <c r="K102" s="69" t="str">
        <f>IFERROR(__xludf.DUMMYFUNCTION("""COMPUTED_VALUE"""),"165g")</f>
        <v>165g</v>
      </c>
      <c r="L102" s="69">
        <f>IFERROR(__xludf.DUMMYFUNCTION("""COMPUTED_VALUE"""),165.0)</f>
        <v>165</v>
      </c>
      <c r="M102" s="69" t="str">
        <f>IFERROR(__xludf.DUMMYFUNCTION("""COMPUTED_VALUE"""),"75g")</f>
        <v>75g</v>
      </c>
      <c r="N102" s="69" t="str">
        <f>IFERROR(__xludf.DUMMYFUNCTION("""COMPUTED_VALUE"""),"85g")</f>
        <v>85g</v>
      </c>
      <c r="O102" s="69" t="str">
        <f>IFERROR(__xludf.DUMMYFUNCTION("""COMPUTED_VALUE"""),"100x")</f>
        <v>100x</v>
      </c>
      <c r="P102" s="69">
        <f>IFERROR(__xludf.DUMMYFUNCTION("""COMPUTED_VALUE"""),85.0)</f>
        <v>85</v>
      </c>
      <c r="Q102" s="69" t="str">
        <f>IFERROR(__xludf.DUMMYFUNCTION("""COMPUTED_VALUE"""),"190g")</f>
        <v>190g</v>
      </c>
      <c r="R102" s="69" t="str">
        <f>IFERROR(__xludf.DUMMYFUNCTION("""COMPUTED_VALUE"""),"210g")</f>
        <v>210g</v>
      </c>
      <c r="S102" s="69" t="str">
        <f>IFERROR(__xludf.DUMMYFUNCTION("""COMPUTED_VALUE"""),"225x")</f>
        <v>225x</v>
      </c>
      <c r="T102" s="69">
        <f>IFERROR(__xludf.DUMMYFUNCTION("""COMPUTED_VALUE"""),210.0)</f>
        <v>210</v>
      </c>
      <c r="U102" s="69">
        <f>IFERROR(__xludf.DUMMYFUNCTION("""COMPUTED_VALUE"""),460.0)</f>
        <v>460</v>
      </c>
      <c r="V102" s="183">
        <f>IFERROR(__xludf.DUMMYFUNCTION("""COMPUTED_VALUE"""),3.4980988593155895)</f>
        <v>3.498098859</v>
      </c>
      <c r="W102" s="156">
        <f>IFERROR(__xludf.DUMMYFUNCTION("""COMPUTED_VALUE"""),7.0)</f>
        <v>7</v>
      </c>
      <c r="X102" s="156"/>
      <c r="Y102" s="156"/>
    </row>
    <row r="103">
      <c r="B103" s="68" t="s">
        <v>549</v>
      </c>
      <c r="C103" s="68">
        <v>0.0</v>
      </c>
      <c r="D103" s="68" t="str">
        <f>IFERROR(__xludf.DUMMYFUNCTION("""COMPUTED_VALUE"""),"132 WJV")</f>
        <v>132 WJV</v>
      </c>
      <c r="E103" s="69" t="str">
        <f>IFERROR(__xludf.DUMMYFUNCTION("""COMPUTED_VALUE"""),"WJV")</f>
        <v>WJV</v>
      </c>
      <c r="F103" s="70" t="str">
        <f>IFERROR(__xludf.DUMMYFUNCTION("""COMPUTED_VALUE"""),"Lake Orion")</f>
        <v>Lake Orion</v>
      </c>
      <c r="G103" s="69">
        <f>IFERROR(__xludf.DUMMYFUNCTION("""COMPUTED_VALUE"""),126.7)</f>
        <v>126.7</v>
      </c>
      <c r="H103" s="70" t="str">
        <f>IFERROR(__xludf.DUMMYFUNCTION("""COMPUTED_VALUE"""),"Luna, Sophia")</f>
        <v>Luna, Sophia</v>
      </c>
      <c r="I103" s="71" t="str">
        <f>IFERROR(__xludf.DUMMYFUNCTION("""COMPUTED_VALUE"""),"135g")</f>
        <v>135g</v>
      </c>
      <c r="J103" s="69" t="str">
        <f>IFERROR(__xludf.DUMMYFUNCTION("""COMPUTED_VALUE"""),"140g")</f>
        <v>140g</v>
      </c>
      <c r="K103" s="69" t="str">
        <f>IFERROR(__xludf.DUMMYFUNCTION("""COMPUTED_VALUE"""),"145x")</f>
        <v>145x</v>
      </c>
      <c r="L103" s="69">
        <f>IFERROR(__xludf.DUMMYFUNCTION("""COMPUTED_VALUE"""),140.0)</f>
        <v>140</v>
      </c>
      <c r="M103" s="69" t="str">
        <f>IFERROR(__xludf.DUMMYFUNCTION("""COMPUTED_VALUE"""),"80g")</f>
        <v>80g</v>
      </c>
      <c r="N103" s="69" t="str">
        <f>IFERROR(__xludf.DUMMYFUNCTION("""COMPUTED_VALUE"""),"85g")</f>
        <v>85g</v>
      </c>
      <c r="O103" s="69" t="str">
        <f>IFERROR(__xludf.DUMMYFUNCTION("""COMPUTED_VALUE"""),"95x")</f>
        <v>95x</v>
      </c>
      <c r="P103" s="69">
        <f>IFERROR(__xludf.DUMMYFUNCTION("""COMPUTED_VALUE"""),85.0)</f>
        <v>85</v>
      </c>
      <c r="Q103" s="69" t="str">
        <f>IFERROR(__xludf.DUMMYFUNCTION("""COMPUTED_VALUE"""),"200g")</f>
        <v>200g</v>
      </c>
      <c r="R103" s="69" t="str">
        <f>IFERROR(__xludf.DUMMYFUNCTION("""COMPUTED_VALUE"""),"215g")</f>
        <v>215g</v>
      </c>
      <c r="S103" s="69" t="str">
        <f>IFERROR(__xludf.DUMMYFUNCTION("""COMPUTED_VALUE"""),"230g")</f>
        <v>230g</v>
      </c>
      <c r="T103" s="69">
        <f>IFERROR(__xludf.DUMMYFUNCTION("""COMPUTED_VALUE"""),230.0)</f>
        <v>230</v>
      </c>
      <c r="U103" s="69">
        <f>IFERROR(__xludf.DUMMYFUNCTION("""COMPUTED_VALUE"""),455.0)</f>
        <v>455</v>
      </c>
      <c r="V103" s="183">
        <f>IFERROR(__xludf.DUMMYFUNCTION("""COMPUTED_VALUE"""),3.591160220994475)</f>
        <v>3.591160221</v>
      </c>
      <c r="W103" s="156">
        <f>IFERROR(__xludf.DUMMYFUNCTION("""COMPUTED_VALUE"""),7.0)</f>
        <v>7</v>
      </c>
      <c r="X103" s="156"/>
      <c r="Y103" s="156"/>
    </row>
    <row r="104">
      <c r="B104" s="68" t="s">
        <v>550</v>
      </c>
      <c r="C104" s="68">
        <v>0.0</v>
      </c>
      <c r="D104" s="68" t="str">
        <f>IFERROR(__xludf.DUMMYFUNCTION("""COMPUTED_VALUE"""),"132 WJV")</f>
        <v>132 WJV</v>
      </c>
      <c r="E104" s="69" t="str">
        <f>IFERROR(__xludf.DUMMYFUNCTION("""COMPUTED_VALUE"""),"WJV")</f>
        <v>WJV</v>
      </c>
      <c r="F104" s="70" t="str">
        <f>IFERROR(__xludf.DUMMYFUNCTION("""COMPUTED_VALUE"""),"Oxford")</f>
        <v>Oxford</v>
      </c>
      <c r="G104" s="69">
        <f>IFERROR(__xludf.DUMMYFUNCTION("""COMPUTED_VALUE"""),127.4)</f>
        <v>127.4</v>
      </c>
      <c r="H104" s="70" t="str">
        <f>IFERROR(__xludf.DUMMYFUNCTION("""COMPUTED_VALUE"""),"Rice, Alycia")</f>
        <v>Rice, Alycia</v>
      </c>
      <c r="I104" s="71" t="str">
        <f>IFERROR(__xludf.DUMMYFUNCTION("""COMPUTED_VALUE"""),"165x")</f>
        <v>165x</v>
      </c>
      <c r="J104" s="69" t="str">
        <f>IFERROR(__xludf.DUMMYFUNCTION("""COMPUTED_VALUE"""),"165g")</f>
        <v>165g</v>
      </c>
      <c r="K104" s="69" t="str">
        <f>IFERROR(__xludf.DUMMYFUNCTION("""COMPUTED_VALUE"""),"190g")</f>
        <v>190g</v>
      </c>
      <c r="L104" s="69">
        <f>IFERROR(__xludf.DUMMYFUNCTION("""COMPUTED_VALUE"""),190.0)</f>
        <v>190</v>
      </c>
      <c r="M104" s="69" t="str">
        <f>IFERROR(__xludf.DUMMYFUNCTION("""COMPUTED_VALUE"""),"70x")</f>
        <v>70x</v>
      </c>
      <c r="N104" s="69" t="str">
        <f>IFERROR(__xludf.DUMMYFUNCTION("""COMPUTED_VALUE"""),"80g")</f>
        <v>80g</v>
      </c>
      <c r="O104" s="69" t="str">
        <f>IFERROR(__xludf.DUMMYFUNCTION("""COMPUTED_VALUE"""),"85g")</f>
        <v>85g</v>
      </c>
      <c r="P104" s="69">
        <f>IFERROR(__xludf.DUMMYFUNCTION("""COMPUTED_VALUE"""),85.0)</f>
        <v>85</v>
      </c>
      <c r="Q104" s="69" t="str">
        <f>IFERROR(__xludf.DUMMYFUNCTION("""COMPUTED_VALUE"""),"155g")</f>
        <v>155g</v>
      </c>
      <c r="R104" s="69" t="str">
        <f>IFERROR(__xludf.DUMMYFUNCTION("""COMPUTED_VALUE"""),"175g")</f>
        <v>175g</v>
      </c>
      <c r="S104" s="69" t="str">
        <f>IFERROR(__xludf.DUMMYFUNCTION("""COMPUTED_VALUE"""),"195x")</f>
        <v>195x</v>
      </c>
      <c r="T104" s="69">
        <f>IFERROR(__xludf.DUMMYFUNCTION("""COMPUTED_VALUE"""),175.0)</f>
        <v>175</v>
      </c>
      <c r="U104" s="69">
        <f>IFERROR(__xludf.DUMMYFUNCTION("""COMPUTED_VALUE"""),450.0)</f>
        <v>450</v>
      </c>
      <c r="V104" s="183">
        <f>IFERROR(__xludf.DUMMYFUNCTION("""COMPUTED_VALUE"""),3.532182103610675)</f>
        <v>3.532182104</v>
      </c>
      <c r="W104" s="156">
        <f>IFERROR(__xludf.DUMMYFUNCTION("""COMPUTED_VALUE"""),6.0)</f>
        <v>6</v>
      </c>
      <c r="X104" s="156"/>
      <c r="Y104" s="156"/>
    </row>
    <row r="105">
      <c r="B105" s="68" t="s">
        <v>551</v>
      </c>
      <c r="C105" s="68">
        <v>0.0</v>
      </c>
      <c r="D105" s="68" t="str">
        <f>IFERROR(__xludf.DUMMYFUNCTION("""COMPUTED_VALUE"""),"132 WJV")</f>
        <v>132 WJV</v>
      </c>
      <c r="E105" s="69" t="str">
        <f>IFERROR(__xludf.DUMMYFUNCTION("""COMPUTED_VALUE"""),"WJV")</f>
        <v>WJV</v>
      </c>
      <c r="F105" s="70" t="str">
        <f>IFERROR(__xludf.DUMMYFUNCTION("""COMPUTED_VALUE"""),"Cros-Lex")</f>
        <v>Cros-Lex</v>
      </c>
      <c r="G105" s="69">
        <f>IFERROR(__xludf.DUMMYFUNCTION("""COMPUTED_VALUE"""),129.5)</f>
        <v>129.5</v>
      </c>
      <c r="H105" s="70" t="str">
        <f>IFERROR(__xludf.DUMMYFUNCTION("""COMPUTED_VALUE"""),"Carter, Rhiannon")</f>
        <v>Carter, Rhiannon</v>
      </c>
      <c r="I105" s="71" t="str">
        <f>IFERROR(__xludf.DUMMYFUNCTION("""COMPUTED_VALUE"""),"145g")</f>
        <v>145g</v>
      </c>
      <c r="J105" s="69" t="str">
        <f>IFERROR(__xludf.DUMMYFUNCTION("""COMPUTED_VALUE"""),"150x")</f>
        <v>150x</v>
      </c>
      <c r="K105" s="69" t="str">
        <f>IFERROR(__xludf.DUMMYFUNCTION("""COMPUTED_VALUE"""),"155x")</f>
        <v>155x</v>
      </c>
      <c r="L105" s="69">
        <f>IFERROR(__xludf.DUMMYFUNCTION("""COMPUTED_VALUE"""),145.0)</f>
        <v>145</v>
      </c>
      <c r="M105" s="69" t="str">
        <f>IFERROR(__xludf.DUMMYFUNCTION("""COMPUTED_VALUE"""),"85g")</f>
        <v>85g</v>
      </c>
      <c r="N105" s="69" t="str">
        <f>IFERROR(__xludf.DUMMYFUNCTION("""COMPUTED_VALUE"""),"90g")</f>
        <v>90g</v>
      </c>
      <c r="O105" s="69" t="str">
        <f>IFERROR(__xludf.DUMMYFUNCTION("""COMPUTED_VALUE"""),"95g")</f>
        <v>95g</v>
      </c>
      <c r="P105" s="69">
        <f>IFERROR(__xludf.DUMMYFUNCTION("""COMPUTED_VALUE"""),95.0)</f>
        <v>95</v>
      </c>
      <c r="Q105" s="69" t="str">
        <f>IFERROR(__xludf.DUMMYFUNCTION("""COMPUTED_VALUE"""),"185g")</f>
        <v>185g</v>
      </c>
      <c r="R105" s="69" t="str">
        <f>IFERROR(__xludf.DUMMYFUNCTION("""COMPUTED_VALUE"""),"195g")</f>
        <v>195g</v>
      </c>
      <c r="S105" s="69" t="str">
        <f>IFERROR(__xludf.DUMMYFUNCTION("""COMPUTED_VALUE"""),"205g")</f>
        <v>205g</v>
      </c>
      <c r="T105" s="69">
        <f>IFERROR(__xludf.DUMMYFUNCTION("""COMPUTED_VALUE"""),205.0)</f>
        <v>205</v>
      </c>
      <c r="U105" s="69">
        <f>IFERROR(__xludf.DUMMYFUNCTION("""COMPUTED_VALUE"""),445.0)</f>
        <v>445</v>
      </c>
      <c r="V105" s="183">
        <f>IFERROR(__xludf.DUMMYFUNCTION("""COMPUTED_VALUE"""),3.436293436293436)</f>
        <v>3.436293436</v>
      </c>
      <c r="W105" s="156">
        <f>IFERROR(__xludf.DUMMYFUNCTION("""COMPUTED_VALUE"""),7.0)</f>
        <v>7</v>
      </c>
      <c r="X105" s="156"/>
      <c r="Y105" s="156"/>
    </row>
    <row r="106">
      <c r="A106" s="58">
        <v>145.0</v>
      </c>
      <c r="B106" s="157" t="s">
        <v>120</v>
      </c>
      <c r="C106" s="157">
        <v>12.0</v>
      </c>
      <c r="D106" s="157" t="str">
        <f>IFERROR(__xludf.DUMMYFUNCTION("ARRAY_CONSTRAIN(filter('All Platforms'!A3:T1802,'All Platforms'!A3:A1802=""145 WJV""),20,20)"),"145 WJV")</f>
        <v>145 WJV</v>
      </c>
      <c r="E106" s="64" t="str">
        <f>IFERROR(__xludf.DUMMYFUNCTION("""COMPUTED_VALUE"""),"WJV")</f>
        <v>WJV</v>
      </c>
      <c r="F106" s="158" t="str">
        <f>IFERROR(__xludf.DUMMYFUNCTION("""COMPUTED_VALUE"""),"Montague")</f>
        <v>Montague</v>
      </c>
      <c r="G106" s="64">
        <f>IFERROR(__xludf.DUMMYFUNCTION("""COMPUTED_VALUE"""),138.0)</f>
        <v>138</v>
      </c>
      <c r="H106" s="158" t="str">
        <f>IFERROR(__xludf.DUMMYFUNCTION("""COMPUTED_VALUE"""),"Diamond, Madison")</f>
        <v>Diamond, Madison</v>
      </c>
      <c r="I106" s="159" t="str">
        <f>IFERROR(__xludf.DUMMYFUNCTION("""COMPUTED_VALUE"""),"205x")</f>
        <v>205x</v>
      </c>
      <c r="J106" s="64" t="str">
        <f>IFERROR(__xludf.DUMMYFUNCTION("""COMPUTED_VALUE"""),"205g")</f>
        <v>205g</v>
      </c>
      <c r="K106" s="64" t="str">
        <f>IFERROR(__xludf.DUMMYFUNCTION("""COMPUTED_VALUE"""),"230g")</f>
        <v>230g</v>
      </c>
      <c r="L106" s="64">
        <f>IFERROR(__xludf.DUMMYFUNCTION("""COMPUTED_VALUE"""),230.0)</f>
        <v>230</v>
      </c>
      <c r="M106" s="64" t="str">
        <f>IFERROR(__xludf.DUMMYFUNCTION("""COMPUTED_VALUE"""),"115g")</f>
        <v>115g</v>
      </c>
      <c r="N106" s="64" t="str">
        <f>IFERROR(__xludf.DUMMYFUNCTION("""COMPUTED_VALUE"""),"125g")</f>
        <v>125g</v>
      </c>
      <c r="O106" s="64" t="str">
        <f>IFERROR(__xludf.DUMMYFUNCTION("""COMPUTED_VALUE"""),"135x")</f>
        <v>135x</v>
      </c>
      <c r="P106" s="64">
        <f>IFERROR(__xludf.DUMMYFUNCTION("""COMPUTED_VALUE"""),125.0)</f>
        <v>125</v>
      </c>
      <c r="Q106" s="64" t="str">
        <f>IFERROR(__xludf.DUMMYFUNCTION("""COMPUTED_VALUE"""),"320g")</f>
        <v>320g</v>
      </c>
      <c r="R106" s="64" t="str">
        <f>IFERROR(__xludf.DUMMYFUNCTION("""COMPUTED_VALUE"""),"345g")</f>
        <v>345g</v>
      </c>
      <c r="S106" s="64" t="str">
        <f>IFERROR(__xludf.DUMMYFUNCTION("""COMPUTED_VALUE"""),"355g")</f>
        <v>355g</v>
      </c>
      <c r="T106" s="64">
        <f>IFERROR(__xludf.DUMMYFUNCTION("""COMPUTED_VALUE"""),355.0)</f>
        <v>355</v>
      </c>
      <c r="U106" s="64">
        <f>IFERROR(__xludf.DUMMYFUNCTION("""COMPUTED_VALUE"""),710.0)</f>
        <v>710</v>
      </c>
      <c r="V106" s="182">
        <f>IFERROR(__xludf.DUMMYFUNCTION("""COMPUTED_VALUE"""),5.144927536231884)</f>
        <v>5.144927536</v>
      </c>
      <c r="W106" s="57">
        <f>IFERROR(__xludf.DUMMYFUNCTION("""COMPUTED_VALUE"""),7.0)</f>
        <v>7</v>
      </c>
      <c r="X106" s="57"/>
      <c r="Y106" s="57"/>
    </row>
    <row r="107">
      <c r="B107" s="157" t="s">
        <v>121</v>
      </c>
      <c r="C107" s="157">
        <v>9.0</v>
      </c>
      <c r="D107" s="157" t="str">
        <f>IFERROR(__xludf.DUMMYFUNCTION("""COMPUTED_VALUE"""),"145 WJV")</f>
        <v>145 WJV</v>
      </c>
      <c r="E107" s="64" t="str">
        <f>IFERROR(__xludf.DUMMYFUNCTION("""COMPUTED_VALUE"""),"WJV")</f>
        <v>WJV</v>
      </c>
      <c r="F107" s="158" t="str">
        <f>IFERROR(__xludf.DUMMYFUNCTION("""COMPUTED_VALUE"""),"Climax-Scotts")</f>
        <v>Climax-Scotts</v>
      </c>
      <c r="G107" s="64">
        <f>IFERROR(__xludf.DUMMYFUNCTION("""COMPUTED_VALUE"""),134.8)</f>
        <v>134.8</v>
      </c>
      <c r="H107" s="158" t="str">
        <f>IFERROR(__xludf.DUMMYFUNCTION("""COMPUTED_VALUE"""),"Haynes, Jenna")</f>
        <v>Haynes, Jenna</v>
      </c>
      <c r="I107" s="159" t="str">
        <f>IFERROR(__xludf.DUMMYFUNCTION("""COMPUTED_VALUE"""),"225g")</f>
        <v>225g</v>
      </c>
      <c r="J107" s="64" t="str">
        <f>IFERROR(__xludf.DUMMYFUNCTION("""COMPUTED_VALUE"""),"235g")</f>
        <v>235g</v>
      </c>
      <c r="K107" s="64" t="str">
        <f>IFERROR(__xludf.DUMMYFUNCTION("""COMPUTED_VALUE"""),"250x")</f>
        <v>250x</v>
      </c>
      <c r="L107" s="64">
        <f>IFERROR(__xludf.DUMMYFUNCTION("""COMPUTED_VALUE"""),235.0)</f>
        <v>235</v>
      </c>
      <c r="M107" s="64" t="str">
        <f>IFERROR(__xludf.DUMMYFUNCTION("""COMPUTED_VALUE"""),"100g")</f>
        <v>100g</v>
      </c>
      <c r="N107" s="64" t="str">
        <f>IFERROR(__xludf.DUMMYFUNCTION("""COMPUTED_VALUE"""),"110g")</f>
        <v>110g</v>
      </c>
      <c r="O107" s="64" t="str">
        <f>IFERROR(__xludf.DUMMYFUNCTION("""COMPUTED_VALUE"""),"115g")</f>
        <v>115g</v>
      </c>
      <c r="P107" s="64">
        <f>IFERROR(__xludf.DUMMYFUNCTION("""COMPUTED_VALUE"""),115.0)</f>
        <v>115</v>
      </c>
      <c r="Q107" s="64" t="str">
        <f>IFERROR(__xludf.DUMMYFUNCTION("""COMPUTED_VALUE"""),"275g")</f>
        <v>275g</v>
      </c>
      <c r="R107" s="64" t="str">
        <f>IFERROR(__xludf.DUMMYFUNCTION("""COMPUTED_VALUE"""),"300g")</f>
        <v>300g</v>
      </c>
      <c r="S107" s="64" t="str">
        <f>IFERROR(__xludf.DUMMYFUNCTION("""COMPUTED_VALUE"""),"315g")</f>
        <v>315g</v>
      </c>
      <c r="T107" s="64">
        <f>IFERROR(__xludf.DUMMYFUNCTION("""COMPUTED_VALUE"""),315.0)</f>
        <v>315</v>
      </c>
      <c r="U107" s="64">
        <f>IFERROR(__xludf.DUMMYFUNCTION("""COMPUTED_VALUE"""),665.0)</f>
        <v>665</v>
      </c>
      <c r="V107" s="182">
        <f>IFERROR(__xludf.DUMMYFUNCTION("""COMPUTED_VALUE"""),4.933234421364984)</f>
        <v>4.933234421</v>
      </c>
      <c r="W107" s="57">
        <f>IFERROR(__xludf.DUMMYFUNCTION("""COMPUTED_VALUE"""),8.0)</f>
        <v>8</v>
      </c>
      <c r="X107" s="57"/>
      <c r="Y107" s="57"/>
    </row>
    <row r="108">
      <c r="B108" s="157" t="s">
        <v>122</v>
      </c>
      <c r="C108" s="157">
        <f>if(countif(F106:F107,F108)&gt;1,0,8)</f>
        <v>8</v>
      </c>
      <c r="D108" s="157" t="str">
        <f>IFERROR(__xludf.DUMMYFUNCTION("""COMPUTED_VALUE"""),"145 WJV")</f>
        <v>145 WJV</v>
      </c>
      <c r="E108" s="64" t="str">
        <f>IFERROR(__xludf.DUMMYFUNCTION("""COMPUTED_VALUE"""),"")</f>
        <v/>
      </c>
      <c r="F108" s="158" t="str">
        <f>IFERROR(__xludf.DUMMYFUNCTION("""COMPUTED_VALUE"""),"Cros-Lex")</f>
        <v>Cros-Lex</v>
      </c>
      <c r="G108" s="64">
        <f>IFERROR(__xludf.DUMMYFUNCTION("""COMPUTED_VALUE"""),137.2)</f>
        <v>137.2</v>
      </c>
      <c r="H108" s="158" t="str">
        <f>IFERROR(__xludf.DUMMYFUNCTION("""COMPUTED_VALUE"""),"Radtke, Ryen")</f>
        <v>Radtke, Ryen</v>
      </c>
      <c r="I108" s="159" t="str">
        <f>IFERROR(__xludf.DUMMYFUNCTION("""COMPUTED_VALUE"""),"200g")</f>
        <v>200g</v>
      </c>
      <c r="J108" s="64" t="str">
        <f>IFERROR(__xludf.DUMMYFUNCTION("""COMPUTED_VALUE"""),"215g")</f>
        <v>215g</v>
      </c>
      <c r="K108" s="64" t="str">
        <f>IFERROR(__xludf.DUMMYFUNCTION("""COMPUTED_VALUE"""),"225g")</f>
        <v>225g</v>
      </c>
      <c r="L108" s="64">
        <f>IFERROR(__xludf.DUMMYFUNCTION("""COMPUTED_VALUE"""),225.0)</f>
        <v>225</v>
      </c>
      <c r="M108" s="64" t="str">
        <f>IFERROR(__xludf.DUMMYFUNCTION("""COMPUTED_VALUE"""),"90g")</f>
        <v>90g</v>
      </c>
      <c r="N108" s="64" t="str">
        <f>IFERROR(__xludf.DUMMYFUNCTION("""COMPUTED_VALUE"""),"95g")</f>
        <v>95g</v>
      </c>
      <c r="O108" s="64" t="str">
        <f>IFERROR(__xludf.DUMMYFUNCTION("""COMPUTED_VALUE"""),"100g")</f>
        <v>100g</v>
      </c>
      <c r="P108" s="64">
        <f>IFERROR(__xludf.DUMMYFUNCTION("""COMPUTED_VALUE"""),100.0)</f>
        <v>100</v>
      </c>
      <c r="Q108" s="64" t="str">
        <f>IFERROR(__xludf.DUMMYFUNCTION("""COMPUTED_VALUE"""),"230g")</f>
        <v>230g</v>
      </c>
      <c r="R108" s="64" t="str">
        <f>IFERROR(__xludf.DUMMYFUNCTION("""COMPUTED_VALUE"""),"255g")</f>
        <v>255g</v>
      </c>
      <c r="S108" s="64" t="str">
        <f>IFERROR(__xludf.DUMMYFUNCTION("""COMPUTED_VALUE"""),"275g")</f>
        <v>275g</v>
      </c>
      <c r="T108" s="64">
        <f>IFERROR(__xludf.DUMMYFUNCTION("""COMPUTED_VALUE"""),275.0)</f>
        <v>275</v>
      </c>
      <c r="U108" s="64">
        <f>IFERROR(__xludf.DUMMYFUNCTION("""COMPUTED_VALUE"""),600.0)</f>
        <v>600</v>
      </c>
      <c r="V108" s="182">
        <f>IFERROR(__xludf.DUMMYFUNCTION("""COMPUTED_VALUE"""),4.373177842565598)</f>
        <v>4.373177843</v>
      </c>
      <c r="W108" s="57">
        <f>IFERROR(__xludf.DUMMYFUNCTION("""COMPUTED_VALUE"""),9.0)</f>
        <v>9</v>
      </c>
      <c r="X108" s="57"/>
      <c r="Y108" s="57"/>
    </row>
    <row r="109">
      <c r="B109" s="157" t="s">
        <v>123</v>
      </c>
      <c r="C109" s="157">
        <f>if(countif(F106:F108,F109)&gt;1,0,7)</f>
        <v>7</v>
      </c>
      <c r="D109" s="157" t="str">
        <f>IFERROR(__xludf.DUMMYFUNCTION("""COMPUTED_VALUE"""),"145 WJV")</f>
        <v>145 WJV</v>
      </c>
      <c r="E109" s="64" t="str">
        <f>IFERROR(__xludf.DUMMYFUNCTION("""COMPUTED_VALUE"""),"WJV")</f>
        <v>WJV</v>
      </c>
      <c r="F109" s="158" t="str">
        <f>IFERROR(__xludf.DUMMYFUNCTION("""COMPUTED_VALUE"""),"Port Huron")</f>
        <v>Port Huron</v>
      </c>
      <c r="G109" s="64">
        <f>IFERROR(__xludf.DUMMYFUNCTION("""COMPUTED_VALUE"""),137.2)</f>
        <v>137.2</v>
      </c>
      <c r="H109" s="158" t="str">
        <f>IFERROR(__xludf.DUMMYFUNCTION("""COMPUTED_VALUE"""),"Szczepkowski, Kacey")</f>
        <v>Szczepkowski, Kacey</v>
      </c>
      <c r="I109" s="159" t="str">
        <f>IFERROR(__xludf.DUMMYFUNCTION("""COMPUTED_VALUE"""),"175g")</f>
        <v>175g</v>
      </c>
      <c r="J109" s="64" t="str">
        <f>IFERROR(__xludf.DUMMYFUNCTION("""COMPUTED_VALUE"""),"200g")</f>
        <v>200g</v>
      </c>
      <c r="K109" s="64" t="str">
        <f>IFERROR(__xludf.DUMMYFUNCTION("""COMPUTED_VALUE"""),"220g")</f>
        <v>220g</v>
      </c>
      <c r="L109" s="64">
        <f>IFERROR(__xludf.DUMMYFUNCTION("""COMPUTED_VALUE"""),220.0)</f>
        <v>220</v>
      </c>
      <c r="M109" s="64" t="str">
        <f>IFERROR(__xludf.DUMMYFUNCTION("""COMPUTED_VALUE"""),"85g")</f>
        <v>85g</v>
      </c>
      <c r="N109" s="64" t="str">
        <f>IFERROR(__xludf.DUMMYFUNCTION("""COMPUTED_VALUE"""),"90g")</f>
        <v>90g</v>
      </c>
      <c r="O109" s="64" t="str">
        <f>IFERROR(__xludf.DUMMYFUNCTION("""COMPUTED_VALUE"""),"100x")</f>
        <v>100x</v>
      </c>
      <c r="P109" s="64">
        <f>IFERROR(__xludf.DUMMYFUNCTION("""COMPUTED_VALUE"""),90.0)</f>
        <v>90</v>
      </c>
      <c r="Q109" s="64" t="str">
        <f>IFERROR(__xludf.DUMMYFUNCTION("""COMPUTED_VALUE"""),"255g")</f>
        <v>255g</v>
      </c>
      <c r="R109" s="64" t="str">
        <f>IFERROR(__xludf.DUMMYFUNCTION("""COMPUTED_VALUE"""),"275g")</f>
        <v>275g</v>
      </c>
      <c r="S109" s="64" t="str">
        <f>IFERROR(__xludf.DUMMYFUNCTION("""COMPUTED_VALUE"""),"285g")</f>
        <v>285g</v>
      </c>
      <c r="T109" s="64">
        <f>IFERROR(__xludf.DUMMYFUNCTION("""COMPUTED_VALUE"""),285.0)</f>
        <v>285</v>
      </c>
      <c r="U109" s="64">
        <f>IFERROR(__xludf.DUMMYFUNCTION("""COMPUTED_VALUE"""),595.0)</f>
        <v>595</v>
      </c>
      <c r="V109" s="182">
        <f>IFERROR(__xludf.DUMMYFUNCTION("""COMPUTED_VALUE"""),4.336734693877552)</f>
        <v>4.336734694</v>
      </c>
      <c r="W109" s="57">
        <f>IFERROR(__xludf.DUMMYFUNCTION("""COMPUTED_VALUE"""),8.0)</f>
        <v>8</v>
      </c>
      <c r="X109" s="57"/>
      <c r="Y109" s="57"/>
    </row>
    <row r="110">
      <c r="B110" s="157" t="s">
        <v>124</v>
      </c>
      <c r="C110" s="157">
        <f>if(countif(F106:F109,F110)&gt;1,0,6)</f>
        <v>6</v>
      </c>
      <c r="D110" s="157" t="str">
        <f>IFERROR(__xludf.DUMMYFUNCTION("""COMPUTED_VALUE"""),"145 WJV")</f>
        <v>145 WJV</v>
      </c>
      <c r="E110" s="64" t="str">
        <f>IFERROR(__xludf.DUMMYFUNCTION("""COMPUTED_VALUE"""),"WJV")</f>
        <v>WJV</v>
      </c>
      <c r="F110" s="158" t="str">
        <f>IFERROR(__xludf.DUMMYFUNCTION("""COMPUTED_VALUE"""),"Brighton")</f>
        <v>Brighton</v>
      </c>
      <c r="G110" s="64">
        <f>IFERROR(__xludf.DUMMYFUNCTION("""COMPUTED_VALUE"""),137.8)</f>
        <v>137.8</v>
      </c>
      <c r="H110" s="158" t="str">
        <f>IFERROR(__xludf.DUMMYFUNCTION("""COMPUTED_VALUE"""),"Dunkley, Katie")</f>
        <v>Dunkley, Katie</v>
      </c>
      <c r="I110" s="159" t="str">
        <f>IFERROR(__xludf.DUMMYFUNCTION("""COMPUTED_VALUE"""),"205g")</f>
        <v>205g</v>
      </c>
      <c r="J110" s="64" t="str">
        <f>IFERROR(__xludf.DUMMYFUNCTION("""COMPUTED_VALUE"""),"220x")</f>
        <v>220x</v>
      </c>
      <c r="K110" s="64" t="str">
        <f>IFERROR(__xludf.DUMMYFUNCTION("""COMPUTED_VALUE"""),"220g")</f>
        <v>220g</v>
      </c>
      <c r="L110" s="64">
        <f>IFERROR(__xludf.DUMMYFUNCTION("""COMPUTED_VALUE"""),220.0)</f>
        <v>220</v>
      </c>
      <c r="M110" s="64" t="str">
        <f>IFERROR(__xludf.DUMMYFUNCTION("""COMPUTED_VALUE"""),"95g")</f>
        <v>95g</v>
      </c>
      <c r="N110" s="64" t="str">
        <f>IFERROR(__xludf.DUMMYFUNCTION("""COMPUTED_VALUE"""),"105g")</f>
        <v>105g</v>
      </c>
      <c r="O110" s="64" t="str">
        <f>IFERROR(__xludf.DUMMYFUNCTION("""COMPUTED_VALUE"""),"110x")</f>
        <v>110x</v>
      </c>
      <c r="P110" s="64">
        <f>IFERROR(__xludf.DUMMYFUNCTION("""COMPUTED_VALUE"""),105.0)</f>
        <v>105</v>
      </c>
      <c r="Q110" s="64" t="str">
        <f>IFERROR(__xludf.DUMMYFUNCTION("""COMPUTED_VALUE"""),"225g")</f>
        <v>225g</v>
      </c>
      <c r="R110" s="64" t="str">
        <f>IFERROR(__xludf.DUMMYFUNCTION("""COMPUTED_VALUE"""),"240g")</f>
        <v>240g</v>
      </c>
      <c r="S110" s="64" t="str">
        <f>IFERROR(__xludf.DUMMYFUNCTION("""COMPUTED_VALUE"""),"250x")</f>
        <v>250x</v>
      </c>
      <c r="T110" s="64">
        <f>IFERROR(__xludf.DUMMYFUNCTION("""COMPUTED_VALUE"""),240.0)</f>
        <v>240</v>
      </c>
      <c r="U110" s="64">
        <f>IFERROR(__xludf.DUMMYFUNCTION("""COMPUTED_VALUE"""),565.0)</f>
        <v>565</v>
      </c>
      <c r="V110" s="182">
        <f>IFERROR(__xludf.DUMMYFUNCTION("""COMPUTED_VALUE"""),4.100145137880987)</f>
        <v>4.100145138</v>
      </c>
      <c r="W110" s="57">
        <f>IFERROR(__xludf.DUMMYFUNCTION("""COMPUTED_VALUE"""),6.0)</f>
        <v>6</v>
      </c>
      <c r="X110" s="57"/>
      <c r="Y110" s="57"/>
    </row>
    <row r="111">
      <c r="B111" s="157" t="s">
        <v>125</v>
      </c>
      <c r="C111" s="157">
        <f>if(countif(F106:F110,F111)&gt;1,0,5)</f>
        <v>5</v>
      </c>
      <c r="D111" s="157" t="str">
        <f>IFERROR(__xludf.DUMMYFUNCTION("""COMPUTED_VALUE"""),"145 WJV")</f>
        <v>145 WJV</v>
      </c>
      <c r="E111" s="64" t="str">
        <f>IFERROR(__xludf.DUMMYFUNCTION("""COMPUTED_VALUE"""),"WJV")</f>
        <v>WJV</v>
      </c>
      <c r="F111" s="158" t="str">
        <f>IFERROR(__xludf.DUMMYFUNCTION("""COMPUTED_VALUE"""),"Lake Orion")</f>
        <v>Lake Orion</v>
      </c>
      <c r="G111" s="64">
        <f>IFERROR(__xludf.DUMMYFUNCTION("""COMPUTED_VALUE"""),144.8)</f>
        <v>144.8</v>
      </c>
      <c r="H111" s="158" t="str">
        <f>IFERROR(__xludf.DUMMYFUNCTION("""COMPUTED_VALUE"""),"Guldi, Dakota")</f>
        <v>Guldi, Dakota</v>
      </c>
      <c r="I111" s="159" t="str">
        <f>IFERROR(__xludf.DUMMYFUNCTION("""COMPUTED_VALUE"""),"185g")</f>
        <v>185g</v>
      </c>
      <c r="J111" s="64" t="str">
        <f>IFERROR(__xludf.DUMMYFUNCTION("""COMPUTED_VALUE"""),"195g")</f>
        <v>195g</v>
      </c>
      <c r="K111" s="64" t="str">
        <f>IFERROR(__xludf.DUMMYFUNCTION("""COMPUTED_VALUE"""),"210g")</f>
        <v>210g</v>
      </c>
      <c r="L111" s="64">
        <f>IFERROR(__xludf.DUMMYFUNCTION("""COMPUTED_VALUE"""),210.0)</f>
        <v>210</v>
      </c>
      <c r="M111" s="64" t="str">
        <f>IFERROR(__xludf.DUMMYFUNCTION("""COMPUTED_VALUE"""),"85g")</f>
        <v>85g</v>
      </c>
      <c r="N111" s="64" t="str">
        <f>IFERROR(__xludf.DUMMYFUNCTION("""COMPUTED_VALUE"""),"90g")</f>
        <v>90g</v>
      </c>
      <c r="O111" s="64" t="str">
        <f>IFERROR(__xludf.DUMMYFUNCTION("""COMPUTED_VALUE"""),"95x")</f>
        <v>95x</v>
      </c>
      <c r="P111" s="64">
        <f>IFERROR(__xludf.DUMMYFUNCTION("""COMPUTED_VALUE"""),90.0)</f>
        <v>90</v>
      </c>
      <c r="Q111" s="64" t="str">
        <f>IFERROR(__xludf.DUMMYFUNCTION("""COMPUTED_VALUE"""),"235g")</f>
        <v>235g</v>
      </c>
      <c r="R111" s="64" t="str">
        <f>IFERROR(__xludf.DUMMYFUNCTION("""COMPUTED_VALUE"""),"250g")</f>
        <v>250g</v>
      </c>
      <c r="S111" s="64" t="str">
        <f>IFERROR(__xludf.DUMMYFUNCTION("""COMPUTED_VALUE"""),"265g")</f>
        <v>265g</v>
      </c>
      <c r="T111" s="64">
        <f>IFERROR(__xludf.DUMMYFUNCTION("""COMPUTED_VALUE"""),265.0)</f>
        <v>265</v>
      </c>
      <c r="U111" s="64">
        <f>IFERROR(__xludf.DUMMYFUNCTION("""COMPUTED_VALUE"""),565.0)</f>
        <v>565</v>
      </c>
      <c r="V111" s="182">
        <f>IFERROR(__xludf.DUMMYFUNCTION("""COMPUTED_VALUE"""),3.9019337016574585)</f>
        <v>3.901933702</v>
      </c>
      <c r="W111" s="57">
        <f>IFERROR(__xludf.DUMMYFUNCTION("""COMPUTED_VALUE"""),8.0)</f>
        <v>8</v>
      </c>
      <c r="X111" s="57"/>
      <c r="Y111" s="57"/>
    </row>
    <row r="112">
      <c r="B112" s="157" t="s">
        <v>126</v>
      </c>
      <c r="C112" s="157">
        <f>if(countif(F106:F111,F112)&gt;1,0,4)</f>
        <v>4</v>
      </c>
      <c r="D112" s="157" t="str">
        <f>IFERROR(__xludf.DUMMYFUNCTION("""COMPUTED_VALUE"""),"145 WJV")</f>
        <v>145 WJV</v>
      </c>
      <c r="E112" s="64" t="str">
        <f>IFERROR(__xludf.DUMMYFUNCTION("""COMPUTED_VALUE"""),"WJV")</f>
        <v>WJV</v>
      </c>
      <c r="F112" s="158" t="str">
        <f>IFERROR(__xludf.DUMMYFUNCTION("""COMPUTED_VALUE"""),"Kearsley")</f>
        <v>Kearsley</v>
      </c>
      <c r="G112" s="64">
        <f>IFERROR(__xludf.DUMMYFUNCTION("""COMPUTED_VALUE"""),143.2)</f>
        <v>143.2</v>
      </c>
      <c r="H112" s="158" t="str">
        <f>IFERROR(__xludf.DUMMYFUNCTION("""COMPUTED_VALUE"""),"Clarambeau, Karlee")</f>
        <v>Clarambeau, Karlee</v>
      </c>
      <c r="I112" s="159" t="str">
        <f>IFERROR(__xludf.DUMMYFUNCTION("""COMPUTED_VALUE"""),"215g")</f>
        <v>215g</v>
      </c>
      <c r="J112" s="64" t="str">
        <f>IFERROR(__xludf.DUMMYFUNCTION("""COMPUTED_VALUE"""),"225x")</f>
        <v>225x</v>
      </c>
      <c r="K112" s="64" t="str">
        <f>IFERROR(__xludf.DUMMYFUNCTION("""COMPUTED_VALUE"""),"230g")</f>
        <v>230g</v>
      </c>
      <c r="L112" s="64">
        <f>IFERROR(__xludf.DUMMYFUNCTION("""COMPUTED_VALUE"""),230.0)</f>
        <v>230</v>
      </c>
      <c r="M112" s="64" t="str">
        <f>IFERROR(__xludf.DUMMYFUNCTION("""COMPUTED_VALUE"""),"80g")</f>
        <v>80g</v>
      </c>
      <c r="N112" s="64" t="str">
        <f>IFERROR(__xludf.DUMMYFUNCTION("""COMPUTED_VALUE"""),"90g")</f>
        <v>90g</v>
      </c>
      <c r="O112" s="64" t="str">
        <f>IFERROR(__xludf.DUMMYFUNCTION("""COMPUTED_VALUE"""),"95x")</f>
        <v>95x</v>
      </c>
      <c r="P112" s="64">
        <f>IFERROR(__xludf.DUMMYFUNCTION("""COMPUTED_VALUE"""),90.0)</f>
        <v>90</v>
      </c>
      <c r="Q112" s="64" t="str">
        <f>IFERROR(__xludf.DUMMYFUNCTION("""COMPUTED_VALUE"""),"225g")</f>
        <v>225g</v>
      </c>
      <c r="R112" s="64" t="str">
        <f>IFERROR(__xludf.DUMMYFUNCTION("""COMPUTED_VALUE"""),"240g")</f>
        <v>240g</v>
      </c>
      <c r="S112" s="64" t="str">
        <f>IFERROR(__xludf.DUMMYFUNCTION("""COMPUTED_VALUE"""),"250x")</f>
        <v>250x</v>
      </c>
      <c r="T112" s="64">
        <f>IFERROR(__xludf.DUMMYFUNCTION("""COMPUTED_VALUE"""),240.0)</f>
        <v>240</v>
      </c>
      <c r="U112" s="64">
        <f>IFERROR(__xludf.DUMMYFUNCTION("""COMPUTED_VALUE"""),560.0)</f>
        <v>560</v>
      </c>
      <c r="V112" s="182">
        <f>IFERROR(__xludf.DUMMYFUNCTION("""COMPUTED_VALUE"""),3.910614525139665)</f>
        <v>3.910614525</v>
      </c>
      <c r="W112" s="57">
        <f>IFERROR(__xludf.DUMMYFUNCTION("""COMPUTED_VALUE"""),6.0)</f>
        <v>6</v>
      </c>
      <c r="X112" s="57"/>
      <c r="Y112" s="57"/>
    </row>
    <row r="113">
      <c r="B113" s="157" t="s">
        <v>127</v>
      </c>
      <c r="C113" s="157">
        <f>if(countif(F106:F112,F113)&gt;1,0,3)</f>
        <v>3</v>
      </c>
      <c r="D113" s="157" t="str">
        <f>IFERROR(__xludf.DUMMYFUNCTION("""COMPUTED_VALUE"""),"145 WJV")</f>
        <v>145 WJV</v>
      </c>
      <c r="E113" s="64" t="str">
        <f>IFERROR(__xludf.DUMMYFUNCTION("""COMPUTED_VALUE"""),"WJV")</f>
        <v>WJV</v>
      </c>
      <c r="F113" s="158" t="str">
        <f>IFERROR(__xludf.DUMMYFUNCTION("""COMPUTED_VALUE"""),"Davison")</f>
        <v>Davison</v>
      </c>
      <c r="G113" s="64">
        <f>IFERROR(__xludf.DUMMYFUNCTION("""COMPUTED_VALUE"""),140.8)</f>
        <v>140.8</v>
      </c>
      <c r="H113" s="158" t="str">
        <f>IFERROR(__xludf.DUMMYFUNCTION("""COMPUTED_VALUE"""),"Pringle, Makayla")</f>
        <v>Pringle, Makayla</v>
      </c>
      <c r="I113" s="159" t="str">
        <f>IFERROR(__xludf.DUMMYFUNCTION("""COMPUTED_VALUE"""),"195g")</f>
        <v>195g</v>
      </c>
      <c r="J113" s="64" t="str">
        <f>IFERROR(__xludf.DUMMYFUNCTION("""COMPUTED_VALUE"""),"210x")</f>
        <v>210x</v>
      </c>
      <c r="K113" s="64" t="str">
        <f>IFERROR(__xludf.DUMMYFUNCTION("""COMPUTED_VALUE"""),"210g")</f>
        <v>210g</v>
      </c>
      <c r="L113" s="64">
        <f>IFERROR(__xludf.DUMMYFUNCTION("""COMPUTED_VALUE"""),210.0)</f>
        <v>210</v>
      </c>
      <c r="M113" s="64" t="str">
        <f>IFERROR(__xludf.DUMMYFUNCTION("""COMPUTED_VALUE"""),"85g")</f>
        <v>85g</v>
      </c>
      <c r="N113" s="64" t="str">
        <f>IFERROR(__xludf.DUMMYFUNCTION("""COMPUTED_VALUE"""),"95g")</f>
        <v>95g</v>
      </c>
      <c r="O113" s="64" t="str">
        <f>IFERROR(__xludf.DUMMYFUNCTION("""COMPUTED_VALUE"""),"105x")</f>
        <v>105x</v>
      </c>
      <c r="P113" s="64">
        <f>IFERROR(__xludf.DUMMYFUNCTION("""COMPUTED_VALUE"""),95.0)</f>
        <v>95</v>
      </c>
      <c r="Q113" s="64" t="str">
        <f>IFERROR(__xludf.DUMMYFUNCTION("""COMPUTED_VALUE"""),"215g")</f>
        <v>215g</v>
      </c>
      <c r="R113" s="64" t="str">
        <f>IFERROR(__xludf.DUMMYFUNCTION("""COMPUTED_VALUE"""),"235g")</f>
        <v>235g</v>
      </c>
      <c r="S113" s="64" t="str">
        <f>IFERROR(__xludf.DUMMYFUNCTION("""COMPUTED_VALUE"""),"250g")</f>
        <v>250g</v>
      </c>
      <c r="T113" s="64">
        <f>IFERROR(__xludf.DUMMYFUNCTION("""COMPUTED_VALUE"""),250.0)</f>
        <v>250</v>
      </c>
      <c r="U113" s="64">
        <f>IFERROR(__xludf.DUMMYFUNCTION("""COMPUTED_VALUE"""),555.0)</f>
        <v>555</v>
      </c>
      <c r="V113" s="182">
        <f>IFERROR(__xludf.DUMMYFUNCTION("""COMPUTED_VALUE"""),3.9417613636363633)</f>
        <v>3.941761364</v>
      </c>
      <c r="W113" s="57">
        <f>IFERROR(__xludf.DUMMYFUNCTION("""COMPUTED_VALUE"""),7.0)</f>
        <v>7</v>
      </c>
      <c r="X113" s="57"/>
      <c r="Y113" s="57"/>
    </row>
    <row r="114">
      <c r="B114" s="157" t="s">
        <v>128</v>
      </c>
      <c r="C114" s="157">
        <f>if(countif(F106:F113,F114)&gt;1,0,2)</f>
        <v>2</v>
      </c>
      <c r="D114" s="157" t="str">
        <f>IFERROR(__xludf.DUMMYFUNCTION("""COMPUTED_VALUE"""),"145 WJV")</f>
        <v>145 WJV</v>
      </c>
      <c r="E114" s="64" t="str">
        <f>IFERROR(__xludf.DUMMYFUNCTION("""COMPUTED_VALUE"""),"WJV")</f>
        <v>WJV</v>
      </c>
      <c r="F114" s="158" t="str">
        <f>IFERROR(__xludf.DUMMYFUNCTION("""COMPUTED_VALUE"""),"Brighton")</f>
        <v>Brighton</v>
      </c>
      <c r="G114" s="64">
        <f>IFERROR(__xludf.DUMMYFUNCTION("""COMPUTED_VALUE"""),142.2)</f>
        <v>142.2</v>
      </c>
      <c r="H114" s="158" t="str">
        <f>IFERROR(__xludf.DUMMYFUNCTION("""COMPUTED_VALUE"""),"Lemons, Evelynn")</f>
        <v>Lemons, Evelynn</v>
      </c>
      <c r="I114" s="159" t="str">
        <f>IFERROR(__xludf.DUMMYFUNCTION("""COMPUTED_VALUE"""),"185g")</f>
        <v>185g</v>
      </c>
      <c r="J114" s="64" t="str">
        <f>IFERROR(__xludf.DUMMYFUNCTION("""COMPUTED_VALUE"""),"195g")</f>
        <v>195g</v>
      </c>
      <c r="K114" s="64" t="str">
        <f>IFERROR(__xludf.DUMMYFUNCTION("""COMPUTED_VALUE"""),"205g")</f>
        <v>205g</v>
      </c>
      <c r="L114" s="64">
        <f>IFERROR(__xludf.DUMMYFUNCTION("""COMPUTED_VALUE"""),205.0)</f>
        <v>205</v>
      </c>
      <c r="M114" s="64" t="str">
        <f>IFERROR(__xludf.DUMMYFUNCTION("""COMPUTED_VALUE"""),"75g")</f>
        <v>75g</v>
      </c>
      <c r="N114" s="64" t="str">
        <f>IFERROR(__xludf.DUMMYFUNCTION("""COMPUTED_VALUE"""),"85x")</f>
        <v>85x</v>
      </c>
      <c r="O114" s="64" t="str">
        <f>IFERROR(__xludf.DUMMYFUNCTION("""COMPUTED_VALUE"""),"85x")</f>
        <v>85x</v>
      </c>
      <c r="P114" s="64">
        <f>IFERROR(__xludf.DUMMYFUNCTION("""COMPUTED_VALUE"""),75.0)</f>
        <v>75</v>
      </c>
      <c r="Q114" s="64" t="str">
        <f>IFERROR(__xludf.DUMMYFUNCTION("""COMPUTED_VALUE"""),"225g")</f>
        <v>225g</v>
      </c>
      <c r="R114" s="64" t="str">
        <f>IFERROR(__xludf.DUMMYFUNCTION("""COMPUTED_VALUE"""),"250g")</f>
        <v>250g</v>
      </c>
      <c r="S114" s="64" t="str">
        <f>IFERROR(__xludf.DUMMYFUNCTION("""COMPUTED_VALUE"""),"270g")</f>
        <v>270g</v>
      </c>
      <c r="T114" s="64">
        <f>IFERROR(__xludf.DUMMYFUNCTION("""COMPUTED_VALUE"""),270.0)</f>
        <v>270</v>
      </c>
      <c r="U114" s="64">
        <f>IFERROR(__xludf.DUMMYFUNCTION("""COMPUTED_VALUE"""),550.0)</f>
        <v>550</v>
      </c>
      <c r="V114" s="182">
        <f>IFERROR(__xludf.DUMMYFUNCTION("""COMPUTED_VALUE"""),3.867791842475387)</f>
        <v>3.867791842</v>
      </c>
      <c r="W114" s="57">
        <f>IFERROR(__xludf.DUMMYFUNCTION("""COMPUTED_VALUE"""),7.0)</f>
        <v>7</v>
      </c>
      <c r="X114" s="57"/>
      <c r="Y114" s="57"/>
    </row>
    <row r="115">
      <c r="B115" s="157" t="s">
        <v>129</v>
      </c>
      <c r="C115" s="157">
        <f>if(countif(F106:F114,F115)&gt;1,0,1)</f>
        <v>1</v>
      </c>
      <c r="D115" s="157" t="str">
        <f>IFERROR(__xludf.DUMMYFUNCTION("""COMPUTED_VALUE"""),"145 WJV")</f>
        <v>145 WJV</v>
      </c>
      <c r="E115" s="64" t="str">
        <f>IFERROR(__xludf.DUMMYFUNCTION("""COMPUTED_VALUE"""),"WJV")</f>
        <v>WJV</v>
      </c>
      <c r="F115" s="158" t="str">
        <f>IFERROR(__xludf.DUMMYFUNCTION("""COMPUTED_VALUE"""),"Morenci")</f>
        <v>Morenci</v>
      </c>
      <c r="G115" s="64">
        <f>IFERROR(__xludf.DUMMYFUNCTION("""COMPUTED_VALUE"""),136.2)</f>
        <v>136.2</v>
      </c>
      <c r="H115" s="158" t="str">
        <f>IFERROR(__xludf.DUMMYFUNCTION("""COMPUTED_VALUE"""),"Hanawalt, Dawson")</f>
        <v>Hanawalt, Dawson</v>
      </c>
      <c r="I115" s="159" t="str">
        <f>IFERROR(__xludf.DUMMYFUNCTION("""COMPUTED_VALUE"""),"155g")</f>
        <v>155g</v>
      </c>
      <c r="J115" s="64" t="str">
        <f>IFERROR(__xludf.DUMMYFUNCTION("""COMPUTED_VALUE"""),"180g")</f>
        <v>180g</v>
      </c>
      <c r="K115" s="64" t="str">
        <f>IFERROR(__xludf.DUMMYFUNCTION("""COMPUTED_VALUE"""),"195g")</f>
        <v>195g</v>
      </c>
      <c r="L115" s="64">
        <f>IFERROR(__xludf.DUMMYFUNCTION("""COMPUTED_VALUE"""),195.0)</f>
        <v>195</v>
      </c>
      <c r="M115" s="64" t="str">
        <f>IFERROR(__xludf.DUMMYFUNCTION("""COMPUTED_VALUE"""),"95g")</f>
        <v>95g</v>
      </c>
      <c r="N115" s="64" t="str">
        <f>IFERROR(__xludf.DUMMYFUNCTION("""COMPUTED_VALUE"""),"105g")</f>
        <v>105g</v>
      </c>
      <c r="O115" s="64" t="str">
        <f>IFERROR(__xludf.DUMMYFUNCTION("""COMPUTED_VALUE"""),"115x")</f>
        <v>115x</v>
      </c>
      <c r="P115" s="64">
        <f>IFERROR(__xludf.DUMMYFUNCTION("""COMPUTED_VALUE"""),105.0)</f>
        <v>105</v>
      </c>
      <c r="Q115" s="64" t="str">
        <f>IFERROR(__xludf.DUMMYFUNCTION("""COMPUTED_VALUE"""),"200g")</f>
        <v>200g</v>
      </c>
      <c r="R115" s="64" t="str">
        <f>IFERROR(__xludf.DUMMYFUNCTION("""COMPUTED_VALUE"""),"225g")</f>
        <v>225g</v>
      </c>
      <c r="S115" s="64" t="str">
        <f>IFERROR(__xludf.DUMMYFUNCTION("""COMPUTED_VALUE"""),"245g")</f>
        <v>245g</v>
      </c>
      <c r="T115" s="64">
        <f>IFERROR(__xludf.DUMMYFUNCTION("""COMPUTED_VALUE"""),245.0)</f>
        <v>245</v>
      </c>
      <c r="U115" s="64">
        <f>IFERROR(__xludf.DUMMYFUNCTION("""COMPUTED_VALUE"""),545.0)</f>
        <v>545</v>
      </c>
      <c r="V115" s="182">
        <f>IFERROR(__xludf.DUMMYFUNCTION("""COMPUTED_VALUE"""),4.001468428781204)</f>
        <v>4.001468429</v>
      </c>
      <c r="W115" s="57">
        <f>IFERROR(__xludf.DUMMYFUNCTION("""COMPUTED_VALUE"""),8.0)</f>
        <v>8</v>
      </c>
      <c r="X115" s="57"/>
      <c r="Y115" s="57"/>
    </row>
    <row r="116">
      <c r="A116" s="67">
        <v>145.0</v>
      </c>
      <c r="B116" s="68" t="s">
        <v>542</v>
      </c>
      <c r="C116" s="68">
        <v>0.0</v>
      </c>
      <c r="D116" s="68" t="str">
        <f>IFERROR(__xludf.DUMMYFUNCTION("""COMPUTED_VALUE"""),"145 WJV")</f>
        <v>145 WJV</v>
      </c>
      <c r="E116" s="69" t="str">
        <f>IFERROR(__xludf.DUMMYFUNCTION("""COMPUTED_VALUE"""),"WJV")</f>
        <v>WJV</v>
      </c>
      <c r="F116" s="70" t="str">
        <f>IFERROR(__xludf.DUMMYFUNCTION("""COMPUTED_VALUE"""),"Oxford")</f>
        <v>Oxford</v>
      </c>
      <c r="G116" s="69">
        <f>IFERROR(__xludf.DUMMYFUNCTION("""COMPUTED_VALUE"""),142.0)</f>
        <v>142</v>
      </c>
      <c r="H116" s="70" t="str">
        <f>IFERROR(__xludf.DUMMYFUNCTION("""COMPUTED_VALUE"""),"Beebe, Jordyn")</f>
        <v>Beebe, Jordyn</v>
      </c>
      <c r="I116" s="71" t="str">
        <f>IFERROR(__xludf.DUMMYFUNCTION("""COMPUTED_VALUE"""),"135g")</f>
        <v>135g</v>
      </c>
      <c r="J116" s="69" t="str">
        <f>IFERROR(__xludf.DUMMYFUNCTION("""COMPUTED_VALUE"""),"155g")</f>
        <v>155g</v>
      </c>
      <c r="K116" s="69" t="str">
        <f>IFERROR(__xludf.DUMMYFUNCTION("""COMPUTED_VALUE"""),"170g")</f>
        <v>170g</v>
      </c>
      <c r="L116" s="69">
        <f>IFERROR(__xludf.DUMMYFUNCTION("""COMPUTED_VALUE"""),170.0)</f>
        <v>170</v>
      </c>
      <c r="M116" s="69" t="str">
        <f>IFERROR(__xludf.DUMMYFUNCTION("""COMPUTED_VALUE"""),"110g")</f>
        <v>110g</v>
      </c>
      <c r="N116" s="69" t="str">
        <f>IFERROR(__xludf.DUMMYFUNCTION("""COMPUTED_VALUE"""),"125g")</f>
        <v>125g</v>
      </c>
      <c r="O116" s="69" t="str">
        <f>IFERROR(__xludf.DUMMYFUNCTION("""COMPUTED_VALUE"""),"140x")</f>
        <v>140x</v>
      </c>
      <c r="P116" s="69">
        <f>IFERROR(__xludf.DUMMYFUNCTION("""COMPUTED_VALUE"""),125.0)</f>
        <v>125</v>
      </c>
      <c r="Q116" s="69" t="str">
        <f>IFERROR(__xludf.DUMMYFUNCTION("""COMPUTED_VALUE"""),"200g")</f>
        <v>200g</v>
      </c>
      <c r="R116" s="69" t="str">
        <f>IFERROR(__xludf.DUMMYFUNCTION("""COMPUTED_VALUE"""),"225g")</f>
        <v>225g</v>
      </c>
      <c r="S116" s="69" t="str">
        <f>IFERROR(__xludf.DUMMYFUNCTION("""COMPUTED_VALUE"""),"250g")</f>
        <v>250g</v>
      </c>
      <c r="T116" s="69">
        <f>IFERROR(__xludf.DUMMYFUNCTION("""COMPUTED_VALUE"""),250.0)</f>
        <v>250</v>
      </c>
      <c r="U116" s="69">
        <f>IFERROR(__xludf.DUMMYFUNCTION("""COMPUTED_VALUE"""),545.0)</f>
        <v>545</v>
      </c>
      <c r="V116" s="183">
        <f>IFERROR(__xludf.DUMMYFUNCTION("""COMPUTED_VALUE"""),3.8380281690140845)</f>
        <v>3.838028169</v>
      </c>
      <c r="W116" s="156">
        <f>IFERROR(__xludf.DUMMYFUNCTION("""COMPUTED_VALUE"""),8.0)</f>
        <v>8</v>
      </c>
      <c r="X116" s="156"/>
      <c r="Y116" s="156"/>
    </row>
    <row r="117">
      <c r="B117" s="68" t="s">
        <v>543</v>
      </c>
      <c r="C117" s="68">
        <v>0.0</v>
      </c>
      <c r="D117" s="68" t="str">
        <f>IFERROR(__xludf.DUMMYFUNCTION("""COMPUTED_VALUE"""),"145 WJV")</f>
        <v>145 WJV</v>
      </c>
      <c r="E117" s="69" t="str">
        <f>IFERROR(__xludf.DUMMYFUNCTION("""COMPUTED_VALUE"""),"WJV")</f>
        <v>WJV</v>
      </c>
      <c r="F117" s="70" t="str">
        <f>IFERROR(__xludf.DUMMYFUNCTION("""COMPUTED_VALUE"""),"Central Montcalm")</f>
        <v>Central Montcalm</v>
      </c>
      <c r="G117" s="69">
        <f>IFERROR(__xludf.DUMMYFUNCTION("""COMPUTED_VALUE"""),134.4)</f>
        <v>134.4</v>
      </c>
      <c r="H117" s="70" t="str">
        <f>IFERROR(__xludf.DUMMYFUNCTION("""COMPUTED_VALUE"""),"Daws, Alyssa")</f>
        <v>Daws, Alyssa</v>
      </c>
      <c r="I117" s="71" t="str">
        <f>IFERROR(__xludf.DUMMYFUNCTION("""COMPUTED_VALUE"""),"145g")</f>
        <v>145g</v>
      </c>
      <c r="J117" s="69" t="str">
        <f>IFERROR(__xludf.DUMMYFUNCTION("""COMPUTED_VALUE"""),"155g")</f>
        <v>155g</v>
      </c>
      <c r="K117" s="69" t="str">
        <f>IFERROR(__xludf.DUMMYFUNCTION("""COMPUTED_VALUE"""),"160g")</f>
        <v>160g</v>
      </c>
      <c r="L117" s="69">
        <f>IFERROR(__xludf.DUMMYFUNCTION("""COMPUTED_VALUE"""),160.0)</f>
        <v>160</v>
      </c>
      <c r="M117" s="69" t="str">
        <f>IFERROR(__xludf.DUMMYFUNCTION("""COMPUTED_VALUE"""),"100g")</f>
        <v>100g</v>
      </c>
      <c r="N117" s="69" t="str">
        <f>IFERROR(__xludf.DUMMYFUNCTION("""COMPUTED_VALUE"""),"105g")</f>
        <v>105g</v>
      </c>
      <c r="O117" s="69" t="str">
        <f>IFERROR(__xludf.DUMMYFUNCTION("""COMPUTED_VALUE"""),"110g")</f>
        <v>110g</v>
      </c>
      <c r="P117" s="69">
        <f>IFERROR(__xludf.DUMMYFUNCTION("""COMPUTED_VALUE"""),110.0)</f>
        <v>110</v>
      </c>
      <c r="Q117" s="69" t="str">
        <f>IFERROR(__xludf.DUMMYFUNCTION("""COMPUTED_VALUE"""),"235g")</f>
        <v>235g</v>
      </c>
      <c r="R117" s="69" t="str">
        <f>IFERROR(__xludf.DUMMYFUNCTION("""COMPUTED_VALUE"""),"245g")</f>
        <v>245g</v>
      </c>
      <c r="S117" s="69" t="str">
        <f>IFERROR(__xludf.DUMMYFUNCTION("""COMPUTED_VALUE"""),"260g")</f>
        <v>260g</v>
      </c>
      <c r="T117" s="69">
        <f>IFERROR(__xludf.DUMMYFUNCTION("""COMPUTED_VALUE"""),260.0)</f>
        <v>260</v>
      </c>
      <c r="U117" s="69">
        <f>IFERROR(__xludf.DUMMYFUNCTION("""COMPUTED_VALUE"""),530.0)</f>
        <v>530</v>
      </c>
      <c r="V117" s="183">
        <f>IFERROR(__xludf.DUMMYFUNCTION("""COMPUTED_VALUE"""),3.943452380952381)</f>
        <v>3.943452381</v>
      </c>
      <c r="W117" s="156">
        <f>IFERROR(__xludf.DUMMYFUNCTION("""COMPUTED_VALUE"""),9.0)</f>
        <v>9</v>
      </c>
      <c r="X117" s="156"/>
      <c r="Y117" s="156"/>
    </row>
    <row r="118">
      <c r="B118" s="68" t="s">
        <v>544</v>
      </c>
      <c r="C118" s="68">
        <v>0.0</v>
      </c>
      <c r="D118" s="68" t="str">
        <f>IFERROR(__xludf.DUMMYFUNCTION("""COMPUTED_VALUE"""),"145 WJV")</f>
        <v>145 WJV</v>
      </c>
      <c r="E118" s="69" t="str">
        <f>IFERROR(__xludf.DUMMYFUNCTION("""COMPUTED_VALUE"""),"WJV")</f>
        <v>WJV</v>
      </c>
      <c r="F118" s="70" t="str">
        <f>IFERROR(__xludf.DUMMYFUNCTION("""COMPUTED_VALUE"""),"Central Montcalm")</f>
        <v>Central Montcalm</v>
      </c>
      <c r="G118" s="69">
        <f>IFERROR(__xludf.DUMMYFUNCTION("""COMPUTED_VALUE"""),139.4)</f>
        <v>139.4</v>
      </c>
      <c r="H118" s="70" t="str">
        <f>IFERROR(__xludf.DUMMYFUNCTION("""COMPUTED_VALUE"""),"Ehle, Greenleigh")</f>
        <v>Ehle, Greenleigh</v>
      </c>
      <c r="I118" s="71" t="str">
        <f>IFERROR(__xludf.DUMMYFUNCTION("""COMPUTED_VALUE"""),"165g")</f>
        <v>165g</v>
      </c>
      <c r="J118" s="69" t="str">
        <f>IFERROR(__xludf.DUMMYFUNCTION("""COMPUTED_VALUE"""),"175g")</f>
        <v>175g</v>
      </c>
      <c r="K118" s="69" t="str">
        <f>IFERROR(__xludf.DUMMYFUNCTION("""COMPUTED_VALUE"""),"180g")</f>
        <v>180g</v>
      </c>
      <c r="L118" s="69">
        <f>IFERROR(__xludf.DUMMYFUNCTION("""COMPUTED_VALUE"""),180.0)</f>
        <v>180</v>
      </c>
      <c r="M118" s="69" t="str">
        <f>IFERROR(__xludf.DUMMYFUNCTION("""COMPUTED_VALUE"""),"85g")</f>
        <v>85g</v>
      </c>
      <c r="N118" s="69" t="str">
        <f>IFERROR(__xludf.DUMMYFUNCTION("""COMPUTED_VALUE"""),"95g")</f>
        <v>95g</v>
      </c>
      <c r="O118" s="69" t="str">
        <f>IFERROR(__xludf.DUMMYFUNCTION("""COMPUTED_VALUE"""),"105g")</f>
        <v>105g</v>
      </c>
      <c r="P118" s="69">
        <f>IFERROR(__xludf.DUMMYFUNCTION("""COMPUTED_VALUE"""),105.0)</f>
        <v>105</v>
      </c>
      <c r="Q118" s="69" t="str">
        <f>IFERROR(__xludf.DUMMYFUNCTION("""COMPUTED_VALUE"""),"215g")</f>
        <v>215g</v>
      </c>
      <c r="R118" s="69" t="str">
        <f>IFERROR(__xludf.DUMMYFUNCTION("""COMPUTED_VALUE"""),"235g")</f>
        <v>235g</v>
      </c>
      <c r="S118" s="69" t="str">
        <f>IFERROR(__xludf.DUMMYFUNCTION("""COMPUTED_VALUE"""),"240g")</f>
        <v>240g</v>
      </c>
      <c r="T118" s="69">
        <f>IFERROR(__xludf.DUMMYFUNCTION("""COMPUTED_VALUE"""),240.0)</f>
        <v>240</v>
      </c>
      <c r="U118" s="69">
        <f>IFERROR(__xludf.DUMMYFUNCTION("""COMPUTED_VALUE"""),525.0)</f>
        <v>525</v>
      </c>
      <c r="V118" s="183">
        <f>IFERROR(__xludf.DUMMYFUNCTION("""COMPUTED_VALUE"""),3.7661406025824964)</f>
        <v>3.766140603</v>
      </c>
      <c r="W118" s="156">
        <f>IFERROR(__xludf.DUMMYFUNCTION("""COMPUTED_VALUE"""),9.0)</f>
        <v>9</v>
      </c>
      <c r="X118" s="156"/>
      <c r="Y118" s="156"/>
    </row>
    <row r="119">
      <c r="B119" s="68" t="s">
        <v>545</v>
      </c>
      <c r="C119" s="68">
        <v>0.0</v>
      </c>
      <c r="D119" s="68" t="str">
        <f>IFERROR(__xludf.DUMMYFUNCTION("""COMPUTED_VALUE"""),"145 WJV")</f>
        <v>145 WJV</v>
      </c>
      <c r="E119" s="69" t="str">
        <f>IFERROR(__xludf.DUMMYFUNCTION("""COMPUTED_VALUE"""),"WJV")</f>
        <v>WJV</v>
      </c>
      <c r="F119" s="70" t="str">
        <f>IFERROR(__xludf.DUMMYFUNCTION("""COMPUTED_VALUE"""),"Lakers")</f>
        <v>Lakers</v>
      </c>
      <c r="G119" s="69">
        <f>IFERROR(__xludf.DUMMYFUNCTION("""COMPUTED_VALUE"""),135.2)</f>
        <v>135.2</v>
      </c>
      <c r="H119" s="70" t="str">
        <f>IFERROR(__xludf.DUMMYFUNCTION("""COMPUTED_VALUE"""),"McArdle, Erin")</f>
        <v>McArdle, Erin</v>
      </c>
      <c r="I119" s="71" t="str">
        <f>IFERROR(__xludf.DUMMYFUNCTION("""COMPUTED_VALUE"""),"155g")</f>
        <v>155g</v>
      </c>
      <c r="J119" s="69" t="str">
        <f>IFERROR(__xludf.DUMMYFUNCTION("""COMPUTED_VALUE"""),"175g")</f>
        <v>175g</v>
      </c>
      <c r="K119" s="69" t="str">
        <f>IFERROR(__xludf.DUMMYFUNCTION("""COMPUTED_VALUE"""),"195x")</f>
        <v>195x</v>
      </c>
      <c r="L119" s="69">
        <f>IFERROR(__xludf.DUMMYFUNCTION("""COMPUTED_VALUE"""),175.0)</f>
        <v>175</v>
      </c>
      <c r="M119" s="69" t="str">
        <f>IFERROR(__xludf.DUMMYFUNCTION("""COMPUTED_VALUE"""),"85g")</f>
        <v>85g</v>
      </c>
      <c r="N119" s="69" t="str">
        <f>IFERROR(__xludf.DUMMYFUNCTION("""COMPUTED_VALUE"""),"95x")</f>
        <v>95x</v>
      </c>
      <c r="O119" s="69" t="str">
        <f>IFERROR(__xludf.DUMMYFUNCTION("""COMPUTED_VALUE"""),"95x")</f>
        <v>95x</v>
      </c>
      <c r="P119" s="69">
        <f>IFERROR(__xludf.DUMMYFUNCTION("""COMPUTED_VALUE"""),85.0)</f>
        <v>85</v>
      </c>
      <c r="Q119" s="69" t="str">
        <f>IFERROR(__xludf.DUMMYFUNCTION("""COMPUTED_VALUE"""),"225g")</f>
        <v>225g</v>
      </c>
      <c r="R119" s="69" t="str">
        <f>IFERROR(__xludf.DUMMYFUNCTION("""COMPUTED_VALUE"""),"240g")</f>
        <v>240g</v>
      </c>
      <c r="S119" s="69" t="str">
        <f>IFERROR(__xludf.DUMMYFUNCTION("""COMPUTED_VALUE"""),"260g")</f>
        <v>260g</v>
      </c>
      <c r="T119" s="69">
        <f>IFERROR(__xludf.DUMMYFUNCTION("""COMPUTED_VALUE"""),260.0)</f>
        <v>260</v>
      </c>
      <c r="U119" s="69">
        <f>IFERROR(__xludf.DUMMYFUNCTION("""COMPUTED_VALUE"""),520.0)</f>
        <v>520</v>
      </c>
      <c r="V119" s="183">
        <f>IFERROR(__xludf.DUMMYFUNCTION("""COMPUTED_VALUE"""),3.8461538461538463)</f>
        <v>3.846153846</v>
      </c>
      <c r="W119" s="156">
        <f>IFERROR(__xludf.DUMMYFUNCTION("""COMPUTED_VALUE"""),6.0)</f>
        <v>6</v>
      </c>
      <c r="X119" s="156"/>
      <c r="Y119" s="156"/>
    </row>
    <row r="120">
      <c r="B120" s="68" t="s">
        <v>546</v>
      </c>
      <c r="C120" s="68">
        <v>0.0</v>
      </c>
      <c r="D120" s="68" t="str">
        <f>IFERROR(__xludf.DUMMYFUNCTION("""COMPUTED_VALUE"""),"145 WJV")</f>
        <v>145 WJV</v>
      </c>
      <c r="E120" s="69" t="str">
        <f>IFERROR(__xludf.DUMMYFUNCTION("""COMPUTED_VALUE"""),"WJV")</f>
        <v>WJV</v>
      </c>
      <c r="F120" s="70" t="str">
        <f>IFERROR(__xludf.DUMMYFUNCTION("""COMPUTED_VALUE"""),"Flushing")</f>
        <v>Flushing</v>
      </c>
      <c r="G120" s="69">
        <f>IFERROR(__xludf.DUMMYFUNCTION("""COMPUTED_VALUE"""),138.8)</f>
        <v>138.8</v>
      </c>
      <c r="H120" s="70" t="str">
        <f>IFERROR(__xludf.DUMMYFUNCTION("""COMPUTED_VALUE"""),"Sias, Isabella")</f>
        <v>Sias, Isabella</v>
      </c>
      <c r="I120" s="71" t="str">
        <f>IFERROR(__xludf.DUMMYFUNCTION("""COMPUTED_VALUE"""),"185x")</f>
        <v>185x</v>
      </c>
      <c r="J120" s="69" t="str">
        <f>IFERROR(__xludf.DUMMYFUNCTION("""COMPUTED_VALUE"""),"190g")</f>
        <v>190g</v>
      </c>
      <c r="K120" s="69" t="str">
        <f>IFERROR(__xludf.DUMMYFUNCTION("""COMPUTED_VALUE"""),"200g")</f>
        <v>200g</v>
      </c>
      <c r="L120" s="69">
        <f>IFERROR(__xludf.DUMMYFUNCTION("""COMPUTED_VALUE"""),200.0)</f>
        <v>200</v>
      </c>
      <c r="M120" s="69" t="str">
        <f>IFERROR(__xludf.DUMMYFUNCTION("""COMPUTED_VALUE"""),"85g")</f>
        <v>85g</v>
      </c>
      <c r="N120" s="69" t="str">
        <f>IFERROR(__xludf.DUMMYFUNCTION("""COMPUTED_VALUE"""),"90g")</f>
        <v>90g</v>
      </c>
      <c r="O120" s="69" t="str">
        <f>IFERROR(__xludf.DUMMYFUNCTION("""COMPUTED_VALUE"""),"95x")</f>
        <v>95x</v>
      </c>
      <c r="P120" s="69">
        <f>IFERROR(__xludf.DUMMYFUNCTION("""COMPUTED_VALUE"""),90.0)</f>
        <v>90</v>
      </c>
      <c r="Q120" s="69" t="str">
        <f>IFERROR(__xludf.DUMMYFUNCTION("""COMPUTED_VALUE"""),"190g")</f>
        <v>190g</v>
      </c>
      <c r="R120" s="69" t="str">
        <f>IFERROR(__xludf.DUMMYFUNCTION("""COMPUTED_VALUE"""),"200g")</f>
        <v>200g</v>
      </c>
      <c r="S120" s="69" t="str">
        <f>IFERROR(__xludf.DUMMYFUNCTION("""COMPUTED_VALUE"""),"210g")</f>
        <v>210g</v>
      </c>
      <c r="T120" s="69">
        <f>IFERROR(__xludf.DUMMYFUNCTION("""COMPUTED_VALUE"""),210.0)</f>
        <v>210</v>
      </c>
      <c r="U120" s="69">
        <f>IFERROR(__xludf.DUMMYFUNCTION("""COMPUTED_VALUE"""),500.0)</f>
        <v>500</v>
      </c>
      <c r="V120" s="183">
        <f>IFERROR(__xludf.DUMMYFUNCTION("""COMPUTED_VALUE"""),3.6023054755043225)</f>
        <v>3.602305476</v>
      </c>
      <c r="W120" s="156">
        <f>IFERROR(__xludf.DUMMYFUNCTION("""COMPUTED_VALUE"""),7.0)</f>
        <v>7</v>
      </c>
      <c r="X120" s="156"/>
      <c r="Y120" s="156"/>
    </row>
    <row r="121">
      <c r="B121" s="68" t="s">
        <v>547</v>
      </c>
      <c r="C121" s="68">
        <v>0.0</v>
      </c>
      <c r="D121" s="68" t="str">
        <f>IFERROR(__xludf.DUMMYFUNCTION("""COMPUTED_VALUE"""),"145 WJV")</f>
        <v>145 WJV</v>
      </c>
      <c r="E121" s="69" t="str">
        <f>IFERROR(__xludf.DUMMYFUNCTION("""COMPUTED_VALUE"""),"WJV")</f>
        <v>WJV</v>
      </c>
      <c r="F121" s="70" t="str">
        <f>IFERROR(__xludf.DUMMYFUNCTION("""COMPUTED_VALUE"""),"Lowell")</f>
        <v>Lowell</v>
      </c>
      <c r="G121" s="69">
        <f>IFERROR(__xludf.DUMMYFUNCTION("""COMPUTED_VALUE"""),139.4)</f>
        <v>139.4</v>
      </c>
      <c r="H121" s="70" t="str">
        <f>IFERROR(__xludf.DUMMYFUNCTION("""COMPUTED_VALUE"""),"Spanbauer, Sydney")</f>
        <v>Spanbauer, Sydney</v>
      </c>
      <c r="I121" s="71" t="str">
        <f>IFERROR(__xludf.DUMMYFUNCTION("""COMPUTED_VALUE"""),"135g")</f>
        <v>135g</v>
      </c>
      <c r="J121" s="69" t="str">
        <f>IFERROR(__xludf.DUMMYFUNCTION("""COMPUTED_VALUE"""),"155g")</f>
        <v>155g</v>
      </c>
      <c r="K121" s="69" t="str">
        <f>IFERROR(__xludf.DUMMYFUNCTION("""COMPUTED_VALUE"""),"165g")</f>
        <v>165g</v>
      </c>
      <c r="L121" s="69">
        <f>IFERROR(__xludf.DUMMYFUNCTION("""COMPUTED_VALUE"""),165.0)</f>
        <v>165</v>
      </c>
      <c r="M121" s="69" t="str">
        <f>IFERROR(__xludf.DUMMYFUNCTION("""COMPUTED_VALUE"""),"95g")</f>
        <v>95g</v>
      </c>
      <c r="N121" s="69" t="str">
        <f>IFERROR(__xludf.DUMMYFUNCTION("""COMPUTED_VALUE"""),"105g")</f>
        <v>105g</v>
      </c>
      <c r="O121" s="69" t="str">
        <f>IFERROR(__xludf.DUMMYFUNCTION("""COMPUTED_VALUE"""),"115g")</f>
        <v>115g</v>
      </c>
      <c r="P121" s="69">
        <f>IFERROR(__xludf.DUMMYFUNCTION("""COMPUTED_VALUE"""),115.0)</f>
        <v>115</v>
      </c>
      <c r="Q121" s="69" t="str">
        <f>IFERROR(__xludf.DUMMYFUNCTION("""COMPUTED_VALUE"""),"185g")</f>
        <v>185g</v>
      </c>
      <c r="R121" s="69" t="str">
        <f>IFERROR(__xludf.DUMMYFUNCTION("""COMPUTED_VALUE"""),"205g")</f>
        <v>205g</v>
      </c>
      <c r="S121" s="69" t="str">
        <f>IFERROR(__xludf.DUMMYFUNCTION("""COMPUTED_VALUE"""),"215g")</f>
        <v>215g</v>
      </c>
      <c r="T121" s="69">
        <f>IFERROR(__xludf.DUMMYFUNCTION("""COMPUTED_VALUE"""),215.0)</f>
        <v>215</v>
      </c>
      <c r="U121" s="69">
        <f>IFERROR(__xludf.DUMMYFUNCTION("""COMPUTED_VALUE"""),495.0)</f>
        <v>495</v>
      </c>
      <c r="V121" s="183">
        <f>IFERROR(__xludf.DUMMYFUNCTION("""COMPUTED_VALUE"""),3.5509325681492108)</f>
        <v>3.550932568</v>
      </c>
      <c r="W121" s="156">
        <f>IFERROR(__xludf.DUMMYFUNCTION("""COMPUTED_VALUE"""),9.0)</f>
        <v>9</v>
      </c>
      <c r="X121" s="156"/>
      <c r="Y121" s="156"/>
    </row>
    <row r="122">
      <c r="B122" s="68" t="s">
        <v>548</v>
      </c>
      <c r="C122" s="68">
        <v>0.0</v>
      </c>
      <c r="D122" s="68" t="str">
        <f>IFERROR(__xludf.DUMMYFUNCTION("""COMPUTED_VALUE"""),"145 WJV")</f>
        <v>145 WJV</v>
      </c>
      <c r="E122" s="69" t="str">
        <f>IFERROR(__xludf.DUMMYFUNCTION("""COMPUTED_VALUE"""),"WJV")</f>
        <v>WJV</v>
      </c>
      <c r="F122" s="70" t="str">
        <f>IFERROR(__xludf.DUMMYFUNCTION("""COMPUTED_VALUE"""),"Kingsley")</f>
        <v>Kingsley</v>
      </c>
      <c r="G122" s="69">
        <f>IFERROR(__xludf.DUMMYFUNCTION("""COMPUTED_VALUE"""),141.6)</f>
        <v>141.6</v>
      </c>
      <c r="H122" s="70" t="str">
        <f>IFERROR(__xludf.DUMMYFUNCTION("""COMPUTED_VALUE"""),"Stiner, Jessie")</f>
        <v>Stiner, Jessie</v>
      </c>
      <c r="I122" s="71" t="str">
        <f>IFERROR(__xludf.DUMMYFUNCTION("""COMPUTED_VALUE"""),"165g")</f>
        <v>165g</v>
      </c>
      <c r="J122" s="69" t="str">
        <f>IFERROR(__xludf.DUMMYFUNCTION("""COMPUTED_VALUE"""),"185g")</f>
        <v>185g</v>
      </c>
      <c r="K122" s="69" t="str">
        <f>IFERROR(__xludf.DUMMYFUNCTION("""COMPUTED_VALUE"""),"205x")</f>
        <v>205x</v>
      </c>
      <c r="L122" s="69">
        <f>IFERROR(__xludf.DUMMYFUNCTION("""COMPUTED_VALUE"""),185.0)</f>
        <v>185</v>
      </c>
      <c r="M122" s="69" t="str">
        <f>IFERROR(__xludf.DUMMYFUNCTION("""COMPUTED_VALUE"""),"95g")</f>
        <v>95g</v>
      </c>
      <c r="N122" s="69" t="str">
        <f>IFERROR(__xludf.DUMMYFUNCTION("""COMPUTED_VALUE"""),"100g")</f>
        <v>100g</v>
      </c>
      <c r="O122" s="69" t="str">
        <f>IFERROR(__xludf.DUMMYFUNCTION("""COMPUTED_VALUE"""),"105g")</f>
        <v>105g</v>
      </c>
      <c r="P122" s="69">
        <f>IFERROR(__xludf.DUMMYFUNCTION("""COMPUTED_VALUE"""),105.0)</f>
        <v>105</v>
      </c>
      <c r="Q122" s="69" t="str">
        <f>IFERROR(__xludf.DUMMYFUNCTION("""COMPUTED_VALUE"""),"185g")</f>
        <v>185g</v>
      </c>
      <c r="R122" s="69" t="str">
        <f>IFERROR(__xludf.DUMMYFUNCTION("""COMPUTED_VALUE"""),"195g")</f>
        <v>195g</v>
      </c>
      <c r="S122" s="69" t="str">
        <f>IFERROR(__xludf.DUMMYFUNCTION("""COMPUTED_VALUE"""),"205g")</f>
        <v>205g</v>
      </c>
      <c r="T122" s="69">
        <f>IFERROR(__xludf.DUMMYFUNCTION("""COMPUTED_VALUE"""),205.0)</f>
        <v>205</v>
      </c>
      <c r="U122" s="69">
        <f>IFERROR(__xludf.DUMMYFUNCTION("""COMPUTED_VALUE"""),495.0)</f>
        <v>495</v>
      </c>
      <c r="V122" s="183">
        <f>IFERROR(__xludf.DUMMYFUNCTION("""COMPUTED_VALUE"""),3.495762711864407)</f>
        <v>3.495762712</v>
      </c>
      <c r="W122" s="156">
        <f>IFERROR(__xludf.DUMMYFUNCTION("""COMPUTED_VALUE"""),8.0)</f>
        <v>8</v>
      </c>
      <c r="X122" s="156"/>
      <c r="Y122" s="156"/>
    </row>
    <row r="123">
      <c r="B123" s="68" t="s">
        <v>549</v>
      </c>
      <c r="C123" s="68">
        <v>0.0</v>
      </c>
      <c r="D123" s="68" t="str">
        <f>IFERROR(__xludf.DUMMYFUNCTION("""COMPUTED_VALUE"""),"145 WJV")</f>
        <v>145 WJV</v>
      </c>
      <c r="E123" s="69" t="str">
        <f>IFERROR(__xludf.DUMMYFUNCTION("""COMPUTED_VALUE"""),"WJV")</f>
        <v>WJV</v>
      </c>
      <c r="F123" s="70" t="str">
        <f>IFERROR(__xludf.DUMMYFUNCTION("""COMPUTED_VALUE"""),"Hartford")</f>
        <v>Hartford</v>
      </c>
      <c r="G123" s="69">
        <f>IFERROR(__xludf.DUMMYFUNCTION("""COMPUTED_VALUE"""),140.5)</f>
        <v>140.5</v>
      </c>
      <c r="H123" s="70" t="str">
        <f>IFERROR(__xludf.DUMMYFUNCTION("""COMPUTED_VALUE"""),"Goodson, Lainey")</f>
        <v>Goodson, Lainey</v>
      </c>
      <c r="I123" s="71" t="str">
        <f>IFERROR(__xludf.DUMMYFUNCTION("""COMPUTED_VALUE"""),"165g")</f>
        <v>165g</v>
      </c>
      <c r="J123" s="69" t="str">
        <f>IFERROR(__xludf.DUMMYFUNCTION("""COMPUTED_VALUE"""),"180g")</f>
        <v>180g</v>
      </c>
      <c r="K123" s="69" t="str">
        <f>IFERROR(__xludf.DUMMYFUNCTION("""COMPUTED_VALUE"""),"200x")</f>
        <v>200x</v>
      </c>
      <c r="L123" s="69">
        <f>IFERROR(__xludf.DUMMYFUNCTION("""COMPUTED_VALUE"""),180.0)</f>
        <v>180</v>
      </c>
      <c r="M123" s="69" t="str">
        <f>IFERROR(__xludf.DUMMYFUNCTION("""COMPUTED_VALUE"""),"75g")</f>
        <v>75g</v>
      </c>
      <c r="N123" s="69" t="str">
        <f>IFERROR(__xludf.DUMMYFUNCTION("""COMPUTED_VALUE"""),"85x")</f>
        <v>85x</v>
      </c>
      <c r="O123" s="69" t="str">
        <f>IFERROR(__xludf.DUMMYFUNCTION("""COMPUTED_VALUE"""),"85g")</f>
        <v>85g</v>
      </c>
      <c r="P123" s="69">
        <f>IFERROR(__xludf.DUMMYFUNCTION("""COMPUTED_VALUE"""),85.0)</f>
        <v>85</v>
      </c>
      <c r="Q123" s="69" t="str">
        <f>IFERROR(__xludf.DUMMYFUNCTION("""COMPUTED_VALUE"""),"205g")</f>
        <v>205g</v>
      </c>
      <c r="R123" s="69" t="str">
        <f>IFERROR(__xludf.DUMMYFUNCTION("""COMPUTED_VALUE"""),"215g")</f>
        <v>215g</v>
      </c>
      <c r="S123" s="69" t="str">
        <f>IFERROR(__xludf.DUMMYFUNCTION("""COMPUTED_VALUE"""),"225g")</f>
        <v>225g</v>
      </c>
      <c r="T123" s="69">
        <f>IFERROR(__xludf.DUMMYFUNCTION("""COMPUTED_VALUE"""),225.0)</f>
        <v>225</v>
      </c>
      <c r="U123" s="69">
        <f>IFERROR(__xludf.DUMMYFUNCTION("""COMPUTED_VALUE"""),490.0)</f>
        <v>490</v>
      </c>
      <c r="V123" s="183">
        <f>IFERROR(__xludf.DUMMYFUNCTION("""COMPUTED_VALUE"""),3.487544483985765)</f>
        <v>3.487544484</v>
      </c>
      <c r="W123" s="156">
        <f>IFERROR(__xludf.DUMMYFUNCTION("""COMPUTED_VALUE"""),7.0)</f>
        <v>7</v>
      </c>
      <c r="X123" s="156"/>
      <c r="Y123" s="156"/>
    </row>
    <row r="124">
      <c r="B124" s="68" t="s">
        <v>550</v>
      </c>
      <c r="C124" s="68">
        <v>0.0</v>
      </c>
      <c r="D124" s="68" t="str">
        <f>IFERROR(__xludf.DUMMYFUNCTION("""COMPUTED_VALUE"""),"145 WJV")</f>
        <v>145 WJV</v>
      </c>
      <c r="E124" s="69" t="str">
        <f>IFERROR(__xludf.DUMMYFUNCTION("""COMPUTED_VALUE"""),"WJV")</f>
        <v>WJV</v>
      </c>
      <c r="F124" s="70" t="str">
        <f>IFERROR(__xludf.DUMMYFUNCTION("""COMPUTED_VALUE"""),"Goodrich")</f>
        <v>Goodrich</v>
      </c>
      <c r="G124" s="69">
        <f>IFERROR(__xludf.DUMMYFUNCTION("""COMPUTED_VALUE"""),138.8)</f>
        <v>138.8</v>
      </c>
      <c r="H124" s="70" t="str">
        <f>IFERROR(__xludf.DUMMYFUNCTION("""COMPUTED_VALUE"""),"Sardo, Layla")</f>
        <v>Sardo, Layla</v>
      </c>
      <c r="I124" s="71" t="str">
        <f>IFERROR(__xludf.DUMMYFUNCTION("""COMPUTED_VALUE"""),"155g")</f>
        <v>155g</v>
      </c>
      <c r="J124" s="69" t="str">
        <f>IFERROR(__xludf.DUMMYFUNCTION("""COMPUTED_VALUE"""),"175g")</f>
        <v>175g</v>
      </c>
      <c r="K124" s="69" t="str">
        <f>IFERROR(__xludf.DUMMYFUNCTION("""COMPUTED_VALUE"""),"195x")</f>
        <v>195x</v>
      </c>
      <c r="L124" s="69">
        <f>IFERROR(__xludf.DUMMYFUNCTION("""COMPUTED_VALUE"""),175.0)</f>
        <v>175</v>
      </c>
      <c r="M124" s="69" t="str">
        <f>IFERROR(__xludf.DUMMYFUNCTION("""COMPUTED_VALUE"""),"95g")</f>
        <v>95g</v>
      </c>
      <c r="N124" s="69" t="str">
        <f>IFERROR(__xludf.DUMMYFUNCTION("""COMPUTED_VALUE"""),"105g")</f>
        <v>105g</v>
      </c>
      <c r="O124" s="69" t="str">
        <f>IFERROR(__xludf.DUMMYFUNCTION("""COMPUTED_VALUE"""),"110x")</f>
        <v>110x</v>
      </c>
      <c r="P124" s="69">
        <f>IFERROR(__xludf.DUMMYFUNCTION("""COMPUTED_VALUE"""),105.0)</f>
        <v>105</v>
      </c>
      <c r="Q124" s="69" t="str">
        <f>IFERROR(__xludf.DUMMYFUNCTION("""COMPUTED_VALUE"""),"195g")</f>
        <v>195g</v>
      </c>
      <c r="R124" s="69" t="str">
        <f>IFERROR(__xludf.DUMMYFUNCTION("""COMPUTED_VALUE"""),"205x")</f>
        <v>205x</v>
      </c>
      <c r="S124" s="69" t="str">
        <f>IFERROR(__xludf.DUMMYFUNCTION("""COMPUTED_VALUE"""),"205x")</f>
        <v>205x</v>
      </c>
      <c r="T124" s="69">
        <f>IFERROR(__xludf.DUMMYFUNCTION("""COMPUTED_VALUE"""),195.0)</f>
        <v>195</v>
      </c>
      <c r="U124" s="69">
        <f>IFERROR(__xludf.DUMMYFUNCTION("""COMPUTED_VALUE"""),475.0)</f>
        <v>475</v>
      </c>
      <c r="V124" s="183">
        <f>IFERROR(__xludf.DUMMYFUNCTION("""COMPUTED_VALUE"""),3.4221902017291064)</f>
        <v>3.422190202</v>
      </c>
      <c r="W124" s="156">
        <f>IFERROR(__xludf.DUMMYFUNCTION("""COMPUTED_VALUE"""),5.0)</f>
        <v>5</v>
      </c>
      <c r="X124" s="156"/>
      <c r="Y124" s="156"/>
    </row>
    <row r="125">
      <c r="B125" s="68" t="s">
        <v>551</v>
      </c>
      <c r="C125" s="68">
        <v>0.0</v>
      </c>
      <c r="D125" s="68" t="str">
        <f>IFERROR(__xludf.DUMMYFUNCTION("""COMPUTED_VALUE"""),"145 WJV")</f>
        <v>145 WJV</v>
      </c>
      <c r="E125" s="69" t="str">
        <f>IFERROR(__xludf.DUMMYFUNCTION("""COMPUTED_VALUE"""),"WJV")</f>
        <v>WJV</v>
      </c>
      <c r="F125" s="70" t="str">
        <f>IFERROR(__xludf.DUMMYFUNCTION("""COMPUTED_VALUE"""),"Port Huron")</f>
        <v>Port Huron</v>
      </c>
      <c r="G125" s="69">
        <f>IFERROR(__xludf.DUMMYFUNCTION("""COMPUTED_VALUE"""),141.4)</f>
        <v>141.4</v>
      </c>
      <c r="H125" s="70" t="str">
        <f>IFERROR(__xludf.DUMMYFUNCTION("""COMPUTED_VALUE"""),"Atherton, Celestial")</f>
        <v>Atherton, Celestial</v>
      </c>
      <c r="I125" s="71" t="str">
        <f>IFERROR(__xludf.DUMMYFUNCTION("""COMPUTED_VALUE"""),"125g")</f>
        <v>125g</v>
      </c>
      <c r="J125" s="69" t="str">
        <f>IFERROR(__xludf.DUMMYFUNCTION("""COMPUTED_VALUE"""),"135g")</f>
        <v>135g</v>
      </c>
      <c r="K125" s="69" t="str">
        <f>IFERROR(__xludf.DUMMYFUNCTION("""COMPUTED_VALUE"""),"145g")</f>
        <v>145g</v>
      </c>
      <c r="L125" s="69">
        <f>IFERROR(__xludf.DUMMYFUNCTION("""COMPUTED_VALUE"""),145.0)</f>
        <v>145</v>
      </c>
      <c r="M125" s="69" t="str">
        <f>IFERROR(__xludf.DUMMYFUNCTION("""COMPUTED_VALUE"""),"85g")</f>
        <v>85g</v>
      </c>
      <c r="N125" s="69" t="str">
        <f>IFERROR(__xludf.DUMMYFUNCTION("""COMPUTED_VALUE"""),"95g")</f>
        <v>95g</v>
      </c>
      <c r="O125" s="69" t="str">
        <f>IFERROR(__xludf.DUMMYFUNCTION("""COMPUTED_VALUE"""),"105x")</f>
        <v>105x</v>
      </c>
      <c r="P125" s="69">
        <f>IFERROR(__xludf.DUMMYFUNCTION("""COMPUTED_VALUE"""),95.0)</f>
        <v>95</v>
      </c>
      <c r="Q125" s="69" t="str">
        <f>IFERROR(__xludf.DUMMYFUNCTION("""COMPUTED_VALUE"""),"215g")</f>
        <v>215g</v>
      </c>
      <c r="R125" s="69" t="str">
        <f>IFERROR(__xludf.DUMMYFUNCTION("""COMPUTED_VALUE"""),"225g")</f>
        <v>225g</v>
      </c>
      <c r="S125" s="69" t="str">
        <f>IFERROR(__xludf.DUMMYFUNCTION("""COMPUTED_VALUE"""),"235x")</f>
        <v>235x</v>
      </c>
      <c r="T125" s="69">
        <f>IFERROR(__xludf.DUMMYFUNCTION("""COMPUTED_VALUE"""),225.0)</f>
        <v>225</v>
      </c>
      <c r="U125" s="69">
        <f>IFERROR(__xludf.DUMMYFUNCTION("""COMPUTED_VALUE"""),465.0)</f>
        <v>465</v>
      </c>
      <c r="V125" s="183">
        <f>IFERROR(__xludf.DUMMYFUNCTION("""COMPUTED_VALUE"""),3.2885431400282883)</f>
        <v>3.28854314</v>
      </c>
      <c r="W125" s="156">
        <f>IFERROR(__xludf.DUMMYFUNCTION("""COMPUTED_VALUE"""),7.0)</f>
        <v>7</v>
      </c>
      <c r="X125" s="156"/>
      <c r="Y125" s="156"/>
    </row>
    <row r="126">
      <c r="A126" s="58">
        <v>155.0</v>
      </c>
      <c r="B126" s="157" t="s">
        <v>120</v>
      </c>
      <c r="C126" s="157">
        <v>12.0</v>
      </c>
      <c r="D126" s="157" t="str">
        <f>IFERROR(__xludf.DUMMYFUNCTION("ARRAY_CONSTRAIN(filter('All Platforms'!A3:T1802,'All Platforms'!A3:A1802=""155 WJV""),20,20)"),"155 WJV")</f>
        <v>155 WJV</v>
      </c>
      <c r="E126" s="57" t="str">
        <f>IFERROR(__xludf.DUMMYFUNCTION("""COMPUTED_VALUE"""),"WJV")</f>
        <v>WJV</v>
      </c>
      <c r="F126" s="158" t="str">
        <f>IFERROR(__xludf.DUMMYFUNCTION("""COMPUTED_VALUE"""),"Royal Oak")</f>
        <v>Royal Oak</v>
      </c>
      <c r="G126" s="64">
        <f>IFERROR(__xludf.DUMMYFUNCTION("""COMPUTED_VALUE"""),148.2)</f>
        <v>148.2</v>
      </c>
      <c r="H126" s="158" t="str">
        <f>IFERROR(__xludf.DUMMYFUNCTION("""COMPUTED_VALUE"""),"Fields, Caprice")</f>
        <v>Fields, Caprice</v>
      </c>
      <c r="I126" s="159" t="str">
        <f>IFERROR(__xludf.DUMMYFUNCTION("""COMPUTED_VALUE"""),"220g")</f>
        <v>220g</v>
      </c>
      <c r="J126" s="64" t="str">
        <f>IFERROR(__xludf.DUMMYFUNCTION("""COMPUTED_VALUE"""),"245g")</f>
        <v>245g</v>
      </c>
      <c r="K126" s="64" t="str">
        <f>IFERROR(__xludf.DUMMYFUNCTION("""COMPUTED_VALUE"""),"250x")</f>
        <v>250x</v>
      </c>
      <c r="L126" s="64">
        <f>IFERROR(__xludf.DUMMYFUNCTION("""COMPUTED_VALUE"""),245.0)</f>
        <v>245</v>
      </c>
      <c r="M126" s="64" t="str">
        <f>IFERROR(__xludf.DUMMYFUNCTION("""COMPUTED_VALUE"""),"105g")</f>
        <v>105g</v>
      </c>
      <c r="N126" s="64" t="str">
        <f>IFERROR(__xludf.DUMMYFUNCTION("""COMPUTED_VALUE"""),"120g")</f>
        <v>120g</v>
      </c>
      <c r="O126" s="64" t="str">
        <f>IFERROR(__xludf.DUMMYFUNCTION("""COMPUTED_VALUE"""),"125g")</f>
        <v>125g</v>
      </c>
      <c r="P126" s="64">
        <f>IFERROR(__xludf.DUMMYFUNCTION("""COMPUTED_VALUE"""),125.0)</f>
        <v>125</v>
      </c>
      <c r="Q126" s="64" t="str">
        <f>IFERROR(__xludf.DUMMYFUNCTION("""COMPUTED_VALUE"""),"275x")</f>
        <v>275x</v>
      </c>
      <c r="R126" s="64" t="str">
        <f>IFERROR(__xludf.DUMMYFUNCTION("""COMPUTED_VALUE"""),"300g")</f>
        <v>300g</v>
      </c>
      <c r="S126" s="64" t="str">
        <f>IFERROR(__xludf.DUMMYFUNCTION("""COMPUTED_VALUE"""),"315g")</f>
        <v>315g</v>
      </c>
      <c r="T126" s="64">
        <f>IFERROR(__xludf.DUMMYFUNCTION("""COMPUTED_VALUE"""),315.0)</f>
        <v>315</v>
      </c>
      <c r="U126" s="64">
        <f>IFERROR(__xludf.DUMMYFUNCTION("""COMPUTED_VALUE"""),685.0)</f>
        <v>685</v>
      </c>
      <c r="V126" s="182">
        <f>IFERROR(__xludf.DUMMYFUNCTION("""COMPUTED_VALUE"""),4.622132253711201)</f>
        <v>4.622132254</v>
      </c>
      <c r="W126" s="57">
        <f>IFERROR(__xludf.DUMMYFUNCTION("""COMPUTED_VALUE"""),7.0)</f>
        <v>7</v>
      </c>
      <c r="X126" s="57"/>
      <c r="Y126" s="57"/>
    </row>
    <row r="127">
      <c r="B127" s="157" t="s">
        <v>121</v>
      </c>
      <c r="C127" s="157">
        <v>9.0</v>
      </c>
      <c r="D127" s="157" t="str">
        <f>IFERROR(__xludf.DUMMYFUNCTION("""COMPUTED_VALUE"""),"155 WJV")</f>
        <v>155 WJV</v>
      </c>
      <c r="E127" s="64" t="str">
        <f>IFERROR(__xludf.DUMMYFUNCTION("""COMPUTED_VALUE"""),"WJV")</f>
        <v>WJV</v>
      </c>
      <c r="F127" s="158" t="str">
        <f>IFERROR(__xludf.DUMMYFUNCTION("""COMPUTED_VALUE"""),"Edwardsburg")</f>
        <v>Edwardsburg</v>
      </c>
      <c r="G127" s="64">
        <f>IFERROR(__xludf.DUMMYFUNCTION("""COMPUTED_VALUE"""),151.4)</f>
        <v>151.4</v>
      </c>
      <c r="H127" s="158" t="str">
        <f>IFERROR(__xludf.DUMMYFUNCTION("""COMPUTED_VALUE"""),"Gearhart, Alyssa")</f>
        <v>Gearhart, Alyssa</v>
      </c>
      <c r="I127" s="159" t="str">
        <f>IFERROR(__xludf.DUMMYFUNCTION("""COMPUTED_VALUE"""),"185g")</f>
        <v>185g</v>
      </c>
      <c r="J127" s="64" t="str">
        <f>IFERROR(__xludf.DUMMYFUNCTION("""COMPUTED_VALUE"""),"205x")</f>
        <v>205x</v>
      </c>
      <c r="K127" s="64" t="str">
        <f>IFERROR(__xludf.DUMMYFUNCTION("""COMPUTED_VALUE"""),"205x")</f>
        <v>205x</v>
      </c>
      <c r="L127" s="64">
        <f>IFERROR(__xludf.DUMMYFUNCTION("""COMPUTED_VALUE"""),185.0)</f>
        <v>185</v>
      </c>
      <c r="M127" s="64" t="str">
        <f>IFERROR(__xludf.DUMMYFUNCTION("""COMPUTED_VALUE"""),"115g")</f>
        <v>115g</v>
      </c>
      <c r="N127" s="64" t="str">
        <f>IFERROR(__xludf.DUMMYFUNCTION("""COMPUTED_VALUE"""),"125g")</f>
        <v>125g</v>
      </c>
      <c r="O127" s="64" t="str">
        <f>IFERROR(__xludf.DUMMYFUNCTION("""COMPUTED_VALUE"""),"135g")</f>
        <v>135g</v>
      </c>
      <c r="P127" s="64">
        <f>IFERROR(__xludf.DUMMYFUNCTION("""COMPUTED_VALUE"""),135.0)</f>
        <v>135</v>
      </c>
      <c r="Q127" s="64" t="str">
        <f>IFERROR(__xludf.DUMMYFUNCTION("""COMPUTED_VALUE"""),"225g")</f>
        <v>225g</v>
      </c>
      <c r="R127" s="64" t="str">
        <f>IFERROR(__xludf.DUMMYFUNCTION("""COMPUTED_VALUE"""),"255g")</f>
        <v>255g</v>
      </c>
      <c r="S127" s="64" t="str">
        <f>IFERROR(__xludf.DUMMYFUNCTION("""COMPUTED_VALUE"""),"285g")</f>
        <v>285g</v>
      </c>
      <c r="T127" s="64">
        <f>IFERROR(__xludf.DUMMYFUNCTION("""COMPUTED_VALUE"""),285.0)</f>
        <v>285</v>
      </c>
      <c r="U127" s="64">
        <f>IFERROR(__xludf.DUMMYFUNCTION("""COMPUTED_VALUE"""),605.0)</f>
        <v>605</v>
      </c>
      <c r="V127" s="182">
        <f>IFERROR(__xludf.DUMMYFUNCTION("""COMPUTED_VALUE"""),3.9960369881109643)</f>
        <v>3.996036988</v>
      </c>
      <c r="W127" s="57">
        <f>IFERROR(__xludf.DUMMYFUNCTION("""COMPUTED_VALUE"""),7.0)</f>
        <v>7</v>
      </c>
      <c r="X127" s="57"/>
      <c r="Y127" s="57"/>
    </row>
    <row r="128">
      <c r="B128" s="157" t="s">
        <v>122</v>
      </c>
      <c r="C128" s="157">
        <f>if(countif(F126:F127,F128)&gt;1,0,8)</f>
        <v>8</v>
      </c>
      <c r="D128" s="157" t="str">
        <f>IFERROR(__xludf.DUMMYFUNCTION("""COMPUTED_VALUE"""),"155 WJV")</f>
        <v>155 WJV</v>
      </c>
      <c r="E128" s="64" t="str">
        <f>IFERROR(__xludf.DUMMYFUNCTION("""COMPUTED_VALUE"""),"WJV")</f>
        <v>WJV</v>
      </c>
      <c r="F128" s="158" t="str">
        <f>IFERROR(__xludf.DUMMYFUNCTION("""COMPUTED_VALUE"""),"Standish-Sterling")</f>
        <v>Standish-Sterling</v>
      </c>
      <c r="G128" s="64">
        <f>IFERROR(__xludf.DUMMYFUNCTION("""COMPUTED_VALUE"""),153.6)</f>
        <v>153.6</v>
      </c>
      <c r="H128" s="158" t="str">
        <f>IFERROR(__xludf.DUMMYFUNCTION("""COMPUTED_VALUE"""),"Hilborn, Paige")</f>
        <v>Hilborn, Paige</v>
      </c>
      <c r="I128" s="159" t="str">
        <f>IFERROR(__xludf.DUMMYFUNCTION("""COMPUTED_VALUE"""),"185g")</f>
        <v>185g</v>
      </c>
      <c r="J128" s="64" t="str">
        <f>IFERROR(__xludf.DUMMYFUNCTION("""COMPUTED_VALUE"""),"195g")</f>
        <v>195g</v>
      </c>
      <c r="K128" s="64" t="str">
        <f>IFERROR(__xludf.DUMMYFUNCTION("""COMPUTED_VALUE"""),"210g")</f>
        <v>210g</v>
      </c>
      <c r="L128" s="64">
        <f>IFERROR(__xludf.DUMMYFUNCTION("""COMPUTED_VALUE"""),210.0)</f>
        <v>210</v>
      </c>
      <c r="M128" s="64" t="str">
        <f>IFERROR(__xludf.DUMMYFUNCTION("""COMPUTED_VALUE"""),"85g")</f>
        <v>85g</v>
      </c>
      <c r="N128" s="64" t="str">
        <f>IFERROR(__xludf.DUMMYFUNCTION("""COMPUTED_VALUE"""),"100g")</f>
        <v>100g</v>
      </c>
      <c r="O128" s="64" t="str">
        <f>IFERROR(__xludf.DUMMYFUNCTION("""COMPUTED_VALUE"""),"110g")</f>
        <v>110g</v>
      </c>
      <c r="P128" s="64">
        <f>IFERROR(__xludf.DUMMYFUNCTION("""COMPUTED_VALUE"""),110.0)</f>
        <v>110</v>
      </c>
      <c r="Q128" s="64" t="str">
        <f>IFERROR(__xludf.DUMMYFUNCTION("""COMPUTED_VALUE"""),"255g")</f>
        <v>255g</v>
      </c>
      <c r="R128" s="64" t="str">
        <f>IFERROR(__xludf.DUMMYFUNCTION("""COMPUTED_VALUE"""),"265g")</f>
        <v>265g</v>
      </c>
      <c r="S128" s="64" t="str">
        <f>IFERROR(__xludf.DUMMYFUNCTION("""COMPUTED_VALUE"""),"285g")</f>
        <v>285g</v>
      </c>
      <c r="T128" s="64">
        <f>IFERROR(__xludf.DUMMYFUNCTION("""COMPUTED_VALUE"""),285.0)</f>
        <v>285</v>
      </c>
      <c r="U128" s="64">
        <f>IFERROR(__xludf.DUMMYFUNCTION("""COMPUTED_VALUE"""),605.0)</f>
        <v>605</v>
      </c>
      <c r="V128" s="182">
        <f>IFERROR(__xludf.DUMMYFUNCTION("""COMPUTED_VALUE"""),3.9388020833333335)</f>
        <v>3.938802083</v>
      </c>
      <c r="W128" s="57">
        <f>IFERROR(__xludf.DUMMYFUNCTION("""COMPUTED_VALUE"""),9.0)</f>
        <v>9</v>
      </c>
      <c r="X128" s="57"/>
      <c r="Y128" s="57"/>
    </row>
    <row r="129">
      <c r="B129" s="157" t="s">
        <v>123</v>
      </c>
      <c r="C129" s="157">
        <f>if(countif(F126:F128,F129)&gt;1,0,7)</f>
        <v>7</v>
      </c>
      <c r="D129" s="157" t="str">
        <f>IFERROR(__xludf.DUMMYFUNCTION("""COMPUTED_VALUE"""),"155 WJV")</f>
        <v>155 WJV</v>
      </c>
      <c r="E129" s="64" t="str">
        <f>IFERROR(__xludf.DUMMYFUNCTION("""COMPUTED_VALUE"""),"WJV")</f>
        <v>WJV</v>
      </c>
      <c r="F129" s="158" t="str">
        <f>IFERROR(__xludf.DUMMYFUNCTION("""COMPUTED_VALUE"""),"Standish-Sterling")</f>
        <v>Standish-Sterling</v>
      </c>
      <c r="G129" s="64">
        <f>IFERROR(__xludf.DUMMYFUNCTION("""COMPUTED_VALUE"""),154.4)</f>
        <v>154.4</v>
      </c>
      <c r="H129" s="158" t="str">
        <f>IFERROR(__xludf.DUMMYFUNCTION("""COMPUTED_VALUE"""),"Krzyzaniak, Taylor")</f>
        <v>Krzyzaniak, Taylor</v>
      </c>
      <c r="I129" s="159" t="str">
        <f>IFERROR(__xludf.DUMMYFUNCTION("""COMPUTED_VALUE"""),"185g")</f>
        <v>185g</v>
      </c>
      <c r="J129" s="64" t="str">
        <f>IFERROR(__xludf.DUMMYFUNCTION("""COMPUTED_VALUE"""),"195g")</f>
        <v>195g</v>
      </c>
      <c r="K129" s="64" t="str">
        <f>IFERROR(__xludf.DUMMYFUNCTION("""COMPUTED_VALUE"""),"210g")</f>
        <v>210g</v>
      </c>
      <c r="L129" s="64">
        <f>IFERROR(__xludf.DUMMYFUNCTION("""COMPUTED_VALUE"""),210.0)</f>
        <v>210</v>
      </c>
      <c r="M129" s="64" t="str">
        <f>IFERROR(__xludf.DUMMYFUNCTION("""COMPUTED_VALUE"""),"105g")</f>
        <v>105g</v>
      </c>
      <c r="N129" s="64" t="str">
        <f>IFERROR(__xludf.DUMMYFUNCTION("""COMPUTED_VALUE"""),"115g")</f>
        <v>115g</v>
      </c>
      <c r="O129" s="64" t="str">
        <f>IFERROR(__xludf.DUMMYFUNCTION("""COMPUTED_VALUE"""),"120g")</f>
        <v>120g</v>
      </c>
      <c r="P129" s="64">
        <f>IFERROR(__xludf.DUMMYFUNCTION("""COMPUTED_VALUE"""),120.0)</f>
        <v>120</v>
      </c>
      <c r="Q129" s="64" t="str">
        <f>IFERROR(__xludf.DUMMYFUNCTION("""COMPUTED_VALUE"""),"235g")</f>
        <v>235g</v>
      </c>
      <c r="R129" s="64" t="str">
        <f>IFERROR(__xludf.DUMMYFUNCTION("""COMPUTED_VALUE"""),"255g")</f>
        <v>255g</v>
      </c>
      <c r="S129" s="64" t="str">
        <f>IFERROR(__xludf.DUMMYFUNCTION("""COMPUTED_VALUE"""),"265g")</f>
        <v>265g</v>
      </c>
      <c r="T129" s="64">
        <f>IFERROR(__xludf.DUMMYFUNCTION("""COMPUTED_VALUE"""),265.0)</f>
        <v>265</v>
      </c>
      <c r="U129" s="64">
        <f>IFERROR(__xludf.DUMMYFUNCTION("""COMPUTED_VALUE"""),595.0)</f>
        <v>595</v>
      </c>
      <c r="V129" s="182">
        <f>IFERROR(__xludf.DUMMYFUNCTION("""COMPUTED_VALUE"""),3.8536269430051813)</f>
        <v>3.853626943</v>
      </c>
      <c r="W129" s="57">
        <f>IFERROR(__xludf.DUMMYFUNCTION("""COMPUTED_VALUE"""),9.0)</f>
        <v>9</v>
      </c>
      <c r="X129" s="57"/>
      <c r="Y129" s="57"/>
    </row>
    <row r="130">
      <c r="B130" s="157" t="s">
        <v>124</v>
      </c>
      <c r="C130" s="157">
        <f>if(countif(F126:F129,F130)&gt;1,0,6)</f>
        <v>6</v>
      </c>
      <c r="D130" s="157" t="str">
        <f>IFERROR(__xludf.DUMMYFUNCTION("""COMPUTED_VALUE"""),"155 WJV")</f>
        <v>155 WJV</v>
      </c>
      <c r="E130" s="64" t="str">
        <f>IFERROR(__xludf.DUMMYFUNCTION("""COMPUTED_VALUE"""),"WJV")</f>
        <v>WJV</v>
      </c>
      <c r="F130" s="158" t="str">
        <f>IFERROR(__xludf.DUMMYFUNCTION("""COMPUTED_VALUE"""),"Kingsley")</f>
        <v>Kingsley</v>
      </c>
      <c r="G130" s="64">
        <f>IFERROR(__xludf.DUMMYFUNCTION("""COMPUTED_VALUE"""),152.2)</f>
        <v>152.2</v>
      </c>
      <c r="H130" s="158" t="str">
        <f>IFERROR(__xludf.DUMMYFUNCTION("""COMPUTED_VALUE"""),"McIntosh, Victoria")</f>
        <v>McIntosh, Victoria</v>
      </c>
      <c r="I130" s="159" t="str">
        <f>IFERROR(__xludf.DUMMYFUNCTION("""COMPUTED_VALUE"""),"195g")</f>
        <v>195g</v>
      </c>
      <c r="J130" s="64" t="str">
        <f>IFERROR(__xludf.DUMMYFUNCTION("""COMPUTED_VALUE"""),"225g")</f>
        <v>225g</v>
      </c>
      <c r="K130" s="64" t="str">
        <f>IFERROR(__xludf.DUMMYFUNCTION("""COMPUTED_VALUE"""),"250x")</f>
        <v>250x</v>
      </c>
      <c r="L130" s="64">
        <f>IFERROR(__xludf.DUMMYFUNCTION("""COMPUTED_VALUE"""),225.0)</f>
        <v>225</v>
      </c>
      <c r="M130" s="64" t="str">
        <f>IFERROR(__xludf.DUMMYFUNCTION("""COMPUTED_VALUE"""),"105g")</f>
        <v>105g</v>
      </c>
      <c r="N130" s="64" t="str">
        <f>IFERROR(__xludf.DUMMYFUNCTION("""COMPUTED_VALUE"""),"110g")</f>
        <v>110g</v>
      </c>
      <c r="O130" s="64" t="str">
        <f>IFERROR(__xludf.DUMMYFUNCTION("""COMPUTED_VALUE"""),"115g")</f>
        <v>115g</v>
      </c>
      <c r="P130" s="64">
        <f>IFERROR(__xludf.DUMMYFUNCTION("""COMPUTED_VALUE"""),115.0)</f>
        <v>115</v>
      </c>
      <c r="Q130" s="64" t="str">
        <f>IFERROR(__xludf.DUMMYFUNCTION("""COMPUTED_VALUE"""),"205g")</f>
        <v>205g</v>
      </c>
      <c r="R130" s="64" t="str">
        <f>IFERROR(__xludf.DUMMYFUNCTION("""COMPUTED_VALUE"""),"225g")</f>
        <v>225g</v>
      </c>
      <c r="S130" s="64" t="str">
        <f>IFERROR(__xludf.DUMMYFUNCTION("""COMPUTED_VALUE"""),"240g")</f>
        <v>240g</v>
      </c>
      <c r="T130" s="64">
        <f>IFERROR(__xludf.DUMMYFUNCTION("""COMPUTED_VALUE"""),240.0)</f>
        <v>240</v>
      </c>
      <c r="U130" s="64">
        <f>IFERROR(__xludf.DUMMYFUNCTION("""COMPUTED_VALUE"""),580.0)</f>
        <v>580</v>
      </c>
      <c r="V130" s="182">
        <f>IFERROR(__xludf.DUMMYFUNCTION("""COMPUTED_VALUE"""),3.8107752956636007)</f>
        <v>3.810775296</v>
      </c>
      <c r="W130" s="57">
        <f>IFERROR(__xludf.DUMMYFUNCTION("""COMPUTED_VALUE"""),8.0)</f>
        <v>8</v>
      </c>
      <c r="X130" s="57"/>
      <c r="Y130" s="57"/>
    </row>
    <row r="131">
      <c r="B131" s="157" t="s">
        <v>125</v>
      </c>
      <c r="C131" s="157">
        <f>if(countif(F126:F130,F131)&gt;1,0,5)</f>
        <v>5</v>
      </c>
      <c r="D131" s="157" t="str">
        <f>IFERROR(__xludf.DUMMYFUNCTION("""COMPUTED_VALUE"""),"155 WJV")</f>
        <v>155 WJV</v>
      </c>
      <c r="E131" s="64" t="str">
        <f>IFERROR(__xludf.DUMMYFUNCTION("""COMPUTED_VALUE"""),"WJV")</f>
        <v>WJV</v>
      </c>
      <c r="F131" s="158" t="str">
        <f>IFERROR(__xludf.DUMMYFUNCTION("""COMPUTED_VALUE"""),"Flushing")</f>
        <v>Flushing</v>
      </c>
      <c r="G131" s="64">
        <f>IFERROR(__xludf.DUMMYFUNCTION("""COMPUTED_VALUE"""),152.4)</f>
        <v>152.4</v>
      </c>
      <c r="H131" s="158" t="str">
        <f>IFERROR(__xludf.DUMMYFUNCTION("""COMPUTED_VALUE"""),"Campbell, Maddie")</f>
        <v>Campbell, Maddie</v>
      </c>
      <c r="I131" s="159" t="str">
        <f>IFERROR(__xludf.DUMMYFUNCTION("""COMPUTED_VALUE"""),"210g")</f>
        <v>210g</v>
      </c>
      <c r="J131" s="64" t="str">
        <f>IFERROR(__xludf.DUMMYFUNCTION("""COMPUTED_VALUE"""),"220g")</f>
        <v>220g</v>
      </c>
      <c r="K131" s="64" t="str">
        <f>IFERROR(__xludf.DUMMYFUNCTION("""COMPUTED_VALUE"""),"225g")</f>
        <v>225g</v>
      </c>
      <c r="L131" s="64">
        <f>IFERROR(__xludf.DUMMYFUNCTION("""COMPUTED_VALUE"""),225.0)</f>
        <v>225</v>
      </c>
      <c r="M131" s="64" t="str">
        <f>IFERROR(__xludf.DUMMYFUNCTION("""COMPUTED_VALUE"""),"100g")</f>
        <v>100g</v>
      </c>
      <c r="N131" s="64" t="str">
        <f>IFERROR(__xludf.DUMMYFUNCTION("""COMPUTED_VALUE"""),"105g")</f>
        <v>105g</v>
      </c>
      <c r="O131" s="64" t="str">
        <f>IFERROR(__xludf.DUMMYFUNCTION("""COMPUTED_VALUE"""),"115x")</f>
        <v>115x</v>
      </c>
      <c r="P131" s="64">
        <f>IFERROR(__xludf.DUMMYFUNCTION("""COMPUTED_VALUE"""),105.0)</f>
        <v>105</v>
      </c>
      <c r="Q131" s="64" t="str">
        <f>IFERROR(__xludf.DUMMYFUNCTION("""COMPUTED_VALUE"""),"225g")</f>
        <v>225g</v>
      </c>
      <c r="R131" s="64" t="str">
        <f>IFERROR(__xludf.DUMMYFUNCTION("""COMPUTED_VALUE"""),"235x")</f>
        <v>235x</v>
      </c>
      <c r="S131" s="64" t="str">
        <f>IFERROR(__xludf.DUMMYFUNCTION("""COMPUTED_VALUE"""),"235x")</f>
        <v>235x</v>
      </c>
      <c r="T131" s="64">
        <f>IFERROR(__xludf.DUMMYFUNCTION("""COMPUTED_VALUE"""),225.0)</f>
        <v>225</v>
      </c>
      <c r="U131" s="64">
        <f>IFERROR(__xludf.DUMMYFUNCTION("""COMPUTED_VALUE"""),555.0)</f>
        <v>555</v>
      </c>
      <c r="V131" s="182">
        <f>IFERROR(__xludf.DUMMYFUNCTION("""COMPUTED_VALUE"""),3.6417322834645667)</f>
        <v>3.641732283</v>
      </c>
      <c r="W131" s="57">
        <f>IFERROR(__xludf.DUMMYFUNCTION("""COMPUTED_VALUE"""),6.0)</f>
        <v>6</v>
      </c>
      <c r="X131" s="57"/>
      <c r="Y131" s="57"/>
    </row>
    <row r="132">
      <c r="B132" s="157" t="s">
        <v>126</v>
      </c>
      <c r="C132" s="157">
        <f>if(countif(F126:F131,F132)&gt;1,0,4)</f>
        <v>4</v>
      </c>
      <c r="D132" s="157" t="str">
        <f>IFERROR(__xludf.DUMMYFUNCTION("""COMPUTED_VALUE"""),"155 WJV")</f>
        <v>155 WJV</v>
      </c>
      <c r="E132" s="64" t="str">
        <f>IFERROR(__xludf.DUMMYFUNCTION("""COMPUTED_VALUE"""),"WJV")</f>
        <v>WJV</v>
      </c>
      <c r="F132" s="158" t="str">
        <f>IFERROR(__xludf.DUMMYFUNCTION("""COMPUTED_VALUE"""),"Kelloggsville")</f>
        <v>Kelloggsville</v>
      </c>
      <c r="G132" s="64">
        <f>IFERROR(__xludf.DUMMYFUNCTION("""COMPUTED_VALUE"""),154.8)</f>
        <v>154.8</v>
      </c>
      <c r="H132" s="158" t="str">
        <f>IFERROR(__xludf.DUMMYFUNCTION("""COMPUTED_VALUE"""),"Marasigan, Rhea")</f>
        <v>Marasigan, Rhea</v>
      </c>
      <c r="I132" s="159" t="str">
        <f>IFERROR(__xludf.DUMMYFUNCTION("""COMPUTED_VALUE"""),"155g")</f>
        <v>155g</v>
      </c>
      <c r="J132" s="64" t="str">
        <f>IFERROR(__xludf.DUMMYFUNCTION("""COMPUTED_VALUE"""),"165g")</f>
        <v>165g</v>
      </c>
      <c r="K132" s="64" t="str">
        <f>IFERROR(__xludf.DUMMYFUNCTION("""COMPUTED_VALUE"""),"180g")</f>
        <v>180g</v>
      </c>
      <c r="L132" s="64">
        <f>IFERROR(__xludf.DUMMYFUNCTION("""COMPUTED_VALUE"""),180.0)</f>
        <v>180</v>
      </c>
      <c r="M132" s="64" t="str">
        <f>IFERROR(__xludf.DUMMYFUNCTION("""COMPUTED_VALUE"""),"85g")</f>
        <v>85g</v>
      </c>
      <c r="N132" s="64" t="str">
        <f>IFERROR(__xludf.DUMMYFUNCTION("""COMPUTED_VALUE"""),"95g")</f>
        <v>95g</v>
      </c>
      <c r="O132" s="64" t="str">
        <f>IFERROR(__xludf.DUMMYFUNCTION("""COMPUTED_VALUE"""),"100x")</f>
        <v>100x</v>
      </c>
      <c r="P132" s="64">
        <f>IFERROR(__xludf.DUMMYFUNCTION("""COMPUTED_VALUE"""),95.0)</f>
        <v>95</v>
      </c>
      <c r="Q132" s="64" t="str">
        <f>IFERROR(__xludf.DUMMYFUNCTION("""COMPUTED_VALUE"""),"225g")</f>
        <v>225g</v>
      </c>
      <c r="R132" s="64" t="str">
        <f>IFERROR(__xludf.DUMMYFUNCTION("""COMPUTED_VALUE"""),"250g")</f>
        <v>250g</v>
      </c>
      <c r="S132" s="64" t="str">
        <f>IFERROR(__xludf.DUMMYFUNCTION("""COMPUTED_VALUE"""),"265g")</f>
        <v>265g</v>
      </c>
      <c r="T132" s="64">
        <f>IFERROR(__xludf.DUMMYFUNCTION("""COMPUTED_VALUE"""),265.0)</f>
        <v>265</v>
      </c>
      <c r="U132" s="64">
        <f>IFERROR(__xludf.DUMMYFUNCTION("""COMPUTED_VALUE"""),540.0)</f>
        <v>540</v>
      </c>
      <c r="V132" s="182">
        <f>IFERROR(__xludf.DUMMYFUNCTION("""COMPUTED_VALUE"""),3.4883720930232553)</f>
        <v>3.488372093</v>
      </c>
      <c r="W132" s="57">
        <f>IFERROR(__xludf.DUMMYFUNCTION("""COMPUTED_VALUE"""),8.0)</f>
        <v>8</v>
      </c>
      <c r="X132" s="57"/>
      <c r="Y132" s="57"/>
    </row>
    <row r="133">
      <c r="B133" s="157" t="s">
        <v>127</v>
      </c>
      <c r="C133" s="157">
        <f>if(countif(F126:F132,F133)&gt;1,0,3)</f>
        <v>3</v>
      </c>
      <c r="D133" s="157" t="str">
        <f>IFERROR(__xludf.DUMMYFUNCTION("""COMPUTED_VALUE"""),"155 WJV")</f>
        <v>155 WJV</v>
      </c>
      <c r="E133" s="64" t="str">
        <f>IFERROR(__xludf.DUMMYFUNCTION("""COMPUTED_VALUE"""),"WJV")</f>
        <v>WJV</v>
      </c>
      <c r="F133" s="158" t="str">
        <f>IFERROR(__xludf.DUMMYFUNCTION("""COMPUTED_VALUE"""),"Adrian")</f>
        <v>Adrian</v>
      </c>
      <c r="G133" s="64">
        <f>IFERROR(__xludf.DUMMYFUNCTION("""COMPUTED_VALUE"""),149.4)</f>
        <v>149.4</v>
      </c>
      <c r="H133" s="158" t="str">
        <f>IFERROR(__xludf.DUMMYFUNCTION("""COMPUTED_VALUE"""),"Brown, Paris")</f>
        <v>Brown, Paris</v>
      </c>
      <c r="I133" s="159" t="str">
        <f>IFERROR(__xludf.DUMMYFUNCTION("""COMPUTED_VALUE"""),"155g")</f>
        <v>155g</v>
      </c>
      <c r="J133" s="64" t="str">
        <f>IFERROR(__xludf.DUMMYFUNCTION("""COMPUTED_VALUE"""),"165g")</f>
        <v>165g</v>
      </c>
      <c r="K133" s="64" t="str">
        <f>IFERROR(__xludf.DUMMYFUNCTION("""COMPUTED_VALUE"""),"180g")</f>
        <v>180g</v>
      </c>
      <c r="L133" s="64">
        <f>IFERROR(__xludf.DUMMYFUNCTION("""COMPUTED_VALUE"""),180.0)</f>
        <v>180</v>
      </c>
      <c r="M133" s="64" t="str">
        <f>IFERROR(__xludf.DUMMYFUNCTION("""COMPUTED_VALUE"""),"105g")</f>
        <v>105g</v>
      </c>
      <c r="N133" s="64" t="str">
        <f>IFERROR(__xludf.DUMMYFUNCTION("""COMPUTED_VALUE"""),"110x")</f>
        <v>110x</v>
      </c>
      <c r="O133" s="64" t="str">
        <f>IFERROR(__xludf.DUMMYFUNCTION("""COMPUTED_VALUE"""),"110x")</f>
        <v>110x</v>
      </c>
      <c r="P133" s="64">
        <f>IFERROR(__xludf.DUMMYFUNCTION("""COMPUTED_VALUE"""),105.0)</f>
        <v>105</v>
      </c>
      <c r="Q133" s="64" t="str">
        <f>IFERROR(__xludf.DUMMYFUNCTION("""COMPUTED_VALUE"""),"250x")</f>
        <v>250x</v>
      </c>
      <c r="R133" s="64" t="str">
        <f>IFERROR(__xludf.DUMMYFUNCTION("""COMPUTED_VALUE"""),"250g")</f>
        <v>250g</v>
      </c>
      <c r="S133" s="64" t="str">
        <f>IFERROR(__xludf.DUMMYFUNCTION("""COMPUTED_VALUE"""),"260x")</f>
        <v>260x</v>
      </c>
      <c r="T133" s="64">
        <f>IFERROR(__xludf.DUMMYFUNCTION("""COMPUTED_VALUE"""),250.0)</f>
        <v>250</v>
      </c>
      <c r="U133" s="64">
        <f>IFERROR(__xludf.DUMMYFUNCTION("""COMPUTED_VALUE"""),535.0)</f>
        <v>535</v>
      </c>
      <c r="V133" s="182">
        <f>IFERROR(__xludf.DUMMYFUNCTION("""COMPUTED_VALUE"""),3.5809906291834)</f>
        <v>3.580990629</v>
      </c>
      <c r="W133" s="57">
        <f>IFERROR(__xludf.DUMMYFUNCTION("""COMPUTED_VALUE"""),5.0)</f>
        <v>5</v>
      </c>
      <c r="X133" s="57"/>
      <c r="Y133" s="57"/>
    </row>
    <row r="134">
      <c r="B134" s="157" t="s">
        <v>128</v>
      </c>
      <c r="C134" s="157">
        <f>if(countif(F126:F133,F134)&gt;1,0,2)</f>
        <v>2</v>
      </c>
      <c r="D134" s="157" t="str">
        <f>IFERROR(__xludf.DUMMYFUNCTION("""COMPUTED_VALUE"""),"155 WJV")</f>
        <v>155 WJV</v>
      </c>
      <c r="E134" s="64" t="str">
        <f>IFERROR(__xludf.DUMMYFUNCTION("""COMPUTED_VALUE"""),"WJV")</f>
        <v>WJV</v>
      </c>
      <c r="F134" s="158" t="str">
        <f>IFERROR(__xludf.DUMMYFUNCTION("""COMPUTED_VALUE"""),"Cros-Lex")</f>
        <v>Cros-Lex</v>
      </c>
      <c r="G134" s="64">
        <f>IFERROR(__xludf.DUMMYFUNCTION("""COMPUTED_VALUE"""),150.6)</f>
        <v>150.6</v>
      </c>
      <c r="H134" s="158" t="str">
        <f>IFERROR(__xludf.DUMMYFUNCTION("""COMPUTED_VALUE"""),"Wright, Alyssa")</f>
        <v>Wright, Alyssa</v>
      </c>
      <c r="I134" s="159" t="str">
        <f>IFERROR(__xludf.DUMMYFUNCTION("""COMPUTED_VALUE"""),"185g")</f>
        <v>185g</v>
      </c>
      <c r="J134" s="64" t="str">
        <f>IFERROR(__xludf.DUMMYFUNCTION("""COMPUTED_VALUE"""),"200g")</f>
        <v>200g</v>
      </c>
      <c r="K134" s="64" t="str">
        <f>IFERROR(__xludf.DUMMYFUNCTION("""COMPUTED_VALUE"""),"215x")</f>
        <v>215x</v>
      </c>
      <c r="L134" s="64">
        <f>IFERROR(__xludf.DUMMYFUNCTION("""COMPUTED_VALUE"""),200.0)</f>
        <v>200</v>
      </c>
      <c r="M134" s="64" t="str">
        <f>IFERROR(__xludf.DUMMYFUNCTION("""COMPUTED_VALUE"""),"105g")</f>
        <v>105g</v>
      </c>
      <c r="N134" s="64" t="str">
        <f>IFERROR(__xludf.DUMMYFUNCTION("""COMPUTED_VALUE"""),"110x")</f>
        <v>110x</v>
      </c>
      <c r="O134" s="64" t="str">
        <f>IFERROR(__xludf.DUMMYFUNCTION("""COMPUTED_VALUE"""),"110x")</f>
        <v>110x</v>
      </c>
      <c r="P134" s="64">
        <f>IFERROR(__xludf.DUMMYFUNCTION("""COMPUTED_VALUE"""),105.0)</f>
        <v>105</v>
      </c>
      <c r="Q134" s="64" t="str">
        <f>IFERROR(__xludf.DUMMYFUNCTION("""COMPUTED_VALUE"""),"210g")</f>
        <v>210g</v>
      </c>
      <c r="R134" s="64" t="str">
        <f>IFERROR(__xludf.DUMMYFUNCTION("""COMPUTED_VALUE"""),"230g")</f>
        <v>230g</v>
      </c>
      <c r="S134" s="64" t="str">
        <f>IFERROR(__xludf.DUMMYFUNCTION("""COMPUTED_VALUE"""),"240x")</f>
        <v>240x</v>
      </c>
      <c r="T134" s="64">
        <f>IFERROR(__xludf.DUMMYFUNCTION("""COMPUTED_VALUE"""),230.0)</f>
        <v>230</v>
      </c>
      <c r="U134" s="64">
        <f>IFERROR(__xludf.DUMMYFUNCTION("""COMPUTED_VALUE"""),535.0)</f>
        <v>535</v>
      </c>
      <c r="V134" s="182">
        <f>IFERROR(__xludf.DUMMYFUNCTION("""COMPUTED_VALUE"""),3.552456839309429)</f>
        <v>3.552456839</v>
      </c>
      <c r="W134" s="57">
        <f>IFERROR(__xludf.DUMMYFUNCTION("""COMPUTED_VALUE"""),5.0)</f>
        <v>5</v>
      </c>
      <c r="X134" s="57"/>
      <c r="Y134" s="57"/>
    </row>
    <row r="135">
      <c r="B135" s="157" t="s">
        <v>129</v>
      </c>
      <c r="C135" s="157">
        <f>if(countif(F126:F134,F135)&gt;1,0,1)</f>
        <v>1</v>
      </c>
      <c r="D135" s="157" t="str">
        <f>IFERROR(__xludf.DUMMYFUNCTION("""COMPUTED_VALUE"""),"155 WJV")</f>
        <v>155 WJV</v>
      </c>
      <c r="E135" s="64" t="str">
        <f>IFERROR(__xludf.DUMMYFUNCTION("""COMPUTED_VALUE"""),"WJV")</f>
        <v>WJV</v>
      </c>
      <c r="F135" s="158" t="str">
        <f>IFERROR(__xludf.DUMMYFUNCTION("""COMPUTED_VALUE"""),"Goodrich")</f>
        <v>Goodrich</v>
      </c>
      <c r="G135" s="64">
        <f>IFERROR(__xludf.DUMMYFUNCTION("""COMPUTED_VALUE"""),149.0)</f>
        <v>149</v>
      </c>
      <c r="H135" s="158" t="str">
        <f>IFERROR(__xludf.DUMMYFUNCTION("""COMPUTED_VALUE"""),"Edenburn, Evelyn")</f>
        <v>Edenburn, Evelyn</v>
      </c>
      <c r="I135" s="159" t="str">
        <f>IFERROR(__xludf.DUMMYFUNCTION("""COMPUTED_VALUE"""),"185g")</f>
        <v>185g</v>
      </c>
      <c r="J135" s="64" t="str">
        <f>IFERROR(__xludf.DUMMYFUNCTION("""COMPUTED_VALUE"""),"205x")</f>
        <v>205x</v>
      </c>
      <c r="K135" s="64" t="str">
        <f>IFERROR(__xludf.DUMMYFUNCTION("""COMPUTED_VALUE"""),"205g")</f>
        <v>205g</v>
      </c>
      <c r="L135" s="64">
        <f>IFERROR(__xludf.DUMMYFUNCTION("""COMPUTED_VALUE"""),205.0)</f>
        <v>205</v>
      </c>
      <c r="M135" s="64" t="str">
        <f>IFERROR(__xludf.DUMMYFUNCTION("""COMPUTED_VALUE"""),"85g")</f>
        <v>85g</v>
      </c>
      <c r="N135" s="64" t="str">
        <f>IFERROR(__xludf.DUMMYFUNCTION("""COMPUTED_VALUE"""),"95x")</f>
        <v>95x</v>
      </c>
      <c r="O135" s="64" t="str">
        <f>IFERROR(__xludf.DUMMYFUNCTION("""COMPUTED_VALUE"""),"95x")</f>
        <v>95x</v>
      </c>
      <c r="P135" s="64">
        <f>IFERROR(__xludf.DUMMYFUNCTION("""COMPUTED_VALUE"""),85.0)</f>
        <v>85</v>
      </c>
      <c r="Q135" s="64" t="str">
        <f>IFERROR(__xludf.DUMMYFUNCTION("""COMPUTED_VALUE"""),"225g")</f>
        <v>225g</v>
      </c>
      <c r="R135" s="64" t="str">
        <f>IFERROR(__xludf.DUMMYFUNCTION("""COMPUTED_VALUE"""),"240x")</f>
        <v>240x</v>
      </c>
      <c r="S135" s="64" t="str">
        <f>IFERROR(__xludf.DUMMYFUNCTION("""COMPUTED_VALUE"""),"240g")</f>
        <v>240g</v>
      </c>
      <c r="T135" s="64">
        <f>IFERROR(__xludf.DUMMYFUNCTION("""COMPUTED_VALUE"""),240.0)</f>
        <v>240</v>
      </c>
      <c r="U135" s="64">
        <f>IFERROR(__xludf.DUMMYFUNCTION("""COMPUTED_VALUE"""),530.0)</f>
        <v>530</v>
      </c>
      <c r="V135" s="182">
        <f>IFERROR(__xludf.DUMMYFUNCTION("""COMPUTED_VALUE"""),3.557046979865772)</f>
        <v>3.55704698</v>
      </c>
      <c r="W135" s="57">
        <f>IFERROR(__xludf.DUMMYFUNCTION("""COMPUTED_VALUE"""),5.0)</f>
        <v>5</v>
      </c>
      <c r="X135" s="57"/>
      <c r="Y135" s="57"/>
    </row>
    <row r="136">
      <c r="A136" s="67">
        <v>155.0</v>
      </c>
      <c r="B136" s="68" t="s">
        <v>542</v>
      </c>
      <c r="C136" s="68">
        <v>0.0</v>
      </c>
      <c r="D136" s="68" t="str">
        <f>IFERROR(__xludf.DUMMYFUNCTION("""COMPUTED_VALUE"""),"155 WJV")</f>
        <v>155 WJV</v>
      </c>
      <c r="E136" s="69" t="str">
        <f>IFERROR(__xludf.DUMMYFUNCTION("""COMPUTED_VALUE"""),"WJV")</f>
        <v>WJV</v>
      </c>
      <c r="F136" s="70" t="str">
        <f>IFERROR(__xludf.DUMMYFUNCTION("""COMPUTED_VALUE"""),"Goodrich")</f>
        <v>Goodrich</v>
      </c>
      <c r="G136" s="69">
        <f>IFERROR(__xludf.DUMMYFUNCTION("""COMPUTED_VALUE"""),147.0)</f>
        <v>147</v>
      </c>
      <c r="H136" s="70" t="str">
        <f>IFERROR(__xludf.DUMMYFUNCTION("""COMPUTED_VALUE"""),"Diehl, Summer")</f>
        <v>Diehl, Summer</v>
      </c>
      <c r="I136" s="71" t="str">
        <f>IFERROR(__xludf.DUMMYFUNCTION("""COMPUTED_VALUE"""),"185g")</f>
        <v>185g</v>
      </c>
      <c r="J136" s="69" t="str">
        <f>IFERROR(__xludf.DUMMYFUNCTION("""COMPUTED_VALUE"""),"205x")</f>
        <v>205x</v>
      </c>
      <c r="K136" s="69" t="str">
        <f>IFERROR(__xludf.DUMMYFUNCTION("""COMPUTED_VALUE"""),"205x")</f>
        <v>205x</v>
      </c>
      <c r="L136" s="69">
        <f>IFERROR(__xludf.DUMMYFUNCTION("""COMPUTED_VALUE"""),185.0)</f>
        <v>185</v>
      </c>
      <c r="M136" s="69" t="str">
        <f>IFERROR(__xludf.DUMMYFUNCTION("""COMPUTED_VALUE"""),"105g")</f>
        <v>105g</v>
      </c>
      <c r="N136" s="69" t="str">
        <f>IFERROR(__xludf.DUMMYFUNCTION("""COMPUTED_VALUE"""),"110g")</f>
        <v>110g</v>
      </c>
      <c r="O136" s="69" t="str">
        <f>IFERROR(__xludf.DUMMYFUNCTION("""COMPUTED_VALUE"""),"115g")</f>
        <v>115g</v>
      </c>
      <c r="P136" s="69">
        <f>IFERROR(__xludf.DUMMYFUNCTION("""COMPUTED_VALUE"""),115.0)</f>
        <v>115</v>
      </c>
      <c r="Q136" s="69" t="str">
        <f>IFERROR(__xludf.DUMMYFUNCTION("""COMPUTED_VALUE"""),"185g")</f>
        <v>185g</v>
      </c>
      <c r="R136" s="69" t="str">
        <f>IFERROR(__xludf.DUMMYFUNCTION("""COMPUTED_VALUE"""),"195g")</f>
        <v>195g</v>
      </c>
      <c r="S136" s="69" t="str">
        <f>IFERROR(__xludf.DUMMYFUNCTION("""COMPUTED_VALUE"""),"205g")</f>
        <v>205g</v>
      </c>
      <c r="T136" s="69">
        <f>IFERROR(__xludf.DUMMYFUNCTION("""COMPUTED_VALUE"""),205.0)</f>
        <v>205</v>
      </c>
      <c r="U136" s="69">
        <f>IFERROR(__xludf.DUMMYFUNCTION("""COMPUTED_VALUE"""),505.0)</f>
        <v>505</v>
      </c>
      <c r="V136" s="183">
        <f>IFERROR(__xludf.DUMMYFUNCTION("""COMPUTED_VALUE"""),3.435374149659864)</f>
        <v>3.43537415</v>
      </c>
      <c r="W136" s="156">
        <f>IFERROR(__xludf.DUMMYFUNCTION("""COMPUTED_VALUE"""),7.0)</f>
        <v>7</v>
      </c>
      <c r="X136" s="156"/>
      <c r="Y136" s="156"/>
    </row>
    <row r="137">
      <c r="B137" s="68" t="s">
        <v>543</v>
      </c>
      <c r="C137" s="68">
        <v>0.0</v>
      </c>
      <c r="D137" s="68" t="str">
        <f>IFERROR(__xludf.DUMMYFUNCTION("""COMPUTED_VALUE"""),"155 WJV")</f>
        <v>155 WJV</v>
      </c>
      <c r="E137" s="69" t="str">
        <f>IFERROR(__xludf.DUMMYFUNCTION("""COMPUTED_VALUE"""),"WJV")</f>
        <v>WJV</v>
      </c>
      <c r="F137" s="70" t="str">
        <f>IFERROR(__xludf.DUMMYFUNCTION("""COMPUTED_VALUE"""),"Petoskey")</f>
        <v>Petoskey</v>
      </c>
      <c r="G137" s="69">
        <f>IFERROR(__xludf.DUMMYFUNCTION("""COMPUTED_VALUE"""),154.0)</f>
        <v>154</v>
      </c>
      <c r="H137" s="70" t="str">
        <f>IFERROR(__xludf.DUMMYFUNCTION("""COMPUTED_VALUE"""),"Ladd, Lexi")</f>
        <v>Ladd, Lexi</v>
      </c>
      <c r="I137" s="71" t="str">
        <f>IFERROR(__xludf.DUMMYFUNCTION("""COMPUTED_VALUE"""),"165g")</f>
        <v>165g</v>
      </c>
      <c r="J137" s="69" t="str">
        <f>IFERROR(__xludf.DUMMYFUNCTION("""COMPUTED_VALUE"""),"180g")</f>
        <v>180g</v>
      </c>
      <c r="K137" s="69" t="str">
        <f>IFERROR(__xludf.DUMMYFUNCTION("""COMPUTED_VALUE"""),"195g")</f>
        <v>195g</v>
      </c>
      <c r="L137" s="69">
        <f>IFERROR(__xludf.DUMMYFUNCTION("""COMPUTED_VALUE"""),195.0)</f>
        <v>195</v>
      </c>
      <c r="M137" s="69" t="str">
        <f>IFERROR(__xludf.DUMMYFUNCTION("""COMPUTED_VALUE"""),"65g")</f>
        <v>65g</v>
      </c>
      <c r="N137" s="69" t="str">
        <f>IFERROR(__xludf.DUMMYFUNCTION("""COMPUTED_VALUE"""),"80g")</f>
        <v>80g</v>
      </c>
      <c r="O137" s="69" t="str">
        <f>IFERROR(__xludf.DUMMYFUNCTION("""COMPUTED_VALUE"""),"95x")</f>
        <v>95x</v>
      </c>
      <c r="P137" s="69">
        <f>IFERROR(__xludf.DUMMYFUNCTION("""COMPUTED_VALUE"""),80.0)</f>
        <v>80</v>
      </c>
      <c r="Q137" s="69" t="str">
        <f>IFERROR(__xludf.DUMMYFUNCTION("""COMPUTED_VALUE"""),"175g")</f>
        <v>175g</v>
      </c>
      <c r="R137" s="69" t="str">
        <f>IFERROR(__xludf.DUMMYFUNCTION("""COMPUTED_VALUE"""),"190g")</f>
        <v>190g</v>
      </c>
      <c r="S137" s="69" t="str">
        <f>IFERROR(__xludf.DUMMYFUNCTION("""COMPUTED_VALUE"""),"220g")</f>
        <v>220g</v>
      </c>
      <c r="T137" s="69">
        <f>IFERROR(__xludf.DUMMYFUNCTION("""COMPUTED_VALUE"""),220.0)</f>
        <v>220</v>
      </c>
      <c r="U137" s="69">
        <f>IFERROR(__xludf.DUMMYFUNCTION("""COMPUTED_VALUE"""),495.0)</f>
        <v>495</v>
      </c>
      <c r="V137" s="183">
        <f>IFERROR(__xludf.DUMMYFUNCTION("""COMPUTED_VALUE"""),3.2142857142857144)</f>
        <v>3.214285714</v>
      </c>
      <c r="W137" s="156">
        <f>IFERROR(__xludf.DUMMYFUNCTION("""COMPUTED_VALUE"""),8.0)</f>
        <v>8</v>
      </c>
      <c r="X137" s="156"/>
      <c r="Y137" s="156"/>
    </row>
    <row r="138">
      <c r="B138" s="68" t="s">
        <v>544</v>
      </c>
      <c r="C138" s="68">
        <v>0.0</v>
      </c>
      <c r="D138" s="68" t="str">
        <f>IFERROR(__xludf.DUMMYFUNCTION("""COMPUTED_VALUE"""),"155 WJV")</f>
        <v>155 WJV</v>
      </c>
      <c r="E138" s="69" t="str">
        <f>IFERROR(__xludf.DUMMYFUNCTION("""COMPUTED_VALUE"""),"WJV")</f>
        <v>WJV</v>
      </c>
      <c r="F138" s="70" t="str">
        <f>IFERROR(__xludf.DUMMYFUNCTION("""COMPUTED_VALUE"""),"North Branch")</f>
        <v>North Branch</v>
      </c>
      <c r="G138" s="69">
        <f>IFERROR(__xludf.DUMMYFUNCTION("""COMPUTED_VALUE"""),146.6)</f>
        <v>146.6</v>
      </c>
      <c r="H138" s="70" t="str">
        <f>IFERROR(__xludf.DUMMYFUNCTION("""COMPUTED_VALUE"""),"Shepherd, Peyton")</f>
        <v>Shepherd, Peyton</v>
      </c>
      <c r="I138" s="71" t="str">
        <f>IFERROR(__xludf.DUMMYFUNCTION("""COMPUTED_VALUE"""),"160g")</f>
        <v>160g</v>
      </c>
      <c r="J138" s="69" t="str">
        <f>IFERROR(__xludf.DUMMYFUNCTION("""COMPUTED_VALUE"""),"170x")</f>
        <v>170x</v>
      </c>
      <c r="K138" s="69" t="str">
        <f>IFERROR(__xludf.DUMMYFUNCTION("""COMPUTED_VALUE"""),"170x")</f>
        <v>170x</v>
      </c>
      <c r="L138" s="69">
        <f>IFERROR(__xludf.DUMMYFUNCTION("""COMPUTED_VALUE"""),160.0)</f>
        <v>160</v>
      </c>
      <c r="M138" s="69" t="str">
        <f>IFERROR(__xludf.DUMMYFUNCTION("""COMPUTED_VALUE"""),"80x")</f>
        <v>80x</v>
      </c>
      <c r="N138" s="69" t="str">
        <f>IFERROR(__xludf.DUMMYFUNCTION("""COMPUTED_VALUE"""),"85g")</f>
        <v>85g</v>
      </c>
      <c r="O138" s="69" t="str">
        <f>IFERROR(__xludf.DUMMYFUNCTION("""COMPUTED_VALUE"""),"95x")</f>
        <v>95x</v>
      </c>
      <c r="P138" s="69">
        <f>IFERROR(__xludf.DUMMYFUNCTION("""COMPUTED_VALUE"""),85.0)</f>
        <v>85</v>
      </c>
      <c r="Q138" s="69" t="str">
        <f>IFERROR(__xludf.DUMMYFUNCTION("""COMPUTED_VALUE"""),"220g")</f>
        <v>220g</v>
      </c>
      <c r="R138" s="69" t="str">
        <f>IFERROR(__xludf.DUMMYFUNCTION("""COMPUTED_VALUE"""),"235g")</f>
        <v>235g</v>
      </c>
      <c r="S138" s="69" t="str">
        <f>IFERROR(__xludf.DUMMYFUNCTION("""COMPUTED_VALUE"""),"245x")</f>
        <v>245x</v>
      </c>
      <c r="T138" s="69">
        <f>IFERROR(__xludf.DUMMYFUNCTION("""COMPUTED_VALUE"""),235.0)</f>
        <v>235</v>
      </c>
      <c r="U138" s="69">
        <f>IFERROR(__xludf.DUMMYFUNCTION("""COMPUTED_VALUE"""),480.0)</f>
        <v>480</v>
      </c>
      <c r="V138" s="183">
        <f>IFERROR(__xludf.DUMMYFUNCTION("""COMPUTED_VALUE"""),3.2742155525238745)</f>
        <v>3.274215553</v>
      </c>
      <c r="W138" s="156">
        <f>IFERROR(__xludf.DUMMYFUNCTION("""COMPUTED_VALUE"""),4.0)</f>
        <v>4</v>
      </c>
      <c r="X138" s="156"/>
      <c r="Y138" s="156"/>
    </row>
    <row r="139">
      <c r="B139" s="68" t="s">
        <v>545</v>
      </c>
      <c r="C139" s="68">
        <v>0.0</v>
      </c>
      <c r="D139" s="68" t="str">
        <f>IFERROR(__xludf.DUMMYFUNCTION("""COMPUTED_VALUE"""),"155 WJV")</f>
        <v>155 WJV</v>
      </c>
      <c r="E139" s="69" t="str">
        <f>IFERROR(__xludf.DUMMYFUNCTION("""COMPUTED_VALUE"""),"WJV")</f>
        <v>WJV</v>
      </c>
      <c r="F139" s="70" t="str">
        <f>IFERROR(__xludf.DUMMYFUNCTION("""COMPUTED_VALUE"""),"Cros-Lex")</f>
        <v>Cros-Lex</v>
      </c>
      <c r="G139" s="69">
        <f>IFERROR(__xludf.DUMMYFUNCTION("""COMPUTED_VALUE"""),150.8)</f>
        <v>150.8</v>
      </c>
      <c r="H139" s="70" t="str">
        <f>IFERROR(__xludf.DUMMYFUNCTION("""COMPUTED_VALUE"""),"Coleman, Sydney")</f>
        <v>Coleman, Sydney</v>
      </c>
      <c r="I139" s="71" t="str">
        <f>IFERROR(__xludf.DUMMYFUNCTION("""COMPUTED_VALUE"""),"150g")</f>
        <v>150g</v>
      </c>
      <c r="J139" s="69" t="str">
        <f>IFERROR(__xludf.DUMMYFUNCTION("""COMPUTED_VALUE"""),"160x")</f>
        <v>160x</v>
      </c>
      <c r="K139" s="69" t="str">
        <f>IFERROR(__xludf.DUMMYFUNCTION("""COMPUTED_VALUE"""),"160x")</f>
        <v>160x</v>
      </c>
      <c r="L139" s="69">
        <f>IFERROR(__xludf.DUMMYFUNCTION("""COMPUTED_VALUE"""),150.0)</f>
        <v>150</v>
      </c>
      <c r="M139" s="69" t="str">
        <f>IFERROR(__xludf.DUMMYFUNCTION("""COMPUTED_VALUE"""),"85g")</f>
        <v>85g</v>
      </c>
      <c r="N139" s="69" t="str">
        <f>IFERROR(__xludf.DUMMYFUNCTION("""COMPUTED_VALUE"""),"90x")</f>
        <v>90x</v>
      </c>
      <c r="O139" s="69" t="str">
        <f>IFERROR(__xludf.DUMMYFUNCTION("""COMPUTED_VALUE"""),"90x")</f>
        <v>90x</v>
      </c>
      <c r="P139" s="69">
        <f>IFERROR(__xludf.DUMMYFUNCTION("""COMPUTED_VALUE"""),85.0)</f>
        <v>85</v>
      </c>
      <c r="Q139" s="69" t="str">
        <f>IFERROR(__xludf.DUMMYFUNCTION("""COMPUTED_VALUE"""),"225g")</f>
        <v>225g</v>
      </c>
      <c r="R139" s="69" t="str">
        <f>IFERROR(__xludf.DUMMYFUNCTION("""COMPUTED_VALUE"""),"245g")</f>
        <v>245g</v>
      </c>
      <c r="S139" s="69" t="str">
        <f>IFERROR(__xludf.DUMMYFUNCTION("""COMPUTED_VALUE"""),"260x")</f>
        <v>260x</v>
      </c>
      <c r="T139" s="69">
        <f>IFERROR(__xludf.DUMMYFUNCTION("""COMPUTED_VALUE"""),245.0)</f>
        <v>245</v>
      </c>
      <c r="U139" s="69">
        <f>IFERROR(__xludf.DUMMYFUNCTION("""COMPUTED_VALUE"""),480.0)</f>
        <v>480</v>
      </c>
      <c r="V139" s="183">
        <f>IFERROR(__xludf.DUMMYFUNCTION("""COMPUTED_VALUE"""),3.183023872679045)</f>
        <v>3.183023873</v>
      </c>
      <c r="W139" s="156">
        <f>IFERROR(__xludf.DUMMYFUNCTION("""COMPUTED_VALUE"""),4.0)</f>
        <v>4</v>
      </c>
      <c r="X139" s="156"/>
      <c r="Y139" s="156"/>
    </row>
    <row r="140">
      <c r="B140" s="68" t="s">
        <v>546</v>
      </c>
      <c r="C140" s="68">
        <v>0.0</v>
      </c>
      <c r="D140" s="68" t="str">
        <f>IFERROR(__xludf.DUMMYFUNCTION("""COMPUTED_VALUE"""),"155 WJV")</f>
        <v>155 WJV</v>
      </c>
      <c r="E140" s="69" t="str">
        <f>IFERROR(__xludf.DUMMYFUNCTION("""COMPUTED_VALUE"""),"WJV")</f>
        <v>WJV</v>
      </c>
      <c r="F140" s="70" t="str">
        <f>IFERROR(__xludf.DUMMYFUNCTION("""COMPUTED_VALUE"""),"Standish-Sterling")</f>
        <v>Standish-Sterling</v>
      </c>
      <c r="G140" s="69">
        <f>IFERROR(__xludf.DUMMYFUNCTION("""COMPUTED_VALUE"""),150.2)</f>
        <v>150.2</v>
      </c>
      <c r="H140" s="70" t="str">
        <f>IFERROR(__xludf.DUMMYFUNCTION("""COMPUTED_VALUE"""),"Neirnberg, Lena")</f>
        <v>Neirnberg, Lena</v>
      </c>
      <c r="I140" s="71" t="str">
        <f>IFERROR(__xludf.DUMMYFUNCTION("""COMPUTED_VALUE"""),"150g")</f>
        <v>150g</v>
      </c>
      <c r="J140" s="69" t="str">
        <f>IFERROR(__xludf.DUMMYFUNCTION("""COMPUTED_VALUE"""),"160g")</f>
        <v>160g</v>
      </c>
      <c r="K140" s="69" t="str">
        <f>IFERROR(__xludf.DUMMYFUNCTION("""COMPUTED_VALUE"""),"170g")</f>
        <v>170g</v>
      </c>
      <c r="L140" s="69">
        <f>IFERROR(__xludf.DUMMYFUNCTION("""COMPUTED_VALUE"""),170.0)</f>
        <v>170</v>
      </c>
      <c r="M140" s="69" t="str">
        <f>IFERROR(__xludf.DUMMYFUNCTION("""COMPUTED_VALUE"""),"70g")</f>
        <v>70g</v>
      </c>
      <c r="N140" s="69" t="str">
        <f>IFERROR(__xludf.DUMMYFUNCTION("""COMPUTED_VALUE"""),"80x")</f>
        <v>80x</v>
      </c>
      <c r="O140" s="69" t="str">
        <f>IFERROR(__xludf.DUMMYFUNCTION("""COMPUTED_VALUE"""),"80x")</f>
        <v>80x</v>
      </c>
      <c r="P140" s="69">
        <f>IFERROR(__xludf.DUMMYFUNCTION("""COMPUTED_VALUE"""),70.0)</f>
        <v>70</v>
      </c>
      <c r="Q140" s="69" t="str">
        <f>IFERROR(__xludf.DUMMYFUNCTION("""COMPUTED_VALUE"""),"170g")</f>
        <v>170g</v>
      </c>
      <c r="R140" s="69" t="str">
        <f>IFERROR(__xludf.DUMMYFUNCTION("""COMPUTED_VALUE"""),"190g")</f>
        <v>190g</v>
      </c>
      <c r="S140" s="69" t="str">
        <f>IFERROR(__xludf.DUMMYFUNCTION("""COMPUTED_VALUE"""),"205g")</f>
        <v>205g</v>
      </c>
      <c r="T140" s="69">
        <f>IFERROR(__xludf.DUMMYFUNCTION("""COMPUTED_VALUE"""),205.0)</f>
        <v>205</v>
      </c>
      <c r="U140" s="69">
        <f>IFERROR(__xludf.DUMMYFUNCTION("""COMPUTED_VALUE"""),445.0)</f>
        <v>445</v>
      </c>
      <c r="V140" s="183">
        <f>IFERROR(__xludf.DUMMYFUNCTION("""COMPUTED_VALUE"""),2.96271637816245)</f>
        <v>2.962716378</v>
      </c>
      <c r="W140" s="156">
        <f>IFERROR(__xludf.DUMMYFUNCTION("""COMPUTED_VALUE"""),7.0)</f>
        <v>7</v>
      </c>
      <c r="X140" s="156"/>
      <c r="Y140" s="156"/>
    </row>
    <row r="141">
      <c r="B141" s="68" t="s">
        <v>547</v>
      </c>
      <c r="C141" s="68">
        <v>0.0</v>
      </c>
      <c r="D141" s="68" t="str">
        <f>IFERROR(__xludf.DUMMYFUNCTION("""COMPUTED_VALUE"""),"155 WJV")</f>
        <v>155 WJV</v>
      </c>
      <c r="E141" s="69" t="str">
        <f>IFERROR(__xludf.DUMMYFUNCTION("""COMPUTED_VALUE"""),"WJV")</f>
        <v>WJV</v>
      </c>
      <c r="F141" s="70" t="str">
        <f>IFERROR(__xludf.DUMMYFUNCTION("""COMPUTED_VALUE"""),"Goodrich")</f>
        <v>Goodrich</v>
      </c>
      <c r="G141" s="69">
        <f>IFERROR(__xludf.DUMMYFUNCTION("""COMPUTED_VALUE"""),153.8)</f>
        <v>153.8</v>
      </c>
      <c r="H141" s="70" t="str">
        <f>IFERROR(__xludf.DUMMYFUNCTION("""COMPUTED_VALUE"""),"Mochty, Kenzie")</f>
        <v>Mochty, Kenzie</v>
      </c>
      <c r="I141" s="71" t="str">
        <f>IFERROR(__xludf.DUMMYFUNCTION("""COMPUTED_VALUE"""),"155g")</f>
        <v>155g</v>
      </c>
      <c r="J141" s="69" t="str">
        <f>IFERROR(__xludf.DUMMYFUNCTION("""COMPUTED_VALUE"""),"165x")</f>
        <v>165x</v>
      </c>
      <c r="K141" s="69" t="str">
        <f>IFERROR(__xludf.DUMMYFUNCTION("""COMPUTED_VALUE"""),"165g")</f>
        <v>165g</v>
      </c>
      <c r="L141" s="69">
        <f>IFERROR(__xludf.DUMMYFUNCTION("""COMPUTED_VALUE"""),165.0)</f>
        <v>165</v>
      </c>
      <c r="M141" s="69" t="str">
        <f>IFERROR(__xludf.DUMMYFUNCTION("""COMPUTED_VALUE"""),"60g")</f>
        <v>60g</v>
      </c>
      <c r="N141" s="69" t="str">
        <f>IFERROR(__xludf.DUMMYFUNCTION("""COMPUTED_VALUE"""),"70g")</f>
        <v>70g</v>
      </c>
      <c r="O141" s="69" t="str">
        <f>IFERROR(__xludf.DUMMYFUNCTION("""COMPUTED_VALUE"""),"80x")</f>
        <v>80x</v>
      </c>
      <c r="P141" s="69">
        <f>IFERROR(__xludf.DUMMYFUNCTION("""COMPUTED_VALUE"""),70.0)</f>
        <v>70</v>
      </c>
      <c r="Q141" s="69" t="str">
        <f>IFERROR(__xludf.DUMMYFUNCTION("""COMPUTED_VALUE"""),"185g")</f>
        <v>185g</v>
      </c>
      <c r="R141" s="69" t="str">
        <f>IFERROR(__xludf.DUMMYFUNCTION("""COMPUTED_VALUE"""),"210g")</f>
        <v>210g</v>
      </c>
      <c r="S141" s="69" t="str">
        <f>IFERROR(__xludf.DUMMYFUNCTION("""COMPUTED_VALUE"""),"225x")</f>
        <v>225x</v>
      </c>
      <c r="T141" s="69">
        <f>IFERROR(__xludf.DUMMYFUNCTION("""COMPUTED_VALUE"""),210.0)</f>
        <v>210</v>
      </c>
      <c r="U141" s="69">
        <f>IFERROR(__xludf.DUMMYFUNCTION("""COMPUTED_VALUE"""),445.0)</f>
        <v>445</v>
      </c>
      <c r="V141" s="183">
        <f>IFERROR(__xludf.DUMMYFUNCTION("""COMPUTED_VALUE"""),2.8933680104031207)</f>
        <v>2.89336801</v>
      </c>
      <c r="W141" s="156">
        <f>IFERROR(__xludf.DUMMYFUNCTION("""COMPUTED_VALUE"""),6.0)</f>
        <v>6</v>
      </c>
      <c r="X141" s="156"/>
      <c r="Y141" s="156"/>
    </row>
    <row r="142">
      <c r="B142" s="68" t="s">
        <v>548</v>
      </c>
      <c r="C142" s="68">
        <v>0.0</v>
      </c>
      <c r="D142" s="68" t="str">
        <f>IFERROR(__xludf.DUMMYFUNCTION("""COMPUTED_VALUE"""),"155 WJV")</f>
        <v>155 WJV</v>
      </c>
      <c r="E142" s="69" t="str">
        <f>IFERROR(__xludf.DUMMYFUNCTION("""COMPUTED_VALUE"""),"WJV")</f>
        <v>WJV</v>
      </c>
      <c r="F142" s="70" t="str">
        <f>IFERROR(__xludf.DUMMYFUNCTION("""COMPUTED_VALUE"""),"Goodrich")</f>
        <v>Goodrich</v>
      </c>
      <c r="G142" s="69">
        <f>IFERROR(__xludf.DUMMYFUNCTION("""COMPUTED_VALUE"""),146.4)</f>
        <v>146.4</v>
      </c>
      <c r="H142" s="70" t="str">
        <f>IFERROR(__xludf.DUMMYFUNCTION("""COMPUTED_VALUE"""),"Ayotte, Maddison")</f>
        <v>Ayotte, Maddison</v>
      </c>
      <c r="I142" s="71" t="str">
        <f>IFERROR(__xludf.DUMMYFUNCTION("""COMPUTED_VALUE"""),"175g")</f>
        <v>175g</v>
      </c>
      <c r="J142" s="69" t="str">
        <f>IFERROR(__xludf.DUMMYFUNCTION("""COMPUTED_VALUE"""),"185x")</f>
        <v>185x</v>
      </c>
      <c r="K142" s="69" t="str">
        <f>IFERROR(__xludf.DUMMYFUNCTION("""COMPUTED_VALUE"""),"185g")</f>
        <v>185g</v>
      </c>
      <c r="L142" s="69">
        <f>IFERROR(__xludf.DUMMYFUNCTION("""COMPUTED_VALUE"""),185.0)</f>
        <v>185</v>
      </c>
      <c r="M142" s="69" t="str">
        <f>IFERROR(__xludf.DUMMYFUNCTION("""COMPUTED_VALUE"""),"65g")</f>
        <v>65g</v>
      </c>
      <c r="N142" s="69" t="str">
        <f>IFERROR(__xludf.DUMMYFUNCTION("""COMPUTED_VALUE"""),"75x")</f>
        <v>75x</v>
      </c>
      <c r="O142" s="69" t="str">
        <f>IFERROR(__xludf.DUMMYFUNCTION("""COMPUTED_VALUE"""),"75x")</f>
        <v>75x</v>
      </c>
      <c r="P142" s="69">
        <f>IFERROR(__xludf.DUMMYFUNCTION("""COMPUTED_VALUE"""),65.0)</f>
        <v>65</v>
      </c>
      <c r="Q142" s="69" t="str">
        <f>IFERROR(__xludf.DUMMYFUNCTION("""COMPUTED_VALUE"""),"175g")</f>
        <v>175g</v>
      </c>
      <c r="R142" s="69" t="str">
        <f>IFERROR(__xludf.DUMMYFUNCTION("""COMPUTED_VALUE"""),"185x")</f>
        <v>185x</v>
      </c>
      <c r="S142" s="69" t="str">
        <f>IFERROR(__xludf.DUMMYFUNCTION("""COMPUTED_VALUE"""),"185x")</f>
        <v>185x</v>
      </c>
      <c r="T142" s="69">
        <f>IFERROR(__xludf.DUMMYFUNCTION("""COMPUTED_VALUE"""),175.0)</f>
        <v>175</v>
      </c>
      <c r="U142" s="69">
        <f>IFERROR(__xludf.DUMMYFUNCTION("""COMPUTED_VALUE"""),425.0)</f>
        <v>425</v>
      </c>
      <c r="V142" s="183">
        <f>IFERROR(__xludf.DUMMYFUNCTION("""COMPUTED_VALUE"""),2.903005464480874)</f>
        <v>2.903005464</v>
      </c>
      <c r="W142" s="156">
        <f>IFERROR(__xludf.DUMMYFUNCTION("""COMPUTED_VALUE"""),4.0)</f>
        <v>4</v>
      </c>
      <c r="X142" s="156"/>
      <c r="Y142" s="156"/>
    </row>
    <row r="143">
      <c r="B143" s="68" t="s">
        <v>549</v>
      </c>
      <c r="C143" s="68">
        <v>0.0</v>
      </c>
      <c r="D143" s="68" t="str">
        <f>IFERROR(__xludf.DUMMYFUNCTION("""COMPUTED_VALUE"""),"155 WJV")</f>
        <v>155 WJV</v>
      </c>
      <c r="E143" s="69" t="str">
        <f>IFERROR(__xludf.DUMMYFUNCTION("""COMPUTED_VALUE"""),"WJV")</f>
        <v>WJV</v>
      </c>
      <c r="F143" s="70" t="str">
        <f>IFERROR(__xludf.DUMMYFUNCTION("""COMPUTED_VALUE"""),"Grand Haven")</f>
        <v>Grand Haven</v>
      </c>
      <c r="G143" s="69">
        <f>IFERROR(__xludf.DUMMYFUNCTION("""COMPUTED_VALUE"""),153.6)</f>
        <v>153.6</v>
      </c>
      <c r="H143" s="70" t="str">
        <f>IFERROR(__xludf.DUMMYFUNCTION("""COMPUTED_VALUE"""),"Corle, Makenna")</f>
        <v>Corle, Makenna</v>
      </c>
      <c r="I143" s="71" t="str">
        <f>IFERROR(__xludf.DUMMYFUNCTION("""COMPUTED_VALUE"""),"140g")</f>
        <v>140g</v>
      </c>
      <c r="J143" s="69" t="str">
        <f>IFERROR(__xludf.DUMMYFUNCTION("""COMPUTED_VALUE"""),"160g")</f>
        <v>160g</v>
      </c>
      <c r="K143" s="69" t="str">
        <f>IFERROR(__xludf.DUMMYFUNCTION("""COMPUTED_VALUE"""),"165g")</f>
        <v>165g</v>
      </c>
      <c r="L143" s="69">
        <f>IFERROR(__xludf.DUMMYFUNCTION("""COMPUTED_VALUE"""),165.0)</f>
        <v>165</v>
      </c>
      <c r="M143" s="69" t="str">
        <f>IFERROR(__xludf.DUMMYFUNCTION("""COMPUTED_VALUE"""),"75x")</f>
        <v>75x</v>
      </c>
      <c r="N143" s="69" t="str">
        <f>IFERROR(__xludf.DUMMYFUNCTION("""COMPUTED_VALUE"""),"85g")</f>
        <v>85g</v>
      </c>
      <c r="O143" s="69" t="str">
        <f>IFERROR(__xludf.DUMMYFUNCTION("""COMPUTED_VALUE"""),"100x")</f>
        <v>100x</v>
      </c>
      <c r="P143" s="69">
        <f>IFERROR(__xludf.DUMMYFUNCTION("""COMPUTED_VALUE"""),85.0)</f>
        <v>85</v>
      </c>
      <c r="Q143" s="69" t="str">
        <f>IFERROR(__xludf.DUMMYFUNCTION("""COMPUTED_VALUE"""),"170g")</f>
        <v>170g</v>
      </c>
      <c r="R143" s="69" t="str">
        <f>IFERROR(__xludf.DUMMYFUNCTION("""COMPUTED_VALUE"""),"200x")</f>
        <v>200x</v>
      </c>
      <c r="S143" s="69" t="str">
        <f>IFERROR(__xludf.DUMMYFUNCTION("""COMPUTED_VALUE"""),"200x")</f>
        <v>200x</v>
      </c>
      <c r="T143" s="69">
        <f>IFERROR(__xludf.DUMMYFUNCTION("""COMPUTED_VALUE"""),170.0)</f>
        <v>170</v>
      </c>
      <c r="U143" s="69">
        <f>IFERROR(__xludf.DUMMYFUNCTION("""COMPUTED_VALUE"""),420.0)</f>
        <v>420</v>
      </c>
      <c r="V143" s="183">
        <f>IFERROR(__xludf.DUMMYFUNCTION("""COMPUTED_VALUE"""),2.734375)</f>
        <v>2.734375</v>
      </c>
      <c r="W143" s="156">
        <f>IFERROR(__xludf.DUMMYFUNCTION("""COMPUTED_VALUE"""),5.0)</f>
        <v>5</v>
      </c>
      <c r="X143" s="156"/>
      <c r="Y143" s="156"/>
    </row>
    <row r="144">
      <c r="B144" s="68" t="s">
        <v>550</v>
      </c>
      <c r="C144" s="68">
        <v>0.0</v>
      </c>
      <c r="D144" s="68" t="str">
        <f>IFERROR(__xludf.DUMMYFUNCTION("""COMPUTED_VALUE"""),"155 WJV")</f>
        <v>155 WJV</v>
      </c>
      <c r="E144" s="69" t="str">
        <f>IFERROR(__xludf.DUMMYFUNCTION("""COMPUTED_VALUE"""),"WJV")</f>
        <v>WJV</v>
      </c>
      <c r="F144" s="70" t="str">
        <f>IFERROR(__xludf.DUMMYFUNCTION("""COMPUTED_VALUE"""),"Kalkaska")</f>
        <v>Kalkaska</v>
      </c>
      <c r="G144" s="69">
        <f>IFERROR(__xludf.DUMMYFUNCTION("""COMPUTED_VALUE"""),151.8)</f>
        <v>151.8</v>
      </c>
      <c r="H144" s="70" t="str">
        <f>IFERROR(__xludf.DUMMYFUNCTION("""COMPUTED_VALUE"""),"Birgy, Madison")</f>
        <v>Birgy, Madison</v>
      </c>
      <c r="I144" s="71" t="str">
        <f>IFERROR(__xludf.DUMMYFUNCTION("""COMPUTED_VALUE"""),"95g")</f>
        <v>95g</v>
      </c>
      <c r="J144" s="69" t="str">
        <f>IFERROR(__xludf.DUMMYFUNCTION("""COMPUTED_VALUE"""),"115g")</f>
        <v>115g</v>
      </c>
      <c r="K144" s="69" t="str">
        <f>IFERROR(__xludf.DUMMYFUNCTION("""COMPUTED_VALUE"""),"125g")</f>
        <v>125g</v>
      </c>
      <c r="L144" s="69">
        <f>IFERROR(__xludf.DUMMYFUNCTION("""COMPUTED_VALUE"""),125.0)</f>
        <v>125</v>
      </c>
      <c r="M144" s="69" t="str">
        <f>IFERROR(__xludf.DUMMYFUNCTION("""COMPUTED_VALUE"""),"75g")</f>
        <v>75g</v>
      </c>
      <c r="N144" s="69" t="str">
        <f>IFERROR(__xludf.DUMMYFUNCTION("""COMPUTED_VALUE"""),"80x")</f>
        <v>80x</v>
      </c>
      <c r="O144" s="69" t="str">
        <f>IFERROR(__xludf.DUMMYFUNCTION("""COMPUTED_VALUE"""),"80g")</f>
        <v>80g</v>
      </c>
      <c r="P144" s="69">
        <f>IFERROR(__xludf.DUMMYFUNCTION("""COMPUTED_VALUE"""),80.0)</f>
        <v>80</v>
      </c>
      <c r="Q144" s="69" t="str">
        <f>IFERROR(__xludf.DUMMYFUNCTION("""COMPUTED_VALUE"""),"165g")</f>
        <v>165g</v>
      </c>
      <c r="R144" s="69" t="str">
        <f>IFERROR(__xludf.DUMMYFUNCTION("""COMPUTED_VALUE"""),"185g")</f>
        <v>185g</v>
      </c>
      <c r="S144" s="69" t="str">
        <f>IFERROR(__xludf.DUMMYFUNCTION("""COMPUTED_VALUE"""),"205g")</f>
        <v>205g</v>
      </c>
      <c r="T144" s="69">
        <f>IFERROR(__xludf.DUMMYFUNCTION("""COMPUTED_VALUE"""),205.0)</f>
        <v>205</v>
      </c>
      <c r="U144" s="69">
        <f>IFERROR(__xludf.DUMMYFUNCTION("""COMPUTED_VALUE"""),410.0)</f>
        <v>410</v>
      </c>
      <c r="V144" s="183">
        <f>IFERROR(__xludf.DUMMYFUNCTION("""COMPUTED_VALUE"""),2.7009222661396572)</f>
        <v>2.700922266</v>
      </c>
      <c r="W144" s="156">
        <f>IFERROR(__xludf.DUMMYFUNCTION("""COMPUTED_VALUE"""),8.0)</f>
        <v>8</v>
      </c>
      <c r="X144" s="156"/>
      <c r="Y144" s="156"/>
    </row>
    <row r="145">
      <c r="B145" s="68" t="s">
        <v>551</v>
      </c>
      <c r="C145" s="68">
        <v>0.0</v>
      </c>
      <c r="D145" s="68" t="str">
        <f>IFERROR(__xludf.DUMMYFUNCTION("""COMPUTED_VALUE"""),"155 WJV")</f>
        <v>155 WJV</v>
      </c>
      <c r="E145" s="69" t="str">
        <f>IFERROR(__xludf.DUMMYFUNCTION("""COMPUTED_VALUE"""),"WJV")</f>
        <v>WJV</v>
      </c>
      <c r="F145" s="70" t="str">
        <f>IFERROR(__xludf.DUMMYFUNCTION("""COMPUTED_VALUE"""),"Central Montcalm")</f>
        <v>Central Montcalm</v>
      </c>
      <c r="G145" s="69">
        <f>IFERROR(__xludf.DUMMYFUNCTION("""COMPUTED_VALUE"""),151.4)</f>
        <v>151.4</v>
      </c>
      <c r="H145" s="70" t="str">
        <f>IFERROR(__xludf.DUMMYFUNCTION("""COMPUTED_VALUE"""),"Olger, Lindsey")</f>
        <v>Olger, Lindsey</v>
      </c>
      <c r="I145" s="71" t="str">
        <f>IFERROR(__xludf.DUMMYFUNCTION("""COMPUTED_VALUE"""),"100g")</f>
        <v>100g</v>
      </c>
      <c r="J145" s="69" t="str">
        <f>IFERROR(__xludf.DUMMYFUNCTION("""COMPUTED_VALUE"""),"115g")</f>
        <v>115g</v>
      </c>
      <c r="K145" s="69" t="str">
        <f>IFERROR(__xludf.DUMMYFUNCTION("""COMPUTED_VALUE"""),"125x")</f>
        <v>125x</v>
      </c>
      <c r="L145" s="69">
        <f>IFERROR(__xludf.DUMMYFUNCTION("""COMPUTED_VALUE"""),115.0)</f>
        <v>115</v>
      </c>
      <c r="M145" s="69" t="str">
        <f>IFERROR(__xludf.DUMMYFUNCTION("""COMPUTED_VALUE"""),"70g")</f>
        <v>70g</v>
      </c>
      <c r="N145" s="69" t="str">
        <f>IFERROR(__xludf.DUMMYFUNCTION("""COMPUTED_VALUE"""),"75g")</f>
        <v>75g</v>
      </c>
      <c r="O145" s="69" t="str">
        <f>IFERROR(__xludf.DUMMYFUNCTION("""COMPUTED_VALUE"""),"80x")</f>
        <v>80x</v>
      </c>
      <c r="P145" s="69">
        <f>IFERROR(__xludf.DUMMYFUNCTION("""COMPUTED_VALUE"""),75.0)</f>
        <v>75</v>
      </c>
      <c r="Q145" s="69" t="str">
        <f>IFERROR(__xludf.DUMMYFUNCTION("""COMPUTED_VALUE"""),"185x")</f>
        <v>185x</v>
      </c>
      <c r="R145" s="69" t="str">
        <f>IFERROR(__xludf.DUMMYFUNCTION("""COMPUTED_VALUE"""),"205x")</f>
        <v>205x</v>
      </c>
      <c r="S145" s="69" t="str">
        <f>IFERROR(__xludf.DUMMYFUNCTION("""COMPUTED_VALUE"""),"215x")</f>
        <v>215x</v>
      </c>
      <c r="T145" s="69">
        <f>IFERROR(__xludf.DUMMYFUNCTION("""COMPUTED_VALUE"""),0.0)</f>
        <v>0</v>
      </c>
      <c r="U145" s="69">
        <f>IFERROR(__xludf.DUMMYFUNCTION("""COMPUTED_VALUE"""),0.0)</f>
        <v>0</v>
      </c>
      <c r="V145" s="183">
        <f>IFERROR(__xludf.DUMMYFUNCTION("""COMPUTED_VALUE"""),0.0)</f>
        <v>0</v>
      </c>
      <c r="W145" s="156">
        <f>IFERROR(__xludf.DUMMYFUNCTION("""COMPUTED_VALUE"""),4.0)</f>
        <v>4</v>
      </c>
      <c r="X145" s="156"/>
      <c r="Y145" s="156"/>
    </row>
    <row r="146">
      <c r="A146" s="58">
        <v>165.0</v>
      </c>
      <c r="B146" s="157" t="s">
        <v>120</v>
      </c>
      <c r="C146" s="157">
        <v>12.0</v>
      </c>
      <c r="D146" s="157" t="str">
        <f>IFERROR(__xludf.DUMMYFUNCTION("ARRAY_CONSTRAIN(filter('All Platforms'!A3:T1802,'All Platforms'!A3:A1802=""165 WJV""),20,20)"),"165 WJV")</f>
        <v>165 WJV</v>
      </c>
      <c r="E146" s="64" t="str">
        <f>IFERROR(__xludf.DUMMYFUNCTION("""COMPUTED_VALUE"""),"WJV")</f>
        <v>WJV</v>
      </c>
      <c r="F146" s="158" t="str">
        <f>IFERROR(__xludf.DUMMYFUNCTION("""COMPUTED_VALUE"""),"Grand Blanc")</f>
        <v>Grand Blanc</v>
      </c>
      <c r="G146" s="64">
        <f>IFERROR(__xludf.DUMMYFUNCTION("""COMPUTED_VALUE"""),163.9)</f>
        <v>163.9</v>
      </c>
      <c r="H146" s="158" t="str">
        <f>IFERROR(__xludf.DUMMYFUNCTION("""COMPUTED_VALUE"""),"Petiprin, Annie")</f>
        <v>Petiprin, Annie</v>
      </c>
      <c r="I146" s="159" t="str">
        <f>IFERROR(__xludf.DUMMYFUNCTION("""COMPUTED_VALUE"""),"205g")</f>
        <v>205g</v>
      </c>
      <c r="J146" s="64" t="str">
        <f>IFERROR(__xludf.DUMMYFUNCTION("""COMPUTED_VALUE"""),"225g")</f>
        <v>225g</v>
      </c>
      <c r="K146" s="64" t="str">
        <f>IFERROR(__xludf.DUMMYFUNCTION("""COMPUTED_VALUE"""),"245g")</f>
        <v>245g</v>
      </c>
      <c r="L146" s="64">
        <f>IFERROR(__xludf.DUMMYFUNCTION("""COMPUTED_VALUE"""),245.0)</f>
        <v>245</v>
      </c>
      <c r="M146" s="64" t="str">
        <f>IFERROR(__xludf.DUMMYFUNCTION("""COMPUTED_VALUE"""),"85g")</f>
        <v>85g</v>
      </c>
      <c r="N146" s="64" t="str">
        <f>IFERROR(__xludf.DUMMYFUNCTION("""COMPUTED_VALUE"""),"105g")</f>
        <v>105g</v>
      </c>
      <c r="O146" s="64" t="str">
        <f>IFERROR(__xludf.DUMMYFUNCTION("""COMPUTED_VALUE"""),"125x")</f>
        <v>125x</v>
      </c>
      <c r="P146" s="64">
        <f>IFERROR(__xludf.DUMMYFUNCTION("""COMPUTED_VALUE"""),105.0)</f>
        <v>105</v>
      </c>
      <c r="Q146" s="64" t="str">
        <f>IFERROR(__xludf.DUMMYFUNCTION("""COMPUTED_VALUE"""),"225g")</f>
        <v>225g</v>
      </c>
      <c r="R146" s="64" t="str">
        <f>IFERROR(__xludf.DUMMYFUNCTION("""COMPUTED_VALUE"""),"250g")</f>
        <v>250g</v>
      </c>
      <c r="S146" s="64" t="str">
        <f>IFERROR(__xludf.DUMMYFUNCTION("""COMPUTED_VALUE"""),"290g")</f>
        <v>290g</v>
      </c>
      <c r="T146" s="64">
        <f>IFERROR(__xludf.DUMMYFUNCTION("""COMPUTED_VALUE"""),290.0)</f>
        <v>290</v>
      </c>
      <c r="U146" s="64">
        <f>IFERROR(__xludf.DUMMYFUNCTION("""COMPUTED_VALUE"""),640.0)</f>
        <v>640</v>
      </c>
      <c r="V146" s="182">
        <f>IFERROR(__xludf.DUMMYFUNCTION("""COMPUTED_VALUE"""),3.9048200122025625)</f>
        <v>3.904820012</v>
      </c>
      <c r="W146" s="57">
        <f>IFERROR(__xludf.DUMMYFUNCTION("""COMPUTED_VALUE"""),8.0)</f>
        <v>8</v>
      </c>
      <c r="X146" s="57"/>
      <c r="Y146" s="57"/>
    </row>
    <row r="147">
      <c r="B147" s="157" t="s">
        <v>121</v>
      </c>
      <c r="C147" s="157">
        <v>9.0</v>
      </c>
      <c r="D147" s="157" t="str">
        <f>IFERROR(__xludf.DUMMYFUNCTION("""COMPUTED_VALUE"""),"165 WJV")</f>
        <v>165 WJV</v>
      </c>
      <c r="E147" s="64" t="str">
        <f>IFERROR(__xludf.DUMMYFUNCTION("""COMPUTED_VALUE"""),"WJV")</f>
        <v>WJV</v>
      </c>
      <c r="F147" s="158" t="str">
        <f>IFERROR(__xludf.DUMMYFUNCTION("""COMPUTED_VALUE"""),"Central Lake")</f>
        <v>Central Lake</v>
      </c>
      <c r="G147" s="64">
        <f>IFERROR(__xludf.DUMMYFUNCTION("""COMPUTED_VALUE"""),163.4)</f>
        <v>163.4</v>
      </c>
      <c r="H147" s="158" t="str">
        <f>IFERROR(__xludf.DUMMYFUNCTION("""COMPUTED_VALUE"""),"Shaw, Angel")</f>
        <v>Shaw, Angel</v>
      </c>
      <c r="I147" s="159" t="str">
        <f>IFERROR(__xludf.DUMMYFUNCTION("""COMPUTED_VALUE"""),"195g")</f>
        <v>195g</v>
      </c>
      <c r="J147" s="64" t="str">
        <f>IFERROR(__xludf.DUMMYFUNCTION("""COMPUTED_VALUE"""),"210g")</f>
        <v>210g</v>
      </c>
      <c r="K147" s="64" t="str">
        <f>IFERROR(__xludf.DUMMYFUNCTION("""COMPUTED_VALUE"""),"220x")</f>
        <v>220x</v>
      </c>
      <c r="L147" s="64">
        <f>IFERROR(__xludf.DUMMYFUNCTION("""COMPUTED_VALUE"""),210.0)</f>
        <v>210</v>
      </c>
      <c r="M147" s="64" t="str">
        <f>IFERROR(__xludf.DUMMYFUNCTION("""COMPUTED_VALUE"""),"115g")</f>
        <v>115g</v>
      </c>
      <c r="N147" s="64" t="str">
        <f>IFERROR(__xludf.DUMMYFUNCTION("""COMPUTED_VALUE"""),"125g")</f>
        <v>125g</v>
      </c>
      <c r="O147" s="64" t="str">
        <f>IFERROR(__xludf.DUMMYFUNCTION("""COMPUTED_VALUE"""),"130x")</f>
        <v>130x</v>
      </c>
      <c r="P147" s="64">
        <f>IFERROR(__xludf.DUMMYFUNCTION("""COMPUTED_VALUE"""),125.0)</f>
        <v>125</v>
      </c>
      <c r="Q147" s="64" t="str">
        <f>IFERROR(__xludf.DUMMYFUNCTION("""COMPUTED_VALUE"""),"250g")</f>
        <v>250g</v>
      </c>
      <c r="R147" s="64" t="str">
        <f>IFERROR(__xludf.DUMMYFUNCTION("""COMPUTED_VALUE"""),"270g")</f>
        <v>270g</v>
      </c>
      <c r="S147" s="64" t="str">
        <f>IFERROR(__xludf.DUMMYFUNCTION("""COMPUTED_VALUE"""),"285g")</f>
        <v>285g</v>
      </c>
      <c r="T147" s="64">
        <f>IFERROR(__xludf.DUMMYFUNCTION("""COMPUTED_VALUE"""),285.0)</f>
        <v>285</v>
      </c>
      <c r="U147" s="64">
        <f>IFERROR(__xludf.DUMMYFUNCTION("""COMPUTED_VALUE"""),620.0)</f>
        <v>620</v>
      </c>
      <c r="V147" s="182">
        <f>IFERROR(__xludf.DUMMYFUNCTION("""COMPUTED_VALUE"""),3.7943696450428397)</f>
        <v>3.794369645</v>
      </c>
      <c r="W147" s="57">
        <f>IFERROR(__xludf.DUMMYFUNCTION("""COMPUTED_VALUE"""),7.0)</f>
        <v>7</v>
      </c>
      <c r="X147" s="57"/>
      <c r="Y147" s="57"/>
    </row>
    <row r="148">
      <c r="B148" s="157" t="s">
        <v>122</v>
      </c>
      <c r="C148" s="157">
        <f>if(countif(F146:F147,F148)&gt;1,0,8)</f>
        <v>8</v>
      </c>
      <c r="D148" s="157" t="str">
        <f>IFERROR(__xludf.DUMMYFUNCTION("""COMPUTED_VALUE"""),"165 WJV")</f>
        <v>165 WJV</v>
      </c>
      <c r="E148" s="64" t="str">
        <f>IFERROR(__xludf.DUMMYFUNCTION("""COMPUTED_VALUE"""),"WJV")</f>
        <v>WJV</v>
      </c>
      <c r="F148" s="158" t="str">
        <f>IFERROR(__xludf.DUMMYFUNCTION("""COMPUTED_VALUE"""),"Davison")</f>
        <v>Davison</v>
      </c>
      <c r="G148" s="64">
        <f>IFERROR(__xludf.DUMMYFUNCTION("""COMPUTED_VALUE"""),155.6)</f>
        <v>155.6</v>
      </c>
      <c r="H148" s="158" t="str">
        <f>IFERROR(__xludf.DUMMYFUNCTION("""COMPUTED_VALUE"""),"Schmidt, Jessica")</f>
        <v>Schmidt, Jessica</v>
      </c>
      <c r="I148" s="159" t="str">
        <f>IFERROR(__xludf.DUMMYFUNCTION("""COMPUTED_VALUE"""),"215g")</f>
        <v>215g</v>
      </c>
      <c r="J148" s="64" t="str">
        <f>IFERROR(__xludf.DUMMYFUNCTION("""COMPUTED_VALUE"""),"225g")</f>
        <v>225g</v>
      </c>
      <c r="K148" s="64" t="str">
        <f>IFERROR(__xludf.DUMMYFUNCTION("""COMPUTED_VALUE"""),"235x")</f>
        <v>235x</v>
      </c>
      <c r="L148" s="64">
        <f>IFERROR(__xludf.DUMMYFUNCTION("""COMPUTED_VALUE"""),225.0)</f>
        <v>225</v>
      </c>
      <c r="M148" s="64" t="str">
        <f>IFERROR(__xludf.DUMMYFUNCTION("""COMPUTED_VALUE"""),"115g")</f>
        <v>115g</v>
      </c>
      <c r="N148" s="64" t="str">
        <f>IFERROR(__xludf.DUMMYFUNCTION("""COMPUTED_VALUE"""),"125g")</f>
        <v>125g</v>
      </c>
      <c r="O148" s="64" t="str">
        <f>IFERROR(__xludf.DUMMYFUNCTION("""COMPUTED_VALUE"""),"135x")</f>
        <v>135x</v>
      </c>
      <c r="P148" s="64">
        <f>IFERROR(__xludf.DUMMYFUNCTION("""COMPUTED_VALUE"""),125.0)</f>
        <v>125</v>
      </c>
      <c r="Q148" s="64" t="str">
        <f>IFERROR(__xludf.DUMMYFUNCTION("""COMPUTED_VALUE"""),"225g")</f>
        <v>225g</v>
      </c>
      <c r="R148" s="64" t="str">
        <f>IFERROR(__xludf.DUMMYFUNCTION("""COMPUTED_VALUE"""),"250g")</f>
        <v>250g</v>
      </c>
      <c r="S148" s="64" t="str">
        <f>IFERROR(__xludf.DUMMYFUNCTION("""COMPUTED_VALUE"""),"280x")</f>
        <v>280x</v>
      </c>
      <c r="T148" s="64">
        <f>IFERROR(__xludf.DUMMYFUNCTION("""COMPUTED_VALUE"""),250.0)</f>
        <v>250</v>
      </c>
      <c r="U148" s="64">
        <f>IFERROR(__xludf.DUMMYFUNCTION("""COMPUTED_VALUE"""),600.0)</f>
        <v>600</v>
      </c>
      <c r="V148" s="182">
        <f>IFERROR(__xludf.DUMMYFUNCTION("""COMPUTED_VALUE"""),3.856041131105399)</f>
        <v>3.856041131</v>
      </c>
      <c r="W148" s="57">
        <f>IFERROR(__xludf.DUMMYFUNCTION("""COMPUTED_VALUE"""),6.0)</f>
        <v>6</v>
      </c>
      <c r="X148" s="57"/>
      <c r="Y148" s="57"/>
    </row>
    <row r="149">
      <c r="B149" s="157" t="s">
        <v>123</v>
      </c>
      <c r="C149" s="157">
        <f>if(countif(F146:F148,F149)&gt;1,0,7)</f>
        <v>7</v>
      </c>
      <c r="D149" s="157" t="str">
        <f>IFERROR(__xludf.DUMMYFUNCTION("""COMPUTED_VALUE"""),"165 WJV")</f>
        <v>165 WJV</v>
      </c>
      <c r="E149" s="64" t="str">
        <f>IFERROR(__xludf.DUMMYFUNCTION("""COMPUTED_VALUE"""),"WJV")</f>
        <v>WJV</v>
      </c>
      <c r="F149" s="158" t="str">
        <f>IFERROR(__xludf.DUMMYFUNCTION("""COMPUTED_VALUE"""),"Cros-Lex")</f>
        <v>Cros-Lex</v>
      </c>
      <c r="G149" s="64">
        <f>IFERROR(__xludf.DUMMYFUNCTION("""COMPUTED_VALUE"""),161.8)</f>
        <v>161.8</v>
      </c>
      <c r="H149" s="158" t="str">
        <f>IFERROR(__xludf.DUMMYFUNCTION("""COMPUTED_VALUE"""),"VanCamp, Julie")</f>
        <v>VanCamp, Julie</v>
      </c>
      <c r="I149" s="159" t="str">
        <f>IFERROR(__xludf.DUMMYFUNCTION("""COMPUTED_VALUE"""),"230g")</f>
        <v>230g</v>
      </c>
      <c r="J149" s="64" t="str">
        <f>IFERROR(__xludf.DUMMYFUNCTION("""COMPUTED_VALUE"""),"245g")</f>
        <v>245g</v>
      </c>
      <c r="K149" s="64" t="str">
        <f>IFERROR(__xludf.DUMMYFUNCTION("""COMPUTED_VALUE"""),"260x")</f>
        <v>260x</v>
      </c>
      <c r="L149" s="64">
        <f>IFERROR(__xludf.DUMMYFUNCTION("""COMPUTED_VALUE"""),245.0)</f>
        <v>245</v>
      </c>
      <c r="M149" s="64" t="str">
        <f>IFERROR(__xludf.DUMMYFUNCTION("""COMPUTED_VALUE"""),"100g")</f>
        <v>100g</v>
      </c>
      <c r="N149" s="64" t="str">
        <f>IFERROR(__xludf.DUMMYFUNCTION("""COMPUTED_VALUE"""),"110x")</f>
        <v>110x</v>
      </c>
      <c r="O149" s="64" t="str">
        <f>IFERROR(__xludf.DUMMYFUNCTION("""COMPUTED_VALUE"""),"110x")</f>
        <v>110x</v>
      </c>
      <c r="P149" s="64">
        <f>IFERROR(__xludf.DUMMYFUNCTION("""COMPUTED_VALUE"""),100.0)</f>
        <v>100</v>
      </c>
      <c r="Q149" s="64" t="str">
        <f>IFERROR(__xludf.DUMMYFUNCTION("""COMPUTED_VALUE"""),"220g")</f>
        <v>220g</v>
      </c>
      <c r="R149" s="64" t="str">
        <f>IFERROR(__xludf.DUMMYFUNCTION("""COMPUTED_VALUE"""),"235x")</f>
        <v>235x</v>
      </c>
      <c r="S149" s="64" t="str">
        <f>IFERROR(__xludf.DUMMYFUNCTION("""COMPUTED_VALUE"""),"235g")</f>
        <v>235g</v>
      </c>
      <c r="T149" s="64">
        <f>IFERROR(__xludf.DUMMYFUNCTION("""COMPUTED_VALUE"""),235.0)</f>
        <v>235</v>
      </c>
      <c r="U149" s="64">
        <f>IFERROR(__xludf.DUMMYFUNCTION("""COMPUTED_VALUE"""),580.0)</f>
        <v>580</v>
      </c>
      <c r="V149" s="182">
        <f>IFERROR(__xludf.DUMMYFUNCTION("""COMPUTED_VALUE"""),3.584672435105068)</f>
        <v>3.584672435</v>
      </c>
      <c r="W149" s="57">
        <f>IFERROR(__xludf.DUMMYFUNCTION("""COMPUTED_VALUE"""),5.0)</f>
        <v>5</v>
      </c>
      <c r="X149" s="57"/>
      <c r="Y149" s="57"/>
    </row>
    <row r="150">
      <c r="B150" s="157" t="s">
        <v>124</v>
      </c>
      <c r="C150" s="157">
        <f>if(countif(F146:F149,F150)&gt;1,0,6)</f>
        <v>6</v>
      </c>
      <c r="D150" s="157" t="str">
        <f>IFERROR(__xludf.DUMMYFUNCTION("""COMPUTED_VALUE"""),"165 WJV")</f>
        <v>165 WJV</v>
      </c>
      <c r="E150" s="64" t="str">
        <f>IFERROR(__xludf.DUMMYFUNCTION("""COMPUTED_VALUE"""),"WJV")</f>
        <v>WJV</v>
      </c>
      <c r="F150" s="158" t="str">
        <f>IFERROR(__xludf.DUMMYFUNCTION("""COMPUTED_VALUE"""),"Central Montcalm")</f>
        <v>Central Montcalm</v>
      </c>
      <c r="G150" s="64">
        <f>IFERROR(__xludf.DUMMYFUNCTION("""COMPUTED_VALUE"""),162.8)</f>
        <v>162.8</v>
      </c>
      <c r="H150" s="158" t="str">
        <f>IFERROR(__xludf.DUMMYFUNCTION("""COMPUTED_VALUE"""),"Hoover, Lauren")</f>
        <v>Hoover, Lauren</v>
      </c>
      <c r="I150" s="159" t="str">
        <f>IFERROR(__xludf.DUMMYFUNCTION("""COMPUTED_VALUE"""),"215x")</f>
        <v>215x</v>
      </c>
      <c r="J150" s="64" t="str">
        <f>IFERROR(__xludf.DUMMYFUNCTION("""COMPUTED_VALUE"""),"225g")</f>
        <v>225g</v>
      </c>
      <c r="K150" s="64" t="str">
        <f>IFERROR(__xludf.DUMMYFUNCTION("""COMPUTED_VALUE"""),"230g")</f>
        <v>230g</v>
      </c>
      <c r="L150" s="64">
        <f>IFERROR(__xludf.DUMMYFUNCTION("""COMPUTED_VALUE"""),230.0)</f>
        <v>230</v>
      </c>
      <c r="M150" s="64" t="str">
        <f>IFERROR(__xludf.DUMMYFUNCTION("""COMPUTED_VALUE"""),"85g")</f>
        <v>85g</v>
      </c>
      <c r="N150" s="64" t="str">
        <f>IFERROR(__xludf.DUMMYFUNCTION("""COMPUTED_VALUE"""),"90g")</f>
        <v>90g</v>
      </c>
      <c r="O150" s="64" t="str">
        <f>IFERROR(__xludf.DUMMYFUNCTION("""COMPUTED_VALUE"""),"95g")</f>
        <v>95g</v>
      </c>
      <c r="P150" s="64">
        <f>IFERROR(__xludf.DUMMYFUNCTION("""COMPUTED_VALUE"""),95.0)</f>
        <v>95</v>
      </c>
      <c r="Q150" s="64" t="str">
        <f>IFERROR(__xludf.DUMMYFUNCTION("""COMPUTED_VALUE"""),"215g")</f>
        <v>215g</v>
      </c>
      <c r="R150" s="64" t="str">
        <f>IFERROR(__xludf.DUMMYFUNCTION("""COMPUTED_VALUE"""),"235g")</f>
        <v>235g</v>
      </c>
      <c r="S150" s="64" t="str">
        <f>IFERROR(__xludf.DUMMYFUNCTION("""COMPUTED_VALUE"""),"255g")</f>
        <v>255g</v>
      </c>
      <c r="T150" s="64">
        <f>IFERROR(__xludf.DUMMYFUNCTION("""COMPUTED_VALUE"""),255.0)</f>
        <v>255</v>
      </c>
      <c r="U150" s="64">
        <f>IFERROR(__xludf.DUMMYFUNCTION("""COMPUTED_VALUE"""),580.0)</f>
        <v>580</v>
      </c>
      <c r="V150" s="182">
        <f>IFERROR(__xludf.DUMMYFUNCTION("""COMPUTED_VALUE"""),3.5626535626535625)</f>
        <v>3.562653563</v>
      </c>
      <c r="W150" s="57">
        <f>IFERROR(__xludf.DUMMYFUNCTION("""COMPUTED_VALUE"""),8.0)</f>
        <v>8</v>
      </c>
      <c r="X150" s="57"/>
      <c r="Y150" s="57"/>
    </row>
    <row r="151">
      <c r="B151" s="157" t="s">
        <v>125</v>
      </c>
      <c r="C151" s="157">
        <f>if(countif(F146:F150,F151)&gt;1,0,5)</f>
        <v>5</v>
      </c>
      <c r="D151" s="157" t="str">
        <f>IFERROR(__xludf.DUMMYFUNCTION("""COMPUTED_VALUE"""),"165 WJV")</f>
        <v>165 WJV</v>
      </c>
      <c r="E151" s="64" t="str">
        <f>IFERROR(__xludf.DUMMYFUNCTION("""COMPUTED_VALUE"""),"WJV")</f>
        <v>WJV</v>
      </c>
      <c r="F151" s="158" t="str">
        <f>IFERROR(__xludf.DUMMYFUNCTION("""COMPUTED_VALUE"""),"Lake Orion")</f>
        <v>Lake Orion</v>
      </c>
      <c r="G151" s="64">
        <f>IFERROR(__xludf.DUMMYFUNCTION("""COMPUTED_VALUE"""),158.0)</f>
        <v>158</v>
      </c>
      <c r="H151" s="158" t="str">
        <f>IFERROR(__xludf.DUMMYFUNCTION("""COMPUTED_VALUE"""),"Hoffman, Elizabeth")</f>
        <v>Hoffman, Elizabeth</v>
      </c>
      <c r="I151" s="159" t="str">
        <f>IFERROR(__xludf.DUMMYFUNCTION("""COMPUTED_VALUE"""),"180g")</f>
        <v>180g</v>
      </c>
      <c r="J151" s="64" t="str">
        <f>IFERROR(__xludf.DUMMYFUNCTION("""COMPUTED_VALUE"""),"190g")</f>
        <v>190g</v>
      </c>
      <c r="K151" s="64" t="str">
        <f>IFERROR(__xludf.DUMMYFUNCTION("""COMPUTED_VALUE"""),"200g")</f>
        <v>200g</v>
      </c>
      <c r="L151" s="64">
        <f>IFERROR(__xludf.DUMMYFUNCTION("""COMPUTED_VALUE"""),200.0)</f>
        <v>200</v>
      </c>
      <c r="M151" s="64" t="str">
        <f>IFERROR(__xludf.DUMMYFUNCTION("""COMPUTED_VALUE"""),"105x")</f>
        <v>105x</v>
      </c>
      <c r="N151" s="64" t="str">
        <f>IFERROR(__xludf.DUMMYFUNCTION("""COMPUTED_VALUE"""),"105g")</f>
        <v>105g</v>
      </c>
      <c r="O151" s="64" t="str">
        <f>IFERROR(__xludf.DUMMYFUNCTION("""COMPUTED_VALUE"""),"110g")</f>
        <v>110g</v>
      </c>
      <c r="P151" s="64">
        <f>IFERROR(__xludf.DUMMYFUNCTION("""COMPUTED_VALUE"""),110.0)</f>
        <v>110</v>
      </c>
      <c r="Q151" s="64" t="str">
        <f>IFERROR(__xludf.DUMMYFUNCTION("""COMPUTED_VALUE"""),"240g")</f>
        <v>240g</v>
      </c>
      <c r="R151" s="64" t="str">
        <f>IFERROR(__xludf.DUMMYFUNCTION("""COMPUTED_VALUE"""),"255g")</f>
        <v>255g</v>
      </c>
      <c r="S151" s="64" t="str">
        <f>IFERROR(__xludf.DUMMYFUNCTION("""COMPUTED_VALUE"""),"265g")</f>
        <v>265g</v>
      </c>
      <c r="T151" s="64">
        <f>IFERROR(__xludf.DUMMYFUNCTION("""COMPUTED_VALUE"""),265.0)</f>
        <v>265</v>
      </c>
      <c r="U151" s="64">
        <f>IFERROR(__xludf.DUMMYFUNCTION("""COMPUTED_VALUE"""),575.0)</f>
        <v>575</v>
      </c>
      <c r="V151" s="182">
        <f>IFERROR(__xludf.DUMMYFUNCTION("""COMPUTED_VALUE"""),3.6392405063291138)</f>
        <v>3.639240506</v>
      </c>
      <c r="W151" s="57">
        <f>IFERROR(__xludf.DUMMYFUNCTION("""COMPUTED_VALUE"""),8.0)</f>
        <v>8</v>
      </c>
      <c r="X151" s="57"/>
      <c r="Y151" s="57"/>
    </row>
    <row r="152">
      <c r="B152" s="157" t="s">
        <v>126</v>
      </c>
      <c r="C152" s="157">
        <f>if(countif(F146:F151,F152)&gt;1,0,4)</f>
        <v>4</v>
      </c>
      <c r="D152" s="157" t="str">
        <f>IFERROR(__xludf.DUMMYFUNCTION("""COMPUTED_VALUE"""),"165 WJV")</f>
        <v>165 WJV</v>
      </c>
      <c r="E152" s="64" t="str">
        <f>IFERROR(__xludf.DUMMYFUNCTION("""COMPUTED_VALUE"""),"WJV")</f>
        <v>WJV</v>
      </c>
      <c r="F152" s="158" t="str">
        <f>IFERROR(__xludf.DUMMYFUNCTION("""COMPUTED_VALUE"""),"Lake Orion")</f>
        <v>Lake Orion</v>
      </c>
      <c r="G152" s="64">
        <f>IFERROR(__xludf.DUMMYFUNCTION("""COMPUTED_VALUE"""),156.0)</f>
        <v>156</v>
      </c>
      <c r="H152" s="158" t="str">
        <f>IFERROR(__xludf.DUMMYFUNCTION("""COMPUTED_VALUE"""),"Nuss, Abby")</f>
        <v>Nuss, Abby</v>
      </c>
      <c r="I152" s="159" t="str">
        <f>IFERROR(__xludf.DUMMYFUNCTION("""COMPUTED_VALUE"""),"195g")</f>
        <v>195g</v>
      </c>
      <c r="J152" s="64" t="str">
        <f>IFERROR(__xludf.DUMMYFUNCTION("""COMPUTED_VALUE"""),"215g")</f>
        <v>215g</v>
      </c>
      <c r="K152" s="64" t="str">
        <f>IFERROR(__xludf.DUMMYFUNCTION("""COMPUTED_VALUE"""),"230x")</f>
        <v>230x</v>
      </c>
      <c r="L152" s="64">
        <f>IFERROR(__xludf.DUMMYFUNCTION("""COMPUTED_VALUE"""),215.0)</f>
        <v>215</v>
      </c>
      <c r="M152" s="64" t="str">
        <f>IFERROR(__xludf.DUMMYFUNCTION("""COMPUTED_VALUE"""),"85g")</f>
        <v>85g</v>
      </c>
      <c r="N152" s="64" t="str">
        <f>IFERROR(__xludf.DUMMYFUNCTION("""COMPUTED_VALUE"""),"90g")</f>
        <v>90g</v>
      </c>
      <c r="O152" s="64" t="str">
        <f>IFERROR(__xludf.DUMMYFUNCTION("""COMPUTED_VALUE"""),"95x")</f>
        <v>95x</v>
      </c>
      <c r="P152" s="64">
        <f>IFERROR(__xludf.DUMMYFUNCTION("""COMPUTED_VALUE"""),90.0)</f>
        <v>90</v>
      </c>
      <c r="Q152" s="64" t="str">
        <f>IFERROR(__xludf.DUMMYFUNCTION("""COMPUTED_VALUE"""),"225g")</f>
        <v>225g</v>
      </c>
      <c r="R152" s="64" t="str">
        <f>IFERROR(__xludf.DUMMYFUNCTION("""COMPUTED_VALUE"""),"250g")</f>
        <v>250g</v>
      </c>
      <c r="S152" s="64" t="str">
        <f>IFERROR(__xludf.DUMMYFUNCTION("""COMPUTED_VALUE"""),"260g")</f>
        <v>260g</v>
      </c>
      <c r="T152" s="64">
        <f>IFERROR(__xludf.DUMMYFUNCTION("""COMPUTED_VALUE"""),260.0)</f>
        <v>260</v>
      </c>
      <c r="U152" s="64">
        <f>IFERROR(__xludf.DUMMYFUNCTION("""COMPUTED_VALUE"""),565.0)</f>
        <v>565</v>
      </c>
      <c r="V152" s="182">
        <f>IFERROR(__xludf.DUMMYFUNCTION("""COMPUTED_VALUE"""),3.621794871794872)</f>
        <v>3.621794872</v>
      </c>
      <c r="W152" s="57">
        <f>IFERROR(__xludf.DUMMYFUNCTION("""COMPUTED_VALUE"""),7.0)</f>
        <v>7</v>
      </c>
      <c r="X152" s="57"/>
      <c r="Y152" s="57"/>
    </row>
    <row r="153">
      <c r="B153" s="157" t="s">
        <v>127</v>
      </c>
      <c r="C153" s="157">
        <f>if(countif(F146:F152,F153)&gt;1,0,3)</f>
        <v>3</v>
      </c>
      <c r="D153" s="157" t="str">
        <f>IFERROR(__xludf.DUMMYFUNCTION("""COMPUTED_VALUE"""),"165 WJV")</f>
        <v>165 WJV</v>
      </c>
      <c r="E153" s="64" t="str">
        <f>IFERROR(__xludf.DUMMYFUNCTION("""COMPUTED_VALUE"""),"WJV")</f>
        <v>WJV</v>
      </c>
      <c r="F153" s="158" t="str">
        <f>IFERROR(__xludf.DUMMYFUNCTION("""COMPUTED_VALUE"""),"Birch Run")</f>
        <v>Birch Run</v>
      </c>
      <c r="G153" s="64">
        <f>IFERROR(__xludf.DUMMYFUNCTION("""COMPUTED_VALUE"""),161.0)</f>
        <v>161</v>
      </c>
      <c r="H153" s="158" t="str">
        <f>IFERROR(__xludf.DUMMYFUNCTION("""COMPUTED_VALUE"""),"Konsdorf, Destiny")</f>
        <v>Konsdorf, Destiny</v>
      </c>
      <c r="I153" s="159" t="str">
        <f>IFERROR(__xludf.DUMMYFUNCTION("""COMPUTED_VALUE"""),"210g")</f>
        <v>210g</v>
      </c>
      <c r="J153" s="64" t="str">
        <f>IFERROR(__xludf.DUMMYFUNCTION("""COMPUTED_VALUE"""),"220x")</f>
        <v>220x</v>
      </c>
      <c r="K153" s="64" t="str">
        <f>IFERROR(__xludf.DUMMYFUNCTION("""COMPUTED_VALUE"""),"215g")</f>
        <v>215g</v>
      </c>
      <c r="L153" s="64">
        <f>IFERROR(__xludf.DUMMYFUNCTION("""COMPUTED_VALUE"""),215.0)</f>
        <v>215</v>
      </c>
      <c r="M153" s="64" t="str">
        <f>IFERROR(__xludf.DUMMYFUNCTION("""COMPUTED_VALUE"""),"95g")</f>
        <v>95g</v>
      </c>
      <c r="N153" s="64" t="str">
        <f>IFERROR(__xludf.DUMMYFUNCTION("""COMPUTED_VALUE"""),"105g")</f>
        <v>105g</v>
      </c>
      <c r="O153" s="64" t="str">
        <f>IFERROR(__xludf.DUMMYFUNCTION("""COMPUTED_VALUE"""),"115x")</f>
        <v>115x</v>
      </c>
      <c r="P153" s="64">
        <f>IFERROR(__xludf.DUMMYFUNCTION("""COMPUTED_VALUE"""),105.0)</f>
        <v>105</v>
      </c>
      <c r="Q153" s="64" t="str">
        <f>IFERROR(__xludf.DUMMYFUNCTION("""COMPUTED_VALUE"""),"195g")</f>
        <v>195g</v>
      </c>
      <c r="R153" s="64" t="str">
        <f>IFERROR(__xludf.DUMMYFUNCTION("""COMPUTED_VALUE"""),"215g")</f>
        <v>215g</v>
      </c>
      <c r="S153" s="64" t="str">
        <f>IFERROR(__xludf.DUMMYFUNCTION("""COMPUTED_VALUE"""),"235g")</f>
        <v>235g</v>
      </c>
      <c r="T153" s="64">
        <f>IFERROR(__xludf.DUMMYFUNCTION("""COMPUTED_VALUE"""),235.0)</f>
        <v>235</v>
      </c>
      <c r="U153" s="64">
        <f>IFERROR(__xludf.DUMMYFUNCTION("""COMPUTED_VALUE"""),555.0)</f>
        <v>555</v>
      </c>
      <c r="V153" s="182">
        <f>IFERROR(__xludf.DUMMYFUNCTION("""COMPUTED_VALUE"""),3.4472049689440993)</f>
        <v>3.447204969</v>
      </c>
      <c r="W153" s="57">
        <f>IFERROR(__xludf.DUMMYFUNCTION("""COMPUTED_VALUE"""),7.0)</f>
        <v>7</v>
      </c>
      <c r="X153" s="57"/>
      <c r="Y153" s="57"/>
    </row>
    <row r="154">
      <c r="B154" s="157" t="s">
        <v>128</v>
      </c>
      <c r="C154" s="157">
        <f>if(countif(F146:F153,F154)&gt;1,0,2)</f>
        <v>2</v>
      </c>
      <c r="D154" s="157" t="str">
        <f>IFERROR(__xludf.DUMMYFUNCTION("""COMPUTED_VALUE"""),"165 WJV")</f>
        <v>165 WJV</v>
      </c>
      <c r="E154" s="64" t="str">
        <f>IFERROR(__xludf.DUMMYFUNCTION("""COMPUTED_VALUE"""),"WJV")</f>
        <v>WJV</v>
      </c>
      <c r="F154" s="158" t="str">
        <f>IFERROR(__xludf.DUMMYFUNCTION("""COMPUTED_VALUE"""),"Royal Oak")</f>
        <v>Royal Oak</v>
      </c>
      <c r="G154" s="64">
        <f>IFERROR(__xludf.DUMMYFUNCTION("""COMPUTED_VALUE"""),162.8)</f>
        <v>162.8</v>
      </c>
      <c r="H154" s="158" t="str">
        <f>IFERROR(__xludf.DUMMYFUNCTION("""COMPUTED_VALUE"""),"Wardlaw, Alexa")</f>
        <v>Wardlaw, Alexa</v>
      </c>
      <c r="I154" s="159" t="str">
        <f>IFERROR(__xludf.DUMMYFUNCTION("""COMPUTED_VALUE"""),"185g")</f>
        <v>185g</v>
      </c>
      <c r="J154" s="64" t="str">
        <f>IFERROR(__xludf.DUMMYFUNCTION("""COMPUTED_VALUE"""),"200g")</f>
        <v>200g</v>
      </c>
      <c r="K154" s="64" t="str">
        <f>IFERROR(__xludf.DUMMYFUNCTION("""COMPUTED_VALUE"""),"210g")</f>
        <v>210g</v>
      </c>
      <c r="L154" s="64">
        <f>IFERROR(__xludf.DUMMYFUNCTION("""COMPUTED_VALUE"""),210.0)</f>
        <v>210</v>
      </c>
      <c r="M154" s="64" t="str">
        <f>IFERROR(__xludf.DUMMYFUNCTION("""COMPUTED_VALUE"""),"100g")</f>
        <v>100g</v>
      </c>
      <c r="N154" s="64" t="str">
        <f>IFERROR(__xludf.DUMMYFUNCTION("""COMPUTED_VALUE"""),"110g")</f>
        <v>110g</v>
      </c>
      <c r="O154" s="64" t="str">
        <f>IFERROR(__xludf.DUMMYFUNCTION("""COMPUTED_VALUE"""),"115x")</f>
        <v>115x</v>
      </c>
      <c r="P154" s="64">
        <f>IFERROR(__xludf.DUMMYFUNCTION("""COMPUTED_VALUE"""),110.0)</f>
        <v>110</v>
      </c>
      <c r="Q154" s="64" t="str">
        <f>IFERROR(__xludf.DUMMYFUNCTION("""COMPUTED_VALUE"""),"200g")</f>
        <v>200g</v>
      </c>
      <c r="R154" s="64" t="str">
        <f>IFERROR(__xludf.DUMMYFUNCTION("""COMPUTED_VALUE"""),"215g")</f>
        <v>215g</v>
      </c>
      <c r="S154" s="64" t="str">
        <f>IFERROR(__xludf.DUMMYFUNCTION("""COMPUTED_VALUE"""),"225g")</f>
        <v>225g</v>
      </c>
      <c r="T154" s="64">
        <f>IFERROR(__xludf.DUMMYFUNCTION("""COMPUTED_VALUE"""),225.0)</f>
        <v>225</v>
      </c>
      <c r="U154" s="64">
        <f>IFERROR(__xludf.DUMMYFUNCTION("""COMPUTED_VALUE"""),545.0)</f>
        <v>545</v>
      </c>
      <c r="V154" s="182">
        <f>IFERROR(__xludf.DUMMYFUNCTION("""COMPUTED_VALUE"""),3.3476658476658474)</f>
        <v>3.347665848</v>
      </c>
      <c r="W154" s="57">
        <f>IFERROR(__xludf.DUMMYFUNCTION("""COMPUTED_VALUE"""),8.0)</f>
        <v>8</v>
      </c>
      <c r="X154" s="57"/>
      <c r="Y154" s="57"/>
    </row>
    <row r="155">
      <c r="B155" s="157" t="s">
        <v>129</v>
      </c>
      <c r="C155" s="157">
        <f>if(countif(F146:F154,F155)&gt;1,0,1)</f>
        <v>1</v>
      </c>
      <c r="D155" s="157" t="str">
        <f>IFERROR(__xludf.DUMMYFUNCTION("""COMPUTED_VALUE"""),"165 WJV")</f>
        <v>165 WJV</v>
      </c>
      <c r="E155" s="64" t="str">
        <f>IFERROR(__xludf.DUMMYFUNCTION("""COMPUTED_VALUE"""),"WJV")</f>
        <v>WJV</v>
      </c>
      <c r="F155" s="158" t="str">
        <f>IFERROR(__xludf.DUMMYFUNCTION("""COMPUTED_VALUE"""),"Brighton")</f>
        <v>Brighton</v>
      </c>
      <c r="G155" s="64">
        <f>IFERROR(__xludf.DUMMYFUNCTION("""COMPUTED_VALUE"""),163.2)</f>
        <v>163.2</v>
      </c>
      <c r="H155" s="158" t="str">
        <f>IFERROR(__xludf.DUMMYFUNCTION("""COMPUTED_VALUE"""),"Cacicedo, Karly")</f>
        <v>Cacicedo, Karly</v>
      </c>
      <c r="I155" s="159" t="str">
        <f>IFERROR(__xludf.DUMMYFUNCTION("""COMPUTED_VALUE"""),"195g")</f>
        <v>195g</v>
      </c>
      <c r="J155" s="64" t="str">
        <f>IFERROR(__xludf.DUMMYFUNCTION("""COMPUTED_VALUE"""),"210x")</f>
        <v>210x</v>
      </c>
      <c r="K155" s="64" t="str">
        <f>IFERROR(__xludf.DUMMYFUNCTION("""COMPUTED_VALUE"""),"210g")</f>
        <v>210g</v>
      </c>
      <c r="L155" s="64">
        <f>IFERROR(__xludf.DUMMYFUNCTION("""COMPUTED_VALUE"""),210.0)</f>
        <v>210</v>
      </c>
      <c r="M155" s="64" t="str">
        <f>IFERROR(__xludf.DUMMYFUNCTION("""COMPUTED_VALUE"""),"95g")</f>
        <v>95g</v>
      </c>
      <c r="N155" s="64" t="str">
        <f>IFERROR(__xludf.DUMMYFUNCTION("""COMPUTED_VALUE"""),"105x")</f>
        <v>105x</v>
      </c>
      <c r="O155" s="64" t="str">
        <f>IFERROR(__xludf.DUMMYFUNCTION("""COMPUTED_VALUE"""),"105g")</f>
        <v>105g</v>
      </c>
      <c r="P155" s="64">
        <f>IFERROR(__xludf.DUMMYFUNCTION("""COMPUTED_VALUE"""),105.0)</f>
        <v>105</v>
      </c>
      <c r="Q155" s="64" t="str">
        <f>IFERROR(__xludf.DUMMYFUNCTION("""COMPUTED_VALUE"""),"210g")</f>
        <v>210g</v>
      </c>
      <c r="R155" s="64" t="str">
        <f>IFERROR(__xludf.DUMMYFUNCTION("""COMPUTED_VALUE"""),"230g")</f>
        <v>230g</v>
      </c>
      <c r="S155" s="64" t="str">
        <f>IFERROR(__xludf.DUMMYFUNCTION("""COMPUTED_VALUE"""),"240x")</f>
        <v>240x</v>
      </c>
      <c r="T155" s="64">
        <f>IFERROR(__xludf.DUMMYFUNCTION("""COMPUTED_VALUE"""),230.0)</f>
        <v>230</v>
      </c>
      <c r="U155" s="64">
        <f>IFERROR(__xludf.DUMMYFUNCTION("""COMPUTED_VALUE"""),545.0)</f>
        <v>545</v>
      </c>
      <c r="V155" s="182">
        <f>IFERROR(__xludf.DUMMYFUNCTION("""COMPUTED_VALUE"""),3.339460784313726)</f>
        <v>3.339460784</v>
      </c>
      <c r="W155" s="57">
        <f>IFERROR(__xludf.DUMMYFUNCTION("""COMPUTED_VALUE"""),6.0)</f>
        <v>6</v>
      </c>
      <c r="X155" s="57"/>
      <c r="Y155" s="57"/>
    </row>
    <row r="156">
      <c r="A156" s="67">
        <v>165.0</v>
      </c>
      <c r="B156" s="68" t="s">
        <v>542</v>
      </c>
      <c r="C156" s="68">
        <v>0.0</v>
      </c>
      <c r="D156" s="68" t="str">
        <f>IFERROR(__xludf.DUMMYFUNCTION("""COMPUTED_VALUE"""),"165 WJV")</f>
        <v>165 WJV</v>
      </c>
      <c r="E156" s="69" t="str">
        <f>IFERROR(__xludf.DUMMYFUNCTION("""COMPUTED_VALUE"""),"WJV")</f>
        <v>WJV</v>
      </c>
      <c r="F156" s="70" t="str">
        <f>IFERROR(__xludf.DUMMYFUNCTION("""COMPUTED_VALUE"""),"Lowell")</f>
        <v>Lowell</v>
      </c>
      <c r="G156" s="69">
        <f>IFERROR(__xludf.DUMMYFUNCTION("""COMPUTED_VALUE"""),159.6)</f>
        <v>159.6</v>
      </c>
      <c r="H156" s="70" t="str">
        <f>IFERROR(__xludf.DUMMYFUNCTION("""COMPUTED_VALUE"""),"Gates, Aleiha")</f>
        <v>Gates, Aleiha</v>
      </c>
      <c r="I156" s="71" t="str">
        <f>IFERROR(__xludf.DUMMYFUNCTION("""COMPUTED_VALUE"""),"185x")</f>
        <v>185x</v>
      </c>
      <c r="J156" s="69" t="str">
        <f>IFERROR(__xludf.DUMMYFUNCTION("""COMPUTED_VALUE"""),"205g")</f>
        <v>205g</v>
      </c>
      <c r="K156" s="69" t="str">
        <f>IFERROR(__xludf.DUMMYFUNCTION("""COMPUTED_VALUE"""),"215g")</f>
        <v>215g</v>
      </c>
      <c r="L156" s="69">
        <f>IFERROR(__xludf.DUMMYFUNCTION("""COMPUTED_VALUE"""),215.0)</f>
        <v>215</v>
      </c>
      <c r="M156" s="69" t="str">
        <f>IFERROR(__xludf.DUMMYFUNCTION("""COMPUTED_VALUE"""),"90g")</f>
        <v>90g</v>
      </c>
      <c r="N156" s="69" t="str">
        <f>IFERROR(__xludf.DUMMYFUNCTION("""COMPUTED_VALUE"""),"100g")</f>
        <v>100g</v>
      </c>
      <c r="O156" s="69" t="str">
        <f>IFERROR(__xludf.DUMMYFUNCTION("""COMPUTED_VALUE"""),"110x")</f>
        <v>110x</v>
      </c>
      <c r="P156" s="69">
        <f>IFERROR(__xludf.DUMMYFUNCTION("""COMPUTED_VALUE"""),100.0)</f>
        <v>100</v>
      </c>
      <c r="Q156" s="69" t="str">
        <f>IFERROR(__xludf.DUMMYFUNCTION("""COMPUTED_VALUE"""),"195g")</f>
        <v>195g</v>
      </c>
      <c r="R156" s="69" t="str">
        <f>IFERROR(__xludf.DUMMYFUNCTION("""COMPUTED_VALUE"""),"215g")</f>
        <v>215g</v>
      </c>
      <c r="S156" s="69" t="str">
        <f>IFERROR(__xludf.DUMMYFUNCTION("""COMPUTED_VALUE"""),"240x")</f>
        <v>240x</v>
      </c>
      <c r="T156" s="69">
        <f>IFERROR(__xludf.DUMMYFUNCTION("""COMPUTED_VALUE"""),215.0)</f>
        <v>215</v>
      </c>
      <c r="U156" s="69">
        <f>IFERROR(__xludf.DUMMYFUNCTION("""COMPUTED_VALUE"""),530.0)</f>
        <v>530</v>
      </c>
      <c r="V156" s="183">
        <f>IFERROR(__xludf.DUMMYFUNCTION("""COMPUTED_VALUE"""),3.3208020050125313)</f>
        <v>3.320802005</v>
      </c>
      <c r="W156" s="156">
        <f>IFERROR(__xludf.DUMMYFUNCTION("""COMPUTED_VALUE"""),6.0)</f>
        <v>6</v>
      </c>
      <c r="X156" s="156"/>
      <c r="Y156" s="156"/>
    </row>
    <row r="157">
      <c r="B157" s="68" t="s">
        <v>543</v>
      </c>
      <c r="C157" s="68">
        <v>0.0</v>
      </c>
      <c r="D157" s="68" t="str">
        <f>IFERROR(__xludf.DUMMYFUNCTION("""COMPUTED_VALUE"""),"165 WJV")</f>
        <v>165 WJV</v>
      </c>
      <c r="E157" s="69" t="str">
        <f>IFERROR(__xludf.DUMMYFUNCTION("""COMPUTED_VALUE"""),"WJV")</f>
        <v>WJV</v>
      </c>
      <c r="F157" s="70" t="str">
        <f>IFERROR(__xludf.DUMMYFUNCTION("""COMPUTED_VALUE"""),"Birch Run")</f>
        <v>Birch Run</v>
      </c>
      <c r="G157" s="69">
        <f>IFERROR(__xludf.DUMMYFUNCTION("""COMPUTED_VALUE"""),159.8)</f>
        <v>159.8</v>
      </c>
      <c r="H157" s="70" t="str">
        <f>IFERROR(__xludf.DUMMYFUNCTION("""COMPUTED_VALUE"""),"Aldrich, Bristel")</f>
        <v>Aldrich, Bristel</v>
      </c>
      <c r="I157" s="71" t="str">
        <f>IFERROR(__xludf.DUMMYFUNCTION("""COMPUTED_VALUE"""),"160g")</f>
        <v>160g</v>
      </c>
      <c r="J157" s="69" t="str">
        <f>IFERROR(__xludf.DUMMYFUNCTION("""COMPUTED_VALUE"""),"175g")</f>
        <v>175g</v>
      </c>
      <c r="K157" s="69" t="str">
        <f>IFERROR(__xludf.DUMMYFUNCTION("""COMPUTED_VALUE"""),"190x")</f>
        <v>190x</v>
      </c>
      <c r="L157" s="69">
        <f>IFERROR(__xludf.DUMMYFUNCTION("""COMPUTED_VALUE"""),175.0)</f>
        <v>175</v>
      </c>
      <c r="M157" s="69" t="str">
        <f>IFERROR(__xludf.DUMMYFUNCTION("""COMPUTED_VALUE"""),"80g")</f>
        <v>80g</v>
      </c>
      <c r="N157" s="69" t="str">
        <f>IFERROR(__xludf.DUMMYFUNCTION("""COMPUTED_VALUE"""),"90x")</f>
        <v>90x</v>
      </c>
      <c r="O157" s="69" t="str">
        <f>IFERROR(__xludf.DUMMYFUNCTION("""COMPUTED_VALUE"""),"90x")</f>
        <v>90x</v>
      </c>
      <c r="P157" s="69">
        <f>IFERROR(__xludf.DUMMYFUNCTION("""COMPUTED_VALUE"""),80.0)</f>
        <v>80</v>
      </c>
      <c r="Q157" s="69" t="str">
        <f>IFERROR(__xludf.DUMMYFUNCTION("""COMPUTED_VALUE"""),"220g")</f>
        <v>220g</v>
      </c>
      <c r="R157" s="69" t="str">
        <f>IFERROR(__xludf.DUMMYFUNCTION("""COMPUTED_VALUE"""),"240g")</f>
        <v>240g</v>
      </c>
      <c r="S157" s="69" t="str">
        <f>IFERROR(__xludf.DUMMYFUNCTION("""COMPUTED_VALUE"""),"255g")</f>
        <v>255g</v>
      </c>
      <c r="T157" s="69">
        <f>IFERROR(__xludf.DUMMYFUNCTION("""COMPUTED_VALUE"""),255.0)</f>
        <v>255</v>
      </c>
      <c r="U157" s="69">
        <f>IFERROR(__xludf.DUMMYFUNCTION("""COMPUTED_VALUE"""),510.0)</f>
        <v>510</v>
      </c>
      <c r="V157" s="183">
        <f>IFERROR(__xludf.DUMMYFUNCTION("""COMPUTED_VALUE"""),3.1914893617021276)</f>
        <v>3.191489362</v>
      </c>
      <c r="W157" s="156">
        <f>IFERROR(__xludf.DUMMYFUNCTION("""COMPUTED_VALUE"""),6.0)</f>
        <v>6</v>
      </c>
      <c r="X157" s="156"/>
      <c r="Y157" s="156"/>
    </row>
    <row r="158">
      <c r="B158" s="68" t="s">
        <v>544</v>
      </c>
      <c r="C158" s="68">
        <v>0.0</v>
      </c>
      <c r="D158" s="68" t="str">
        <f>IFERROR(__xludf.DUMMYFUNCTION("""COMPUTED_VALUE"""),"165 WJV")</f>
        <v>165 WJV</v>
      </c>
      <c r="E158" s="69" t="str">
        <f>IFERROR(__xludf.DUMMYFUNCTION("""COMPUTED_VALUE"""),"WJV")</f>
        <v>WJV</v>
      </c>
      <c r="F158" s="70" t="str">
        <f>IFERROR(__xludf.DUMMYFUNCTION("""COMPUTED_VALUE"""),"Flushing")</f>
        <v>Flushing</v>
      </c>
      <c r="G158" s="69">
        <f>IFERROR(__xludf.DUMMYFUNCTION("""COMPUTED_VALUE"""),156.4)</f>
        <v>156.4</v>
      </c>
      <c r="H158" s="70" t="str">
        <f>IFERROR(__xludf.DUMMYFUNCTION("""COMPUTED_VALUE"""),"Haley, Danielle")</f>
        <v>Haley, Danielle</v>
      </c>
      <c r="I158" s="71" t="str">
        <f>IFERROR(__xludf.DUMMYFUNCTION("""COMPUTED_VALUE"""),"140g")</f>
        <v>140g</v>
      </c>
      <c r="J158" s="69" t="str">
        <f>IFERROR(__xludf.DUMMYFUNCTION("""COMPUTED_VALUE"""),"150g")</f>
        <v>150g</v>
      </c>
      <c r="K158" s="69" t="str">
        <f>IFERROR(__xludf.DUMMYFUNCTION("""COMPUTED_VALUE"""),"160g")</f>
        <v>160g</v>
      </c>
      <c r="L158" s="69">
        <f>IFERROR(__xludf.DUMMYFUNCTION("""COMPUTED_VALUE"""),160.0)</f>
        <v>160</v>
      </c>
      <c r="M158" s="69" t="str">
        <f>IFERROR(__xludf.DUMMYFUNCTION("""COMPUTED_VALUE"""),"90g")</f>
        <v>90g</v>
      </c>
      <c r="N158" s="69" t="str">
        <f>IFERROR(__xludf.DUMMYFUNCTION("""COMPUTED_VALUE"""),"100g")</f>
        <v>100g</v>
      </c>
      <c r="O158" s="69" t="str">
        <f>IFERROR(__xludf.DUMMYFUNCTION("""COMPUTED_VALUE"""),"110g")</f>
        <v>110g</v>
      </c>
      <c r="P158" s="69">
        <f>IFERROR(__xludf.DUMMYFUNCTION("""COMPUTED_VALUE"""),110.0)</f>
        <v>110</v>
      </c>
      <c r="Q158" s="69" t="str">
        <f>IFERROR(__xludf.DUMMYFUNCTION("""COMPUTED_VALUE"""),"200g")</f>
        <v>200g</v>
      </c>
      <c r="R158" s="69" t="str">
        <f>IFERROR(__xludf.DUMMYFUNCTION("""COMPUTED_VALUE"""),"215g")</f>
        <v>215g</v>
      </c>
      <c r="S158" s="69" t="str">
        <f>IFERROR(__xludf.DUMMYFUNCTION("""COMPUTED_VALUE"""),"230g")</f>
        <v>230g</v>
      </c>
      <c r="T158" s="69">
        <f>IFERROR(__xludf.DUMMYFUNCTION("""COMPUTED_VALUE"""),230.0)</f>
        <v>230</v>
      </c>
      <c r="U158" s="69">
        <f>IFERROR(__xludf.DUMMYFUNCTION("""COMPUTED_VALUE"""),500.0)</f>
        <v>500</v>
      </c>
      <c r="V158" s="183">
        <f>IFERROR(__xludf.DUMMYFUNCTION("""COMPUTED_VALUE"""),3.19693094629156)</f>
        <v>3.196930946</v>
      </c>
      <c r="W158" s="156">
        <f>IFERROR(__xludf.DUMMYFUNCTION("""COMPUTED_VALUE"""),9.0)</f>
        <v>9</v>
      </c>
      <c r="X158" s="156"/>
      <c r="Y158" s="156"/>
    </row>
    <row r="159">
      <c r="B159" s="68" t="s">
        <v>545</v>
      </c>
      <c r="C159" s="68">
        <v>0.0</v>
      </c>
      <c r="D159" s="68" t="str">
        <f>IFERROR(__xludf.DUMMYFUNCTION("""COMPUTED_VALUE"""),"165 WJV")</f>
        <v>165 WJV</v>
      </c>
      <c r="E159" s="69" t="str">
        <f>IFERROR(__xludf.DUMMYFUNCTION("""COMPUTED_VALUE"""),"WJV")</f>
        <v>WJV</v>
      </c>
      <c r="F159" s="70" t="str">
        <f>IFERROR(__xludf.DUMMYFUNCTION("""COMPUTED_VALUE"""),"Grand Haven")</f>
        <v>Grand Haven</v>
      </c>
      <c r="G159" s="69">
        <f>IFERROR(__xludf.DUMMYFUNCTION("""COMPUTED_VALUE"""),158.2)</f>
        <v>158.2</v>
      </c>
      <c r="H159" s="70" t="str">
        <f>IFERROR(__xludf.DUMMYFUNCTION("""COMPUTED_VALUE"""),"Brackenberry, Chloe")</f>
        <v>Brackenberry, Chloe</v>
      </c>
      <c r="I159" s="71" t="str">
        <f>IFERROR(__xludf.DUMMYFUNCTION("""COMPUTED_VALUE"""),"150g")</f>
        <v>150g</v>
      </c>
      <c r="J159" s="69" t="str">
        <f>IFERROR(__xludf.DUMMYFUNCTION("""COMPUTED_VALUE"""),"175g")</f>
        <v>175g</v>
      </c>
      <c r="K159" s="69" t="str">
        <f>IFERROR(__xludf.DUMMYFUNCTION("""COMPUTED_VALUE"""),"190g")</f>
        <v>190g</v>
      </c>
      <c r="L159" s="69">
        <f>IFERROR(__xludf.DUMMYFUNCTION("""COMPUTED_VALUE"""),190.0)</f>
        <v>190</v>
      </c>
      <c r="M159" s="69" t="str">
        <f>IFERROR(__xludf.DUMMYFUNCTION("""COMPUTED_VALUE"""),"85g")</f>
        <v>85g</v>
      </c>
      <c r="N159" s="69" t="str">
        <f>IFERROR(__xludf.DUMMYFUNCTION("""COMPUTED_VALUE"""),"95g")</f>
        <v>95g</v>
      </c>
      <c r="O159" s="69" t="str">
        <f>IFERROR(__xludf.DUMMYFUNCTION("""COMPUTED_VALUE"""),"100x")</f>
        <v>100x</v>
      </c>
      <c r="P159" s="69">
        <f>IFERROR(__xludf.DUMMYFUNCTION("""COMPUTED_VALUE"""),95.0)</f>
        <v>95</v>
      </c>
      <c r="Q159" s="69" t="str">
        <f>IFERROR(__xludf.DUMMYFUNCTION("""COMPUTED_VALUE"""),"195g")</f>
        <v>195g</v>
      </c>
      <c r="R159" s="69" t="str">
        <f>IFERROR(__xludf.DUMMYFUNCTION("""COMPUTED_VALUE"""),"230x")</f>
        <v>230x</v>
      </c>
      <c r="S159" s="69" t="str">
        <f>IFERROR(__xludf.DUMMYFUNCTION("""COMPUTED_VALUE"""),"230x")</f>
        <v>230x</v>
      </c>
      <c r="T159" s="69">
        <f>IFERROR(__xludf.DUMMYFUNCTION("""COMPUTED_VALUE"""),195.0)</f>
        <v>195</v>
      </c>
      <c r="U159" s="69">
        <f>IFERROR(__xludf.DUMMYFUNCTION("""COMPUTED_VALUE"""),480.0)</f>
        <v>480</v>
      </c>
      <c r="V159" s="183">
        <f>IFERROR(__xludf.DUMMYFUNCTION("""COMPUTED_VALUE"""),3.0341340075853354)</f>
        <v>3.034134008</v>
      </c>
      <c r="W159" s="156">
        <f>IFERROR(__xludf.DUMMYFUNCTION("""COMPUTED_VALUE"""),6.0)</f>
        <v>6</v>
      </c>
      <c r="X159" s="156"/>
      <c r="Y159" s="156"/>
    </row>
    <row r="160">
      <c r="B160" s="68" t="s">
        <v>546</v>
      </c>
      <c r="C160" s="68">
        <v>0.0</v>
      </c>
      <c r="D160" s="68" t="str">
        <f>IFERROR(__xludf.DUMMYFUNCTION("""COMPUTED_VALUE"""),"165 WJV")</f>
        <v>165 WJV</v>
      </c>
      <c r="E160" s="69" t="str">
        <f>IFERROR(__xludf.DUMMYFUNCTION("""COMPUTED_VALUE"""),"WJV")</f>
        <v>WJV</v>
      </c>
      <c r="F160" s="70" t="str">
        <f>IFERROR(__xludf.DUMMYFUNCTION("""COMPUTED_VALUE"""),"Lake Orion")</f>
        <v>Lake Orion</v>
      </c>
      <c r="G160" s="69">
        <f>IFERROR(__xludf.DUMMYFUNCTION("""COMPUTED_VALUE"""),158.4)</f>
        <v>158.4</v>
      </c>
      <c r="H160" s="70" t="str">
        <f>IFERROR(__xludf.DUMMYFUNCTION("""COMPUTED_VALUE"""),"Eisenhardt, Ariel")</f>
        <v>Eisenhardt, Ariel</v>
      </c>
      <c r="I160" s="71" t="str">
        <f>IFERROR(__xludf.DUMMYFUNCTION("""COMPUTED_VALUE"""),"170g")</f>
        <v>170g</v>
      </c>
      <c r="J160" s="69" t="str">
        <f>IFERROR(__xludf.DUMMYFUNCTION("""COMPUTED_VALUE"""),"175g")</f>
        <v>175g</v>
      </c>
      <c r="K160" s="69" t="str">
        <f>IFERROR(__xludf.DUMMYFUNCTION("""COMPUTED_VALUE"""),"180x")</f>
        <v>180x</v>
      </c>
      <c r="L160" s="69">
        <f>IFERROR(__xludf.DUMMYFUNCTION("""COMPUTED_VALUE"""),175.0)</f>
        <v>175</v>
      </c>
      <c r="M160" s="69" t="str">
        <f>IFERROR(__xludf.DUMMYFUNCTION("""COMPUTED_VALUE"""),"90g")</f>
        <v>90g</v>
      </c>
      <c r="N160" s="69" t="str">
        <f>IFERROR(__xludf.DUMMYFUNCTION("""COMPUTED_VALUE"""),"100g")</f>
        <v>100g</v>
      </c>
      <c r="O160" s="69" t="str">
        <f>IFERROR(__xludf.DUMMYFUNCTION("""COMPUTED_VALUE"""),"105x")</f>
        <v>105x</v>
      </c>
      <c r="P160" s="69">
        <f>IFERROR(__xludf.DUMMYFUNCTION("""COMPUTED_VALUE"""),100.0)</f>
        <v>100</v>
      </c>
      <c r="Q160" s="69" t="str">
        <f>IFERROR(__xludf.DUMMYFUNCTION("""COMPUTED_VALUE"""),"180g")</f>
        <v>180g</v>
      </c>
      <c r="R160" s="69" t="str">
        <f>IFERROR(__xludf.DUMMYFUNCTION("""COMPUTED_VALUE"""),"185g")</f>
        <v>185g</v>
      </c>
      <c r="S160" s="69" t="str">
        <f>IFERROR(__xludf.DUMMYFUNCTION("""COMPUTED_VALUE"""),"195g")</f>
        <v>195g</v>
      </c>
      <c r="T160" s="69">
        <f>IFERROR(__xludf.DUMMYFUNCTION("""COMPUTED_VALUE"""),195.0)</f>
        <v>195</v>
      </c>
      <c r="U160" s="69">
        <f>IFERROR(__xludf.DUMMYFUNCTION("""COMPUTED_VALUE"""),470.0)</f>
        <v>470</v>
      </c>
      <c r="V160" s="183">
        <f>IFERROR(__xludf.DUMMYFUNCTION("""COMPUTED_VALUE"""),2.967171717171717)</f>
        <v>2.967171717</v>
      </c>
      <c r="W160" s="156">
        <f>IFERROR(__xludf.DUMMYFUNCTION("""COMPUTED_VALUE"""),7.0)</f>
        <v>7</v>
      </c>
      <c r="X160" s="156"/>
      <c r="Y160" s="156"/>
    </row>
    <row r="161">
      <c r="B161" s="68" t="s">
        <v>547</v>
      </c>
      <c r="C161" s="68">
        <v>0.0</v>
      </c>
      <c r="D161" s="68" t="str">
        <f>IFERROR(__xludf.DUMMYFUNCTION("""COMPUTED_VALUE"""),"165 WJV")</f>
        <v>165 WJV</v>
      </c>
      <c r="E161" s="69" t="str">
        <f>IFERROR(__xludf.DUMMYFUNCTION("""COMPUTED_VALUE"""),"WJV")</f>
        <v>WJV</v>
      </c>
      <c r="F161" s="70" t="str">
        <f>IFERROR(__xludf.DUMMYFUNCTION("""COMPUTED_VALUE"""),"Standish-Sterling")</f>
        <v>Standish-Sterling</v>
      </c>
      <c r="G161" s="69">
        <f>IFERROR(__xludf.DUMMYFUNCTION("""COMPUTED_VALUE"""),159.8)</f>
        <v>159.8</v>
      </c>
      <c r="H161" s="70" t="str">
        <f>IFERROR(__xludf.DUMMYFUNCTION("""COMPUTED_VALUE"""),"Jennings, Devri")</f>
        <v>Jennings, Devri</v>
      </c>
      <c r="I161" s="71" t="str">
        <f>IFERROR(__xludf.DUMMYFUNCTION("""COMPUTED_VALUE"""),"135g")</f>
        <v>135g</v>
      </c>
      <c r="J161" s="69" t="str">
        <f>IFERROR(__xludf.DUMMYFUNCTION("""COMPUTED_VALUE"""),"150g")</f>
        <v>150g</v>
      </c>
      <c r="K161" s="69" t="str">
        <f>IFERROR(__xludf.DUMMYFUNCTION("""COMPUTED_VALUE"""),"165g")</f>
        <v>165g</v>
      </c>
      <c r="L161" s="69">
        <f>IFERROR(__xludf.DUMMYFUNCTION("""COMPUTED_VALUE"""),165.0)</f>
        <v>165</v>
      </c>
      <c r="M161" s="69" t="str">
        <f>IFERROR(__xludf.DUMMYFUNCTION("""COMPUTED_VALUE"""),"90g")</f>
        <v>90g</v>
      </c>
      <c r="N161" s="69" t="str">
        <f>IFERROR(__xludf.DUMMYFUNCTION("""COMPUTED_VALUE"""),"100g")</f>
        <v>100g</v>
      </c>
      <c r="O161" s="69" t="str">
        <f>IFERROR(__xludf.DUMMYFUNCTION("""COMPUTED_VALUE"""),"110x")</f>
        <v>110x</v>
      </c>
      <c r="P161" s="69">
        <f>IFERROR(__xludf.DUMMYFUNCTION("""COMPUTED_VALUE"""),100.0)</f>
        <v>100</v>
      </c>
      <c r="Q161" s="69" t="str">
        <f>IFERROR(__xludf.DUMMYFUNCTION("""COMPUTED_VALUE"""),"165g")</f>
        <v>165g</v>
      </c>
      <c r="R161" s="69" t="str">
        <f>IFERROR(__xludf.DUMMYFUNCTION("""COMPUTED_VALUE"""),"185g")</f>
        <v>185g</v>
      </c>
      <c r="S161" s="69" t="str">
        <f>IFERROR(__xludf.DUMMYFUNCTION("""COMPUTED_VALUE"""),"200g")</f>
        <v>200g</v>
      </c>
      <c r="T161" s="69">
        <f>IFERROR(__xludf.DUMMYFUNCTION("""COMPUTED_VALUE"""),200.0)</f>
        <v>200</v>
      </c>
      <c r="U161" s="69">
        <f>IFERROR(__xludf.DUMMYFUNCTION("""COMPUTED_VALUE"""),465.0)</f>
        <v>465</v>
      </c>
      <c r="V161" s="183">
        <f>IFERROR(__xludf.DUMMYFUNCTION("""COMPUTED_VALUE"""),2.9098873591989984)</f>
        <v>2.909887359</v>
      </c>
      <c r="W161" s="156">
        <f>IFERROR(__xludf.DUMMYFUNCTION("""COMPUTED_VALUE"""),8.0)</f>
        <v>8</v>
      </c>
      <c r="X161" s="156"/>
      <c r="Y161" s="156"/>
    </row>
    <row r="162">
      <c r="B162" s="68" t="s">
        <v>548</v>
      </c>
      <c r="C162" s="68">
        <v>0.0</v>
      </c>
      <c r="D162" s="68" t="str">
        <f>IFERROR(__xludf.DUMMYFUNCTION("""COMPUTED_VALUE"""),"165 WJV")</f>
        <v>165 WJV</v>
      </c>
      <c r="E162" s="69" t="str">
        <f>IFERROR(__xludf.DUMMYFUNCTION("""COMPUTED_VALUE"""),"WJV")</f>
        <v>WJV</v>
      </c>
      <c r="F162" s="70" t="str">
        <f>IFERROR(__xludf.DUMMYFUNCTION("""COMPUTED_VALUE"""),"Port Huron")</f>
        <v>Port Huron</v>
      </c>
      <c r="G162" s="69">
        <f>IFERROR(__xludf.DUMMYFUNCTION("""COMPUTED_VALUE"""),163.4)</f>
        <v>163.4</v>
      </c>
      <c r="H162" s="70" t="str">
        <f>IFERROR(__xludf.DUMMYFUNCTION("""COMPUTED_VALUE"""),"Jamerson, Jenna")</f>
        <v>Jamerson, Jenna</v>
      </c>
      <c r="I162" s="71" t="str">
        <f>IFERROR(__xludf.DUMMYFUNCTION("""COMPUTED_VALUE"""),"110g")</f>
        <v>110g</v>
      </c>
      <c r="J162" s="69" t="str">
        <f>IFERROR(__xludf.DUMMYFUNCTION("""COMPUTED_VALUE"""),"125g")</f>
        <v>125g</v>
      </c>
      <c r="K162" s="69" t="str">
        <f>IFERROR(__xludf.DUMMYFUNCTION("""COMPUTED_VALUE"""),"145g")</f>
        <v>145g</v>
      </c>
      <c r="L162" s="69">
        <f>IFERROR(__xludf.DUMMYFUNCTION("""COMPUTED_VALUE"""),145.0)</f>
        <v>145</v>
      </c>
      <c r="M162" s="69" t="str">
        <f>IFERROR(__xludf.DUMMYFUNCTION("""COMPUTED_VALUE"""),"75g")</f>
        <v>75g</v>
      </c>
      <c r="N162" s="69" t="str">
        <f>IFERROR(__xludf.DUMMYFUNCTION("""COMPUTED_VALUE"""),"95g")</f>
        <v>95g</v>
      </c>
      <c r="O162" s="69" t="str">
        <f>IFERROR(__xludf.DUMMYFUNCTION("""COMPUTED_VALUE"""),"100x")</f>
        <v>100x</v>
      </c>
      <c r="P162" s="69">
        <f>IFERROR(__xludf.DUMMYFUNCTION("""COMPUTED_VALUE"""),95.0)</f>
        <v>95</v>
      </c>
      <c r="Q162" s="69" t="str">
        <f>IFERROR(__xludf.DUMMYFUNCTION("""COMPUTED_VALUE"""),"200g")</f>
        <v>200g</v>
      </c>
      <c r="R162" s="69" t="str">
        <f>IFERROR(__xludf.DUMMYFUNCTION("""COMPUTED_VALUE"""),"225g")</f>
        <v>225g</v>
      </c>
      <c r="S162" s="69" t="str">
        <f>IFERROR(__xludf.DUMMYFUNCTION("""COMPUTED_VALUE"""),"235x")</f>
        <v>235x</v>
      </c>
      <c r="T162" s="69">
        <f>IFERROR(__xludf.DUMMYFUNCTION("""COMPUTED_VALUE"""),225.0)</f>
        <v>225</v>
      </c>
      <c r="U162" s="69">
        <f>IFERROR(__xludf.DUMMYFUNCTION("""COMPUTED_VALUE"""),465.0)</f>
        <v>465</v>
      </c>
      <c r="V162" s="183">
        <f>IFERROR(__xludf.DUMMYFUNCTION("""COMPUTED_VALUE"""),2.8457772337821297)</f>
        <v>2.845777234</v>
      </c>
      <c r="W162" s="156">
        <f>IFERROR(__xludf.DUMMYFUNCTION("""COMPUTED_VALUE"""),7.0)</f>
        <v>7</v>
      </c>
      <c r="X162" s="156"/>
      <c r="Y162" s="156"/>
    </row>
    <row r="163">
      <c r="B163" s="68" t="s">
        <v>549</v>
      </c>
      <c r="C163" s="68">
        <v>0.0</v>
      </c>
      <c r="D163" s="68" t="str">
        <f>IFERROR(__xludf.DUMMYFUNCTION("""COMPUTED_VALUE"""),"165 WJV")</f>
        <v>165 WJV</v>
      </c>
      <c r="E163" s="69" t="str">
        <f>IFERROR(__xludf.DUMMYFUNCTION("""COMPUTED_VALUE"""),"WJV")</f>
        <v>WJV</v>
      </c>
      <c r="F163" s="70" t="str">
        <f>IFERROR(__xludf.DUMMYFUNCTION("""COMPUTED_VALUE"""),"Lake Orion")</f>
        <v>Lake Orion</v>
      </c>
      <c r="G163" s="69">
        <f>IFERROR(__xludf.DUMMYFUNCTION("""COMPUTED_VALUE"""),161.2)</f>
        <v>161.2</v>
      </c>
      <c r="H163" s="70" t="str">
        <f>IFERROR(__xludf.DUMMYFUNCTION("""COMPUTED_VALUE"""),"Fisher, Elizabeth")</f>
        <v>Fisher, Elizabeth</v>
      </c>
      <c r="I163" s="71" t="str">
        <f>IFERROR(__xludf.DUMMYFUNCTION("""COMPUTED_VALUE"""),"140g")</f>
        <v>140g</v>
      </c>
      <c r="J163" s="69" t="str">
        <f>IFERROR(__xludf.DUMMYFUNCTION("""COMPUTED_VALUE"""),"150g")</f>
        <v>150g</v>
      </c>
      <c r="K163" s="69" t="str">
        <f>IFERROR(__xludf.DUMMYFUNCTION("""COMPUTED_VALUE"""),"160x")</f>
        <v>160x</v>
      </c>
      <c r="L163" s="69">
        <f>IFERROR(__xludf.DUMMYFUNCTION("""COMPUTED_VALUE"""),150.0)</f>
        <v>150</v>
      </c>
      <c r="M163" s="69" t="str">
        <f>IFERROR(__xludf.DUMMYFUNCTION("""COMPUTED_VALUE"""),"80g")</f>
        <v>80g</v>
      </c>
      <c r="N163" s="69" t="str">
        <f>IFERROR(__xludf.DUMMYFUNCTION("""COMPUTED_VALUE"""),"85g")</f>
        <v>85g</v>
      </c>
      <c r="O163" s="69" t="str">
        <f>IFERROR(__xludf.DUMMYFUNCTION("""COMPUTED_VALUE"""),"90x")</f>
        <v>90x</v>
      </c>
      <c r="P163" s="69">
        <f>IFERROR(__xludf.DUMMYFUNCTION("""COMPUTED_VALUE"""),85.0)</f>
        <v>85</v>
      </c>
      <c r="Q163" s="69" t="str">
        <f>IFERROR(__xludf.DUMMYFUNCTION("""COMPUTED_VALUE"""),"185g")</f>
        <v>185g</v>
      </c>
      <c r="R163" s="69" t="str">
        <f>IFERROR(__xludf.DUMMYFUNCTION("""COMPUTED_VALUE"""),"195g")</f>
        <v>195g</v>
      </c>
      <c r="S163" s="69" t="str">
        <f>IFERROR(__xludf.DUMMYFUNCTION("""COMPUTED_VALUE"""),"205x")</f>
        <v>205x</v>
      </c>
      <c r="T163" s="69">
        <f>IFERROR(__xludf.DUMMYFUNCTION("""COMPUTED_VALUE"""),195.0)</f>
        <v>195</v>
      </c>
      <c r="U163" s="69">
        <f>IFERROR(__xludf.DUMMYFUNCTION("""COMPUTED_VALUE"""),430.0)</f>
        <v>430</v>
      </c>
      <c r="V163" s="183">
        <f>IFERROR(__xludf.DUMMYFUNCTION("""COMPUTED_VALUE"""),2.667493796526055)</f>
        <v>2.667493797</v>
      </c>
      <c r="W163" s="156">
        <f>IFERROR(__xludf.DUMMYFUNCTION("""COMPUTED_VALUE"""),6.0)</f>
        <v>6</v>
      </c>
      <c r="X163" s="156"/>
      <c r="Y163" s="156"/>
    </row>
    <row r="164">
      <c r="B164" s="68" t="s">
        <v>550</v>
      </c>
      <c r="C164" s="68">
        <v>0.0</v>
      </c>
      <c r="D164" s="68" t="str">
        <f>IFERROR(__xludf.DUMMYFUNCTION("""COMPUTED_VALUE"""),"165 WJV")</f>
        <v>165 WJV</v>
      </c>
      <c r="E164" s="69" t="str">
        <f>IFERROR(__xludf.DUMMYFUNCTION("""COMPUTED_VALUE"""),"WJV")</f>
        <v>WJV</v>
      </c>
      <c r="F164" s="70" t="str">
        <f>IFERROR(__xludf.DUMMYFUNCTION("""COMPUTED_VALUE"""),"St. Clair")</f>
        <v>St. Clair</v>
      </c>
      <c r="G164" s="69">
        <f>IFERROR(__xludf.DUMMYFUNCTION("""COMPUTED_VALUE"""),159.6)</f>
        <v>159.6</v>
      </c>
      <c r="H164" s="70" t="str">
        <f>IFERROR(__xludf.DUMMYFUNCTION("""COMPUTED_VALUE"""),"Lohr, Delany")</f>
        <v>Lohr, Delany</v>
      </c>
      <c r="I164" s="71" t="str">
        <f>IFERROR(__xludf.DUMMYFUNCTION("""COMPUTED_VALUE"""),"190x")</f>
        <v>190x</v>
      </c>
      <c r="J164" s="69" t="str">
        <f>IFERROR(__xludf.DUMMYFUNCTION("""COMPUTED_VALUE"""),"220g")</f>
        <v>220g</v>
      </c>
      <c r="K164" s="69" t="str">
        <f>IFERROR(__xludf.DUMMYFUNCTION("""COMPUTED_VALUE"""),"225x")</f>
        <v>225x</v>
      </c>
      <c r="L164" s="69">
        <f>IFERROR(__xludf.DUMMYFUNCTION("""COMPUTED_VALUE"""),220.0)</f>
        <v>220</v>
      </c>
      <c r="M164" s="69" t="str">
        <f>IFERROR(__xludf.DUMMYFUNCTION("""COMPUTED_VALUE"""),"105x")</f>
        <v>105x</v>
      </c>
      <c r="N164" s="69" t="str">
        <f>IFERROR(__xludf.DUMMYFUNCTION("""COMPUTED_VALUE"""),"110x")</f>
        <v>110x</v>
      </c>
      <c r="O164" s="69" t="str">
        <f>IFERROR(__xludf.DUMMYFUNCTION("""COMPUTED_VALUE"""),"110x")</f>
        <v>110x</v>
      </c>
      <c r="P164" s="69">
        <f>IFERROR(__xludf.DUMMYFUNCTION("""COMPUTED_VALUE"""),0.0)</f>
        <v>0</v>
      </c>
      <c r="Q164" s="69" t="str">
        <f>IFERROR(__xludf.DUMMYFUNCTION("""COMPUTED_VALUE"""),"245g")</f>
        <v>245g</v>
      </c>
      <c r="R164" s="69" t="str">
        <f>IFERROR(__xludf.DUMMYFUNCTION("""COMPUTED_VALUE"""),"275x")</f>
        <v>275x</v>
      </c>
      <c r="S164" s="69" t="str">
        <f>IFERROR(__xludf.DUMMYFUNCTION("""COMPUTED_VALUE"""),"275x")</f>
        <v>275x</v>
      </c>
      <c r="T164" s="69">
        <f>IFERROR(__xludf.DUMMYFUNCTION("""COMPUTED_VALUE"""),245.0)</f>
        <v>245</v>
      </c>
      <c r="U164" s="69">
        <f>IFERROR(__xludf.DUMMYFUNCTION("""COMPUTED_VALUE"""),0.0)</f>
        <v>0</v>
      </c>
      <c r="V164" s="183">
        <f>IFERROR(__xludf.DUMMYFUNCTION("""COMPUTED_VALUE"""),0.0)</f>
        <v>0</v>
      </c>
      <c r="W164" s="156">
        <f>IFERROR(__xludf.DUMMYFUNCTION("""COMPUTED_VALUE"""),2.0)</f>
        <v>2</v>
      </c>
      <c r="X164" s="156"/>
      <c r="Y164" s="156"/>
    </row>
    <row r="165">
      <c r="B165" s="68" t="s">
        <v>551</v>
      </c>
      <c r="C165" s="68">
        <v>0.0</v>
      </c>
      <c r="D165" s="68" t="str">
        <f>IFERROR(__xludf.DUMMYFUNCTION("""COMPUTED_VALUE"""),"165 WJV")</f>
        <v>165 WJV</v>
      </c>
      <c r="E165" s="69" t="str">
        <f>IFERROR(__xludf.DUMMYFUNCTION("""COMPUTED_VALUE"""),"WJV")</f>
        <v>WJV</v>
      </c>
      <c r="F165" s="70" t="str">
        <f>IFERROR(__xludf.DUMMYFUNCTION("""COMPUTED_VALUE"""),"Lake Orion")</f>
        <v>Lake Orion</v>
      </c>
      <c r="G165" s="69">
        <f>IFERROR(__xludf.DUMMYFUNCTION("""COMPUTED_VALUE"""),162.8)</f>
        <v>162.8</v>
      </c>
      <c r="H165" s="70" t="str">
        <f>IFERROR(__xludf.DUMMYFUNCTION("""COMPUTED_VALUE"""),"Smith, Ryleigh")</f>
        <v>Smith, Ryleigh</v>
      </c>
      <c r="I165" s="71" t="str">
        <f>IFERROR(__xludf.DUMMYFUNCTION("""COMPUTED_VALUE"""),"155x")</f>
        <v>155x</v>
      </c>
      <c r="J165" s="69" t="str">
        <f>IFERROR(__xludf.DUMMYFUNCTION("""COMPUTED_VALUE"""),"165x")</f>
        <v>165x</v>
      </c>
      <c r="K165" s="69" t="str">
        <f>IFERROR(__xludf.DUMMYFUNCTION("""COMPUTED_VALUE"""),"165x")</f>
        <v>165x</v>
      </c>
      <c r="L165" s="69">
        <f>IFERROR(__xludf.DUMMYFUNCTION("""COMPUTED_VALUE"""),0.0)</f>
        <v>0</v>
      </c>
      <c r="M165" s="69" t="str">
        <f>IFERROR(__xludf.DUMMYFUNCTION("""COMPUTED_VALUE"""),"85g")</f>
        <v>85g</v>
      </c>
      <c r="N165" s="69" t="str">
        <f>IFERROR(__xludf.DUMMYFUNCTION("""COMPUTED_VALUE"""),"90x")</f>
        <v>90x</v>
      </c>
      <c r="O165" s="69" t="str">
        <f>IFERROR(__xludf.DUMMYFUNCTION("""COMPUTED_VALUE"""),"90x")</f>
        <v>90x</v>
      </c>
      <c r="P165" s="69">
        <f>IFERROR(__xludf.DUMMYFUNCTION("""COMPUTED_VALUE"""),85.0)</f>
        <v>85</v>
      </c>
      <c r="Q165" s="69" t="str">
        <f>IFERROR(__xludf.DUMMYFUNCTION("""COMPUTED_VALUE"""),"240g")</f>
        <v>240g</v>
      </c>
      <c r="R165" s="69" t="str">
        <f>IFERROR(__xludf.DUMMYFUNCTION("""COMPUTED_VALUE"""),"255g")</f>
        <v>255g</v>
      </c>
      <c r="S165" s="69" t="str">
        <f>IFERROR(__xludf.DUMMYFUNCTION("""COMPUTED_VALUE"""),"265x")</f>
        <v>265x</v>
      </c>
      <c r="T165" s="69">
        <f>IFERROR(__xludf.DUMMYFUNCTION("""COMPUTED_VALUE"""),255.0)</f>
        <v>255</v>
      </c>
      <c r="U165" s="69">
        <f>IFERROR(__xludf.DUMMYFUNCTION("""COMPUTED_VALUE"""),0.0)</f>
        <v>0</v>
      </c>
      <c r="V165" s="183">
        <f>IFERROR(__xludf.DUMMYFUNCTION("""COMPUTED_VALUE"""),0.0)</f>
        <v>0</v>
      </c>
      <c r="W165" s="156">
        <f>IFERROR(__xludf.DUMMYFUNCTION("""COMPUTED_VALUE"""),3.0)</f>
        <v>3</v>
      </c>
      <c r="X165" s="156"/>
      <c r="Y165" s="156"/>
    </row>
    <row r="166">
      <c r="A166" s="58">
        <v>181.0</v>
      </c>
      <c r="B166" s="157" t="s">
        <v>120</v>
      </c>
      <c r="C166" s="157">
        <v>12.0</v>
      </c>
      <c r="D166" s="157" t="str">
        <f>IFERROR(__xludf.DUMMYFUNCTION("ARRAY_CONSTRAIN(filter('All Platforms'!A3:T1802,'All Platforms'!A3:A1802=""181 WJV""),20,20)"),"181 WJV")</f>
        <v>181 WJV</v>
      </c>
      <c r="E166" s="64" t="str">
        <f>IFERROR(__xludf.DUMMYFUNCTION("""COMPUTED_VALUE"""),"WJV")</f>
        <v>WJV</v>
      </c>
      <c r="F166" s="158" t="str">
        <f>IFERROR(__xludf.DUMMYFUNCTION("""COMPUTED_VALUE"""),"Central Lake")</f>
        <v>Central Lake</v>
      </c>
      <c r="G166" s="64">
        <f>IFERROR(__xludf.DUMMYFUNCTION("""COMPUTED_VALUE"""),179.6)</f>
        <v>179.6</v>
      </c>
      <c r="H166" s="158" t="str">
        <f>IFERROR(__xludf.DUMMYFUNCTION("""COMPUTED_VALUE"""),"Diller, Brooklynn")</f>
        <v>Diller, Brooklynn</v>
      </c>
      <c r="I166" s="159" t="str">
        <f>IFERROR(__xludf.DUMMYFUNCTION("""COMPUTED_VALUE"""),"270g")</f>
        <v>270g</v>
      </c>
      <c r="J166" s="64" t="str">
        <f>IFERROR(__xludf.DUMMYFUNCTION("""COMPUTED_VALUE"""),"290g")</f>
        <v>290g</v>
      </c>
      <c r="K166" s="64" t="str">
        <f>IFERROR(__xludf.DUMMYFUNCTION("""COMPUTED_VALUE"""),"300g")</f>
        <v>300g</v>
      </c>
      <c r="L166" s="64">
        <f>IFERROR(__xludf.DUMMYFUNCTION("""COMPUTED_VALUE"""),300.0)</f>
        <v>300</v>
      </c>
      <c r="M166" s="64" t="str">
        <f>IFERROR(__xludf.DUMMYFUNCTION("""COMPUTED_VALUE"""),"125g")</f>
        <v>125g</v>
      </c>
      <c r="N166" s="64" t="str">
        <f>IFERROR(__xludf.DUMMYFUNCTION("""COMPUTED_VALUE"""),"135g")</f>
        <v>135g</v>
      </c>
      <c r="O166" s="64" t="str">
        <f>IFERROR(__xludf.DUMMYFUNCTION("""COMPUTED_VALUE"""),"140g")</f>
        <v>140g</v>
      </c>
      <c r="P166" s="64">
        <f>IFERROR(__xludf.DUMMYFUNCTION("""COMPUTED_VALUE"""),140.0)</f>
        <v>140</v>
      </c>
      <c r="Q166" s="64" t="str">
        <f>IFERROR(__xludf.DUMMYFUNCTION("""COMPUTED_VALUE"""),"290g")</f>
        <v>290g</v>
      </c>
      <c r="R166" s="64" t="str">
        <f>IFERROR(__xludf.DUMMYFUNCTION("""COMPUTED_VALUE"""),"305g")</f>
        <v>305g</v>
      </c>
      <c r="S166" s="64" t="str">
        <f>IFERROR(__xludf.DUMMYFUNCTION("""COMPUTED_VALUE"""),"315g")</f>
        <v>315g</v>
      </c>
      <c r="T166" s="64">
        <f>IFERROR(__xludf.DUMMYFUNCTION("""COMPUTED_VALUE"""),315.0)</f>
        <v>315</v>
      </c>
      <c r="U166" s="64">
        <f>IFERROR(__xludf.DUMMYFUNCTION("""COMPUTED_VALUE"""),755.0)</f>
        <v>755</v>
      </c>
      <c r="V166" s="182">
        <f>IFERROR(__xludf.DUMMYFUNCTION("""COMPUTED_VALUE"""),4.203786191536748)</f>
        <v>4.203786192</v>
      </c>
      <c r="W166" s="57">
        <f>IFERROR(__xludf.DUMMYFUNCTION("""COMPUTED_VALUE"""),9.0)</f>
        <v>9</v>
      </c>
      <c r="X166" s="57"/>
      <c r="Y166" s="57"/>
    </row>
    <row r="167">
      <c r="B167" s="157" t="s">
        <v>121</v>
      </c>
      <c r="C167" s="157">
        <v>9.0</v>
      </c>
      <c r="D167" s="157" t="str">
        <f>IFERROR(__xludf.DUMMYFUNCTION("""COMPUTED_VALUE"""),"181 WJV")</f>
        <v>181 WJV</v>
      </c>
      <c r="E167" s="64" t="str">
        <f>IFERROR(__xludf.DUMMYFUNCTION("""COMPUTED_VALUE"""),"WJV")</f>
        <v>WJV</v>
      </c>
      <c r="F167" s="158" t="str">
        <f>IFERROR(__xludf.DUMMYFUNCTION("""COMPUTED_VALUE"""),"Paw Paw")</f>
        <v>Paw Paw</v>
      </c>
      <c r="G167" s="64">
        <f>IFERROR(__xludf.DUMMYFUNCTION("""COMPUTED_VALUE"""),166.0)</f>
        <v>166</v>
      </c>
      <c r="H167" s="158" t="str">
        <f>IFERROR(__xludf.DUMMYFUNCTION("""COMPUTED_VALUE"""),"Daspan, Penial")</f>
        <v>Daspan, Penial</v>
      </c>
      <c r="I167" s="159" t="str">
        <f>IFERROR(__xludf.DUMMYFUNCTION("""COMPUTED_VALUE"""),"215g")</f>
        <v>215g</v>
      </c>
      <c r="J167" s="64" t="str">
        <f>IFERROR(__xludf.DUMMYFUNCTION("""COMPUTED_VALUE"""),"235g")</f>
        <v>235g</v>
      </c>
      <c r="K167" s="64" t="str">
        <f>IFERROR(__xludf.DUMMYFUNCTION("""COMPUTED_VALUE"""),"260g")</f>
        <v>260g</v>
      </c>
      <c r="L167" s="64">
        <f>IFERROR(__xludf.DUMMYFUNCTION("""COMPUTED_VALUE"""),260.0)</f>
        <v>260</v>
      </c>
      <c r="M167" s="64" t="str">
        <f>IFERROR(__xludf.DUMMYFUNCTION("""COMPUTED_VALUE"""),"125g")</f>
        <v>125g</v>
      </c>
      <c r="N167" s="64" t="str">
        <f>IFERROR(__xludf.DUMMYFUNCTION("""COMPUTED_VALUE"""),"140g")</f>
        <v>140g</v>
      </c>
      <c r="O167" s="64" t="str">
        <f>IFERROR(__xludf.DUMMYFUNCTION("""COMPUTED_VALUE"""),"155x")</f>
        <v>155x</v>
      </c>
      <c r="P167" s="64">
        <f>IFERROR(__xludf.DUMMYFUNCTION("""COMPUTED_VALUE"""),140.0)</f>
        <v>140</v>
      </c>
      <c r="Q167" s="64" t="str">
        <f>IFERROR(__xludf.DUMMYFUNCTION("""COMPUTED_VALUE"""),"300g")</f>
        <v>300g</v>
      </c>
      <c r="R167" s="64" t="str">
        <f>IFERROR(__xludf.DUMMYFUNCTION("""COMPUTED_VALUE"""),"320g")</f>
        <v>320g</v>
      </c>
      <c r="S167" s="64" t="str">
        <f>IFERROR(__xludf.DUMMYFUNCTION("""COMPUTED_VALUE"""),"335g")</f>
        <v>335g</v>
      </c>
      <c r="T167" s="64">
        <f>IFERROR(__xludf.DUMMYFUNCTION("""COMPUTED_VALUE"""),335.0)</f>
        <v>335</v>
      </c>
      <c r="U167" s="64">
        <f>IFERROR(__xludf.DUMMYFUNCTION("""COMPUTED_VALUE"""),735.0)</f>
        <v>735</v>
      </c>
      <c r="V167" s="182">
        <f>IFERROR(__xludf.DUMMYFUNCTION("""COMPUTED_VALUE"""),4.427710843373494)</f>
        <v>4.427710843</v>
      </c>
      <c r="W167" s="57">
        <f>IFERROR(__xludf.DUMMYFUNCTION("""COMPUTED_VALUE"""),8.0)</f>
        <v>8</v>
      </c>
      <c r="X167" s="57"/>
      <c r="Y167" s="57"/>
    </row>
    <row r="168">
      <c r="B168" s="157" t="s">
        <v>122</v>
      </c>
      <c r="C168" s="157">
        <f>if(countif(F166:F167,F168)&gt;1,0,8)</f>
        <v>8</v>
      </c>
      <c r="D168" s="157" t="str">
        <f>IFERROR(__xludf.DUMMYFUNCTION("""COMPUTED_VALUE"""),"181 WJV")</f>
        <v>181 WJV</v>
      </c>
      <c r="E168" s="64" t="str">
        <f>IFERROR(__xludf.DUMMYFUNCTION("""COMPUTED_VALUE"""),"WJV")</f>
        <v>WJV</v>
      </c>
      <c r="F168" s="158" t="str">
        <f>IFERROR(__xludf.DUMMYFUNCTION("""COMPUTED_VALUE"""),"Port Huron")</f>
        <v>Port Huron</v>
      </c>
      <c r="G168" s="64">
        <f>IFERROR(__xludf.DUMMYFUNCTION("""COMPUTED_VALUE"""),168.6)</f>
        <v>168.6</v>
      </c>
      <c r="H168" s="158" t="str">
        <f>IFERROR(__xludf.DUMMYFUNCTION("""COMPUTED_VALUE"""),"Pretzer, Siera")</f>
        <v>Pretzer, Siera</v>
      </c>
      <c r="I168" s="159" t="str">
        <f>IFERROR(__xludf.DUMMYFUNCTION("""COMPUTED_VALUE"""),"195g")</f>
        <v>195g</v>
      </c>
      <c r="J168" s="64" t="str">
        <f>IFERROR(__xludf.DUMMYFUNCTION("""COMPUTED_VALUE"""),"205g")</f>
        <v>205g</v>
      </c>
      <c r="K168" s="64" t="str">
        <f>IFERROR(__xludf.DUMMYFUNCTION("""COMPUTED_VALUE"""),"225g")</f>
        <v>225g</v>
      </c>
      <c r="L168" s="64">
        <f>IFERROR(__xludf.DUMMYFUNCTION("""COMPUTED_VALUE"""),225.0)</f>
        <v>225</v>
      </c>
      <c r="M168" s="64" t="str">
        <f>IFERROR(__xludf.DUMMYFUNCTION("""COMPUTED_VALUE"""),"95g")</f>
        <v>95g</v>
      </c>
      <c r="N168" s="64" t="str">
        <f>IFERROR(__xludf.DUMMYFUNCTION("""COMPUTED_VALUE"""),"105g")</f>
        <v>105g</v>
      </c>
      <c r="O168" s="64" t="str">
        <f>IFERROR(__xludf.DUMMYFUNCTION("""COMPUTED_VALUE"""),"110g")</f>
        <v>110g</v>
      </c>
      <c r="P168" s="64">
        <f>IFERROR(__xludf.DUMMYFUNCTION("""COMPUTED_VALUE"""),110.0)</f>
        <v>110</v>
      </c>
      <c r="Q168" s="64" t="str">
        <f>IFERROR(__xludf.DUMMYFUNCTION("""COMPUTED_VALUE"""),"285g")</f>
        <v>285g</v>
      </c>
      <c r="R168" s="64" t="str">
        <f>IFERROR(__xludf.DUMMYFUNCTION("""COMPUTED_VALUE"""),"300g")</f>
        <v>300g</v>
      </c>
      <c r="S168" s="64" t="str">
        <f>IFERROR(__xludf.DUMMYFUNCTION("""COMPUTED_VALUE"""),"315x")</f>
        <v>315x</v>
      </c>
      <c r="T168" s="64">
        <f>IFERROR(__xludf.DUMMYFUNCTION("""COMPUTED_VALUE"""),300.0)</f>
        <v>300</v>
      </c>
      <c r="U168" s="64">
        <f>IFERROR(__xludf.DUMMYFUNCTION("""COMPUTED_VALUE"""),635.0)</f>
        <v>635</v>
      </c>
      <c r="V168" s="182">
        <f>IFERROR(__xludf.DUMMYFUNCTION("""COMPUTED_VALUE"""),3.7663107947805456)</f>
        <v>3.766310795</v>
      </c>
      <c r="W168" s="57">
        <f>IFERROR(__xludf.DUMMYFUNCTION("""COMPUTED_VALUE"""),8.0)</f>
        <v>8</v>
      </c>
      <c r="X168" s="57"/>
      <c r="Y168" s="57"/>
    </row>
    <row r="169">
      <c r="B169" s="157" t="s">
        <v>123</v>
      </c>
      <c r="C169" s="157">
        <f>if(countif(F166:F168,F169)&gt;1,0,7)</f>
        <v>7</v>
      </c>
      <c r="D169" s="157" t="str">
        <f>IFERROR(__xludf.DUMMYFUNCTION("""COMPUTED_VALUE"""),"181 WJV")</f>
        <v>181 WJV</v>
      </c>
      <c r="E169" s="64" t="str">
        <f>IFERROR(__xludf.DUMMYFUNCTION("""COMPUTED_VALUE"""),"WJV")</f>
        <v>WJV</v>
      </c>
      <c r="F169" s="158" t="str">
        <f>IFERROR(__xludf.DUMMYFUNCTION("""COMPUTED_VALUE"""),"Lakeville")</f>
        <v>Lakeville</v>
      </c>
      <c r="G169" s="64">
        <f>IFERROR(__xludf.DUMMYFUNCTION("""COMPUTED_VALUE"""),173.8)</f>
        <v>173.8</v>
      </c>
      <c r="H169" s="158" t="str">
        <f>IFERROR(__xludf.DUMMYFUNCTION("""COMPUTED_VALUE"""),"West, Bre")</f>
        <v>West, Bre</v>
      </c>
      <c r="I169" s="159" t="str">
        <f>IFERROR(__xludf.DUMMYFUNCTION("""COMPUTED_VALUE"""),"230g")</f>
        <v>230g</v>
      </c>
      <c r="J169" s="64" t="str">
        <f>IFERROR(__xludf.DUMMYFUNCTION("""COMPUTED_VALUE"""),"240x")</f>
        <v>240x</v>
      </c>
      <c r="K169" s="64" t="str">
        <f>IFERROR(__xludf.DUMMYFUNCTION("""COMPUTED_VALUE"""),"240x")</f>
        <v>240x</v>
      </c>
      <c r="L169" s="64">
        <f>IFERROR(__xludf.DUMMYFUNCTION("""COMPUTED_VALUE"""),230.0)</f>
        <v>230</v>
      </c>
      <c r="M169" s="64" t="str">
        <f>IFERROR(__xludf.DUMMYFUNCTION("""COMPUTED_VALUE"""),"75g")</f>
        <v>75g</v>
      </c>
      <c r="N169" s="64" t="str">
        <f>IFERROR(__xludf.DUMMYFUNCTION("""COMPUTED_VALUE"""),"85g")</f>
        <v>85g</v>
      </c>
      <c r="O169" s="64" t="str">
        <f>IFERROR(__xludf.DUMMYFUNCTION("""COMPUTED_VALUE"""),"90g")</f>
        <v>90g</v>
      </c>
      <c r="P169" s="64">
        <f>IFERROR(__xludf.DUMMYFUNCTION("""COMPUTED_VALUE"""),90.0)</f>
        <v>90</v>
      </c>
      <c r="Q169" s="64" t="str">
        <f>IFERROR(__xludf.DUMMYFUNCTION("""COMPUTED_VALUE"""),"290g")</f>
        <v>290g</v>
      </c>
      <c r="R169" s="64" t="str">
        <f>IFERROR(__xludf.DUMMYFUNCTION("""COMPUTED_VALUE"""),"305g")</f>
        <v>305g</v>
      </c>
      <c r="S169" s="64" t="str">
        <f>IFERROR(__xludf.DUMMYFUNCTION("""COMPUTED_VALUE"""),"315x")</f>
        <v>315x</v>
      </c>
      <c r="T169" s="64">
        <f>IFERROR(__xludf.DUMMYFUNCTION("""COMPUTED_VALUE"""),305.0)</f>
        <v>305</v>
      </c>
      <c r="U169" s="64">
        <f>IFERROR(__xludf.DUMMYFUNCTION("""COMPUTED_VALUE"""),625.0)</f>
        <v>625</v>
      </c>
      <c r="V169" s="182">
        <f>IFERROR(__xludf.DUMMYFUNCTION("""COMPUTED_VALUE"""),3.5960874568469503)</f>
        <v>3.596087457</v>
      </c>
      <c r="W169" s="57">
        <f>IFERROR(__xludf.DUMMYFUNCTION("""COMPUTED_VALUE"""),6.0)</f>
        <v>6</v>
      </c>
      <c r="X169" s="57"/>
      <c r="Y169" s="57"/>
    </row>
    <row r="170">
      <c r="B170" s="157" t="s">
        <v>124</v>
      </c>
      <c r="C170" s="157">
        <f>if(countif(F166:F169,F170)&gt;1,0,6)</f>
        <v>6</v>
      </c>
      <c r="D170" s="157" t="str">
        <f>IFERROR(__xludf.DUMMYFUNCTION("""COMPUTED_VALUE"""),"181 WJV")</f>
        <v>181 WJV</v>
      </c>
      <c r="E170" s="64" t="str">
        <f>IFERROR(__xludf.DUMMYFUNCTION("""COMPUTED_VALUE"""),"WJV")</f>
        <v>WJV</v>
      </c>
      <c r="F170" s="158" t="str">
        <f>IFERROR(__xludf.DUMMYFUNCTION("""COMPUTED_VALUE"""),"Lake Orion")</f>
        <v>Lake Orion</v>
      </c>
      <c r="G170" s="64">
        <f>IFERROR(__xludf.DUMMYFUNCTION("""COMPUTED_VALUE"""),167.1)</f>
        <v>167.1</v>
      </c>
      <c r="H170" s="158" t="str">
        <f>IFERROR(__xludf.DUMMYFUNCTION("""COMPUTED_VALUE"""),"Morgan, Taylor")</f>
        <v>Morgan, Taylor</v>
      </c>
      <c r="I170" s="159" t="str">
        <f>IFERROR(__xludf.DUMMYFUNCTION("""COMPUTED_VALUE"""),"170g")</f>
        <v>170g</v>
      </c>
      <c r="J170" s="64" t="str">
        <f>IFERROR(__xludf.DUMMYFUNCTION("""COMPUTED_VALUE"""),"180g")</f>
        <v>180g</v>
      </c>
      <c r="K170" s="64" t="str">
        <f>IFERROR(__xludf.DUMMYFUNCTION("""COMPUTED_VALUE"""),"215g")</f>
        <v>215g</v>
      </c>
      <c r="L170" s="64">
        <f>IFERROR(__xludf.DUMMYFUNCTION("""COMPUTED_VALUE"""),215.0)</f>
        <v>215</v>
      </c>
      <c r="M170" s="64" t="str">
        <f>IFERROR(__xludf.DUMMYFUNCTION("""COMPUTED_VALUE"""),"115g")</f>
        <v>115g</v>
      </c>
      <c r="N170" s="64" t="str">
        <f>IFERROR(__xludf.DUMMYFUNCTION("""COMPUTED_VALUE"""),"120g")</f>
        <v>120g</v>
      </c>
      <c r="O170" s="64" t="str">
        <f>IFERROR(__xludf.DUMMYFUNCTION("""COMPUTED_VALUE"""),"135g")</f>
        <v>135g</v>
      </c>
      <c r="P170" s="64">
        <f>IFERROR(__xludf.DUMMYFUNCTION("""COMPUTED_VALUE"""),135.0)</f>
        <v>135</v>
      </c>
      <c r="Q170" s="64" t="str">
        <f>IFERROR(__xludf.DUMMYFUNCTION("""COMPUTED_VALUE"""),"210g")</f>
        <v>210g</v>
      </c>
      <c r="R170" s="64" t="str">
        <f>IFERROR(__xludf.DUMMYFUNCTION("""COMPUTED_VALUE"""),"245g")</f>
        <v>245g</v>
      </c>
      <c r="S170" s="64" t="str">
        <f>IFERROR(__xludf.DUMMYFUNCTION("""COMPUTED_VALUE"""),"270g")</f>
        <v>270g</v>
      </c>
      <c r="T170" s="64">
        <f>IFERROR(__xludf.DUMMYFUNCTION("""COMPUTED_VALUE"""),270.0)</f>
        <v>270</v>
      </c>
      <c r="U170" s="64">
        <f>IFERROR(__xludf.DUMMYFUNCTION("""COMPUTED_VALUE"""),620.0)</f>
        <v>620</v>
      </c>
      <c r="V170" s="182">
        <f>IFERROR(__xludf.DUMMYFUNCTION("""COMPUTED_VALUE"""),3.7103530819868342)</f>
        <v>3.710353082</v>
      </c>
      <c r="W170" s="57">
        <f>IFERROR(__xludf.DUMMYFUNCTION("""COMPUTED_VALUE"""),9.0)</f>
        <v>9</v>
      </c>
      <c r="X170" s="57"/>
      <c r="Y170" s="57"/>
    </row>
    <row r="171">
      <c r="B171" s="157" t="s">
        <v>125</v>
      </c>
      <c r="C171" s="157">
        <f>if(countif(F166:F170,F171)&gt;1,0,5)</f>
        <v>5</v>
      </c>
      <c r="D171" s="157" t="str">
        <f>IFERROR(__xludf.DUMMYFUNCTION("""COMPUTED_VALUE"""),"181 WJV")</f>
        <v>181 WJV</v>
      </c>
      <c r="E171" s="64" t="str">
        <f>IFERROR(__xludf.DUMMYFUNCTION("""COMPUTED_VALUE"""),"WJV")</f>
        <v>WJV</v>
      </c>
      <c r="F171" s="158" t="str">
        <f>IFERROR(__xludf.DUMMYFUNCTION("""COMPUTED_VALUE"""),"Montague")</f>
        <v>Montague</v>
      </c>
      <c r="G171" s="64">
        <f>IFERROR(__xludf.DUMMYFUNCTION("""COMPUTED_VALUE"""),177.4)</f>
        <v>177.4</v>
      </c>
      <c r="H171" s="158" t="str">
        <f>IFERROR(__xludf.DUMMYFUNCTION("""COMPUTED_VALUE"""),"Burleson, Corrina")</f>
        <v>Burleson, Corrina</v>
      </c>
      <c r="I171" s="159" t="str">
        <f>IFERROR(__xludf.DUMMYFUNCTION("""COMPUTED_VALUE"""),"225g")</f>
        <v>225g</v>
      </c>
      <c r="J171" s="64" t="str">
        <f>IFERROR(__xludf.DUMMYFUNCTION("""COMPUTED_VALUE"""),"250g")</f>
        <v>250g</v>
      </c>
      <c r="K171" s="64" t="str">
        <f>IFERROR(__xludf.DUMMYFUNCTION("""COMPUTED_VALUE"""),"275x")</f>
        <v>275x</v>
      </c>
      <c r="L171" s="64">
        <f>IFERROR(__xludf.DUMMYFUNCTION("""COMPUTED_VALUE"""),250.0)</f>
        <v>250</v>
      </c>
      <c r="M171" s="64" t="str">
        <f>IFERROR(__xludf.DUMMYFUNCTION("""COMPUTED_VALUE"""),"105g")</f>
        <v>105g</v>
      </c>
      <c r="N171" s="64" t="str">
        <f>IFERROR(__xludf.DUMMYFUNCTION("""COMPUTED_VALUE"""),"120x")</f>
        <v>120x</v>
      </c>
      <c r="O171" s="64" t="str">
        <f>IFERROR(__xludf.DUMMYFUNCTION("""COMPUTED_VALUE"""),"120x")</f>
        <v>120x</v>
      </c>
      <c r="P171" s="64">
        <f>IFERROR(__xludf.DUMMYFUNCTION("""COMPUTED_VALUE"""),105.0)</f>
        <v>105</v>
      </c>
      <c r="Q171" s="64" t="str">
        <f>IFERROR(__xludf.DUMMYFUNCTION("""COMPUTED_VALUE"""),"235g")</f>
        <v>235g</v>
      </c>
      <c r="R171" s="64" t="str">
        <f>IFERROR(__xludf.DUMMYFUNCTION("""COMPUTED_VALUE"""),"255g")</f>
        <v>255g</v>
      </c>
      <c r="S171" s="64" t="str">
        <f>IFERROR(__xludf.DUMMYFUNCTION("""COMPUTED_VALUE"""),"295x")</f>
        <v>295x</v>
      </c>
      <c r="T171" s="64">
        <f>IFERROR(__xludf.DUMMYFUNCTION("""COMPUTED_VALUE"""),255.0)</f>
        <v>255</v>
      </c>
      <c r="U171" s="64">
        <f>IFERROR(__xludf.DUMMYFUNCTION("""COMPUTED_VALUE"""),610.0)</f>
        <v>610</v>
      </c>
      <c r="V171" s="182">
        <f>IFERROR(__xludf.DUMMYFUNCTION("""COMPUTED_VALUE"""),3.4385569334836528)</f>
        <v>3.438556933</v>
      </c>
      <c r="W171" s="57">
        <f>IFERROR(__xludf.DUMMYFUNCTION("""COMPUTED_VALUE"""),5.0)</f>
        <v>5</v>
      </c>
      <c r="X171" s="57"/>
      <c r="Y171" s="57"/>
    </row>
    <row r="172">
      <c r="B172" s="157" t="s">
        <v>126</v>
      </c>
      <c r="C172" s="157">
        <f>if(countif(F166:F171,F172)&gt;1,0,4)</f>
        <v>4</v>
      </c>
      <c r="D172" s="157" t="str">
        <f>IFERROR(__xludf.DUMMYFUNCTION("""COMPUTED_VALUE"""),"181 WJV")</f>
        <v>181 WJV</v>
      </c>
      <c r="E172" s="64" t="str">
        <f>IFERROR(__xludf.DUMMYFUNCTION("""COMPUTED_VALUE"""),"WJV")</f>
        <v>WJV</v>
      </c>
      <c r="F172" s="158" t="str">
        <f>IFERROR(__xludf.DUMMYFUNCTION("""COMPUTED_VALUE"""),"Brandon")</f>
        <v>Brandon</v>
      </c>
      <c r="G172" s="64">
        <f>IFERROR(__xludf.DUMMYFUNCTION("""COMPUTED_VALUE"""),169.1)</f>
        <v>169.1</v>
      </c>
      <c r="H172" s="158" t="str">
        <f>IFERROR(__xludf.DUMMYFUNCTION("""COMPUTED_VALUE"""),"Martin, Emma")</f>
        <v>Martin, Emma</v>
      </c>
      <c r="I172" s="159" t="str">
        <f>IFERROR(__xludf.DUMMYFUNCTION("""COMPUTED_VALUE"""),"210g")</f>
        <v>210g</v>
      </c>
      <c r="J172" s="64" t="str">
        <f>IFERROR(__xludf.DUMMYFUNCTION("""COMPUTED_VALUE"""),"215g")</f>
        <v>215g</v>
      </c>
      <c r="K172" s="64" t="str">
        <f>IFERROR(__xludf.DUMMYFUNCTION("""COMPUTED_VALUE"""),"225x")</f>
        <v>225x</v>
      </c>
      <c r="L172" s="64">
        <f>IFERROR(__xludf.DUMMYFUNCTION("""COMPUTED_VALUE"""),215.0)</f>
        <v>215</v>
      </c>
      <c r="M172" s="64" t="str">
        <f>IFERROR(__xludf.DUMMYFUNCTION("""COMPUTED_VALUE"""),"105x")</f>
        <v>105x</v>
      </c>
      <c r="N172" s="64" t="str">
        <f>IFERROR(__xludf.DUMMYFUNCTION("""COMPUTED_VALUE"""),"105g")</f>
        <v>105g</v>
      </c>
      <c r="O172" s="64" t="str">
        <f>IFERROR(__xludf.DUMMYFUNCTION("""COMPUTED_VALUE"""),"115x")</f>
        <v>115x</v>
      </c>
      <c r="P172" s="64">
        <f>IFERROR(__xludf.DUMMYFUNCTION("""COMPUTED_VALUE"""),105.0)</f>
        <v>105</v>
      </c>
      <c r="Q172" s="64" t="str">
        <f>IFERROR(__xludf.DUMMYFUNCTION("""COMPUTED_VALUE"""),"250g")</f>
        <v>250g</v>
      </c>
      <c r="R172" s="64" t="str">
        <f>IFERROR(__xludf.DUMMYFUNCTION("""COMPUTED_VALUE"""),"275g")</f>
        <v>275g</v>
      </c>
      <c r="S172" s="64" t="str">
        <f>IFERROR(__xludf.DUMMYFUNCTION("""COMPUTED_VALUE"""),"305x")</f>
        <v>305x</v>
      </c>
      <c r="T172" s="64">
        <f>IFERROR(__xludf.DUMMYFUNCTION("""COMPUTED_VALUE"""),275.0)</f>
        <v>275</v>
      </c>
      <c r="U172" s="64">
        <f>IFERROR(__xludf.DUMMYFUNCTION("""COMPUTED_VALUE"""),595.0)</f>
        <v>595</v>
      </c>
      <c r="V172" s="182">
        <f>IFERROR(__xludf.DUMMYFUNCTION("""COMPUTED_VALUE"""),3.518628030751035)</f>
        <v>3.518628031</v>
      </c>
      <c r="W172" s="57">
        <f>IFERROR(__xludf.DUMMYFUNCTION("""COMPUTED_VALUE"""),5.0)</f>
        <v>5</v>
      </c>
      <c r="X172" s="57"/>
      <c r="Y172" s="57"/>
    </row>
    <row r="173">
      <c r="B173" s="157" t="s">
        <v>127</v>
      </c>
      <c r="C173" s="157">
        <f>if(countif(F166:F172,F173)&gt;1,0,3)</f>
        <v>3</v>
      </c>
      <c r="D173" s="157" t="str">
        <f>IFERROR(__xludf.DUMMYFUNCTION("""COMPUTED_VALUE"""),"181 WJV")</f>
        <v>181 WJV</v>
      </c>
      <c r="E173" s="64" t="str">
        <f>IFERROR(__xludf.DUMMYFUNCTION("""COMPUTED_VALUE"""),"WJV")</f>
        <v>WJV</v>
      </c>
      <c r="F173" s="158" t="str">
        <f>IFERROR(__xludf.DUMMYFUNCTION("""COMPUTED_VALUE"""),"Henry Ford II")</f>
        <v>Henry Ford II</v>
      </c>
      <c r="G173" s="64">
        <f>IFERROR(__xludf.DUMMYFUNCTION("""COMPUTED_VALUE"""),180.0)</f>
        <v>180</v>
      </c>
      <c r="H173" s="158" t="str">
        <f>IFERROR(__xludf.DUMMYFUNCTION("""COMPUTED_VALUE"""),"O’Connor, Marissa")</f>
        <v>O’Connor, Marissa</v>
      </c>
      <c r="I173" s="159" t="str">
        <f>IFERROR(__xludf.DUMMYFUNCTION("""COMPUTED_VALUE"""),"220g")</f>
        <v>220g</v>
      </c>
      <c r="J173" s="64" t="str">
        <f>IFERROR(__xludf.DUMMYFUNCTION("""COMPUTED_VALUE"""),"230g")</f>
        <v>230g</v>
      </c>
      <c r="K173" s="64" t="str">
        <f>IFERROR(__xludf.DUMMYFUNCTION("""COMPUTED_VALUE"""),"245x")</f>
        <v>245x</v>
      </c>
      <c r="L173" s="64">
        <f>IFERROR(__xludf.DUMMYFUNCTION("""COMPUTED_VALUE"""),230.0)</f>
        <v>230</v>
      </c>
      <c r="M173" s="64" t="str">
        <f>IFERROR(__xludf.DUMMYFUNCTION("""COMPUTED_VALUE"""),"115g")</f>
        <v>115g</v>
      </c>
      <c r="N173" s="64" t="str">
        <f>IFERROR(__xludf.DUMMYFUNCTION("""COMPUTED_VALUE"""),"120x")</f>
        <v>120x</v>
      </c>
      <c r="O173" s="64" t="str">
        <f>IFERROR(__xludf.DUMMYFUNCTION("""COMPUTED_VALUE"""),"120g")</f>
        <v>120g</v>
      </c>
      <c r="P173" s="64">
        <f>IFERROR(__xludf.DUMMYFUNCTION("""COMPUTED_VALUE"""),120.0)</f>
        <v>120</v>
      </c>
      <c r="Q173" s="64" t="str">
        <f>IFERROR(__xludf.DUMMYFUNCTION("""COMPUTED_VALUE"""),"235g")</f>
        <v>235g</v>
      </c>
      <c r="R173" s="64" t="str">
        <f>IFERROR(__xludf.DUMMYFUNCTION("""COMPUTED_VALUE"""),"250x")</f>
        <v>250x</v>
      </c>
      <c r="S173" s="64" t="str">
        <f>IFERROR(__xludf.DUMMYFUNCTION("""COMPUTED_VALUE"""),"250x")</f>
        <v>250x</v>
      </c>
      <c r="T173" s="64">
        <f>IFERROR(__xludf.DUMMYFUNCTION("""COMPUTED_VALUE"""),235.0)</f>
        <v>235</v>
      </c>
      <c r="U173" s="64">
        <f>IFERROR(__xludf.DUMMYFUNCTION("""COMPUTED_VALUE"""),585.0)</f>
        <v>585</v>
      </c>
      <c r="V173" s="182">
        <f>IFERROR(__xludf.DUMMYFUNCTION("""COMPUTED_VALUE"""),3.25)</f>
        <v>3.25</v>
      </c>
      <c r="W173" s="57">
        <f>IFERROR(__xludf.DUMMYFUNCTION("""COMPUTED_VALUE"""),5.0)</f>
        <v>5</v>
      </c>
      <c r="X173" s="57"/>
      <c r="Y173" s="57"/>
    </row>
    <row r="174">
      <c r="B174" s="157" t="s">
        <v>128</v>
      </c>
      <c r="C174" s="157">
        <f>if(countif(F166:F173,F174)&gt;1,0,2)</f>
        <v>2</v>
      </c>
      <c r="D174" s="157" t="str">
        <f>IFERROR(__xludf.DUMMYFUNCTION("""COMPUTED_VALUE"""),"181 WJV")</f>
        <v>181 WJV</v>
      </c>
      <c r="E174" s="64" t="str">
        <f>IFERROR(__xludf.DUMMYFUNCTION("""COMPUTED_VALUE"""),"WJV")</f>
        <v>WJV</v>
      </c>
      <c r="F174" s="158" t="str">
        <f>IFERROR(__xludf.DUMMYFUNCTION("""COMPUTED_VALUE"""),"Flushing")</f>
        <v>Flushing</v>
      </c>
      <c r="G174" s="64">
        <f>IFERROR(__xludf.DUMMYFUNCTION("""COMPUTED_VALUE"""),174.6)</f>
        <v>174.6</v>
      </c>
      <c r="H174" s="158" t="str">
        <f>IFERROR(__xludf.DUMMYFUNCTION("""COMPUTED_VALUE"""),"Nikle, Abbegayle")</f>
        <v>Nikle, Abbegayle</v>
      </c>
      <c r="I174" s="159" t="str">
        <f>IFERROR(__xludf.DUMMYFUNCTION("""COMPUTED_VALUE"""),"165g")</f>
        <v>165g</v>
      </c>
      <c r="J174" s="64" t="str">
        <f>IFERROR(__xludf.DUMMYFUNCTION("""COMPUTED_VALUE"""),"175g")</f>
        <v>175g</v>
      </c>
      <c r="K174" s="64" t="str">
        <f>IFERROR(__xludf.DUMMYFUNCTION("""COMPUTED_VALUE"""),"195g")</f>
        <v>195g</v>
      </c>
      <c r="L174" s="64">
        <f>IFERROR(__xludf.DUMMYFUNCTION("""COMPUTED_VALUE"""),195.0)</f>
        <v>195</v>
      </c>
      <c r="M174" s="64" t="str">
        <f>IFERROR(__xludf.DUMMYFUNCTION("""COMPUTED_VALUE"""),"90g")</f>
        <v>90g</v>
      </c>
      <c r="N174" s="64" t="str">
        <f>IFERROR(__xludf.DUMMYFUNCTION("""COMPUTED_VALUE"""),"100g")</f>
        <v>100g</v>
      </c>
      <c r="O174" s="64" t="str">
        <f>IFERROR(__xludf.DUMMYFUNCTION("""COMPUTED_VALUE"""),"110x")</f>
        <v>110x</v>
      </c>
      <c r="P174" s="64">
        <f>IFERROR(__xludf.DUMMYFUNCTION("""COMPUTED_VALUE"""),100.0)</f>
        <v>100</v>
      </c>
      <c r="Q174" s="64" t="str">
        <f>IFERROR(__xludf.DUMMYFUNCTION("""COMPUTED_VALUE"""),"200g")</f>
        <v>200g</v>
      </c>
      <c r="R174" s="64" t="str">
        <f>IFERROR(__xludf.DUMMYFUNCTION("""COMPUTED_VALUE"""),"230g")</f>
        <v>230g</v>
      </c>
      <c r="S174" s="64" t="str">
        <f>IFERROR(__xludf.DUMMYFUNCTION("""COMPUTED_VALUE"""),"250g")</f>
        <v>250g</v>
      </c>
      <c r="T174" s="64">
        <f>IFERROR(__xludf.DUMMYFUNCTION("""COMPUTED_VALUE"""),250.0)</f>
        <v>250</v>
      </c>
      <c r="U174" s="64">
        <f>IFERROR(__xludf.DUMMYFUNCTION("""COMPUTED_VALUE"""),545.0)</f>
        <v>545</v>
      </c>
      <c r="V174" s="182">
        <f>IFERROR(__xludf.DUMMYFUNCTION("""COMPUTED_VALUE"""),3.1214203894616266)</f>
        <v>3.121420389</v>
      </c>
      <c r="W174" s="57">
        <f>IFERROR(__xludf.DUMMYFUNCTION("""COMPUTED_VALUE"""),8.0)</f>
        <v>8</v>
      </c>
      <c r="X174" s="57"/>
      <c r="Y174" s="57"/>
    </row>
    <row r="175">
      <c r="B175" s="157" t="s">
        <v>129</v>
      </c>
      <c r="C175" s="157">
        <f>if(countif(F166:F174,F175)&gt;1,0,1)</f>
        <v>1</v>
      </c>
      <c r="D175" s="157" t="str">
        <f>IFERROR(__xludf.DUMMYFUNCTION("""COMPUTED_VALUE"""),"181 WJV")</f>
        <v>181 WJV</v>
      </c>
      <c r="E175" s="64" t="str">
        <f>IFERROR(__xludf.DUMMYFUNCTION("""COMPUTED_VALUE"""),"WJV")</f>
        <v>WJV</v>
      </c>
      <c r="F175" s="158" t="str">
        <f>IFERROR(__xludf.DUMMYFUNCTION("""COMPUTED_VALUE"""),"Whitehall")</f>
        <v>Whitehall</v>
      </c>
      <c r="G175" s="64">
        <f>IFERROR(__xludf.DUMMYFUNCTION("""COMPUTED_VALUE"""),177.8)</f>
        <v>177.8</v>
      </c>
      <c r="H175" s="158" t="str">
        <f>IFERROR(__xludf.DUMMYFUNCTION("""COMPUTED_VALUE"""),"McWhinnie, Jade")</f>
        <v>McWhinnie, Jade</v>
      </c>
      <c r="I175" s="159" t="str">
        <f>IFERROR(__xludf.DUMMYFUNCTION("""COMPUTED_VALUE"""),"165g")</f>
        <v>165g</v>
      </c>
      <c r="J175" s="64" t="str">
        <f>IFERROR(__xludf.DUMMYFUNCTION("""COMPUTED_VALUE"""),"185x")</f>
        <v>185x</v>
      </c>
      <c r="K175" s="64" t="str">
        <f>IFERROR(__xludf.DUMMYFUNCTION("""COMPUTED_VALUE"""),"185x")</f>
        <v>185x</v>
      </c>
      <c r="L175" s="64">
        <f>IFERROR(__xludf.DUMMYFUNCTION("""COMPUTED_VALUE"""),165.0)</f>
        <v>165</v>
      </c>
      <c r="M175" s="64" t="str">
        <f>IFERROR(__xludf.DUMMYFUNCTION("""COMPUTED_VALUE"""),"95g")</f>
        <v>95g</v>
      </c>
      <c r="N175" s="64" t="str">
        <f>IFERROR(__xludf.DUMMYFUNCTION("""COMPUTED_VALUE"""),"100x")</f>
        <v>100x</v>
      </c>
      <c r="O175" s="64" t="str">
        <f>IFERROR(__xludf.DUMMYFUNCTION("""COMPUTED_VALUE"""),"100g")</f>
        <v>100g</v>
      </c>
      <c r="P175" s="64">
        <f>IFERROR(__xludf.DUMMYFUNCTION("""COMPUTED_VALUE"""),100.0)</f>
        <v>100</v>
      </c>
      <c r="Q175" s="64" t="str">
        <f>IFERROR(__xludf.DUMMYFUNCTION("""COMPUTED_VALUE"""),"275g")</f>
        <v>275g</v>
      </c>
      <c r="R175" s="64" t="str">
        <f>IFERROR(__xludf.DUMMYFUNCTION("""COMPUTED_VALUE"""),"300x")</f>
        <v>300x</v>
      </c>
      <c r="S175" s="64" t="str">
        <f>IFERROR(__xludf.DUMMYFUNCTION("""COMPUTED_VALUE"""),"300x")</f>
        <v>300x</v>
      </c>
      <c r="T175" s="64">
        <f>IFERROR(__xludf.DUMMYFUNCTION("""COMPUTED_VALUE"""),275.0)</f>
        <v>275</v>
      </c>
      <c r="U175" s="64">
        <f>IFERROR(__xludf.DUMMYFUNCTION("""COMPUTED_VALUE"""),540.0)</f>
        <v>540</v>
      </c>
      <c r="V175" s="182">
        <f>IFERROR(__xludf.DUMMYFUNCTION("""COMPUTED_VALUE"""),3.0371203599550056)</f>
        <v>3.03712036</v>
      </c>
      <c r="W175" s="57">
        <f>IFERROR(__xludf.DUMMYFUNCTION("""COMPUTED_VALUE"""),4.0)</f>
        <v>4</v>
      </c>
      <c r="X175" s="57"/>
      <c r="Y175" s="57"/>
    </row>
    <row r="176">
      <c r="A176" s="67">
        <v>181.0</v>
      </c>
      <c r="B176" s="68" t="s">
        <v>542</v>
      </c>
      <c r="C176" s="68">
        <v>0.0</v>
      </c>
      <c r="D176" s="68" t="str">
        <f>IFERROR(__xludf.DUMMYFUNCTION("""COMPUTED_VALUE"""),"181 WJV")</f>
        <v>181 WJV</v>
      </c>
      <c r="E176" s="69" t="str">
        <f>IFERROR(__xludf.DUMMYFUNCTION("""COMPUTED_VALUE"""),"WJV")</f>
        <v>WJV</v>
      </c>
      <c r="F176" s="70" t="str">
        <f>IFERROR(__xludf.DUMMYFUNCTION("""COMPUTED_VALUE"""),"Birch Run")</f>
        <v>Birch Run</v>
      </c>
      <c r="G176" s="69">
        <f>IFERROR(__xludf.DUMMYFUNCTION("""COMPUTED_VALUE"""),170.4)</f>
        <v>170.4</v>
      </c>
      <c r="H176" s="70" t="str">
        <f>IFERROR(__xludf.DUMMYFUNCTION("""COMPUTED_VALUE"""),"Smith, Melissa")</f>
        <v>Smith, Melissa</v>
      </c>
      <c r="I176" s="71" t="str">
        <f>IFERROR(__xludf.DUMMYFUNCTION("""COMPUTED_VALUE"""),"155x")</f>
        <v>155x</v>
      </c>
      <c r="J176" s="69" t="str">
        <f>IFERROR(__xludf.DUMMYFUNCTION("""COMPUTED_VALUE"""),"175g")</f>
        <v>175g</v>
      </c>
      <c r="K176" s="69" t="str">
        <f>IFERROR(__xludf.DUMMYFUNCTION("""COMPUTED_VALUE"""),"185g")</f>
        <v>185g</v>
      </c>
      <c r="L176" s="69">
        <f>IFERROR(__xludf.DUMMYFUNCTION("""COMPUTED_VALUE"""),185.0)</f>
        <v>185</v>
      </c>
      <c r="M176" s="69" t="str">
        <f>IFERROR(__xludf.DUMMYFUNCTION("""COMPUTED_VALUE"""),"70g")</f>
        <v>70g</v>
      </c>
      <c r="N176" s="69" t="str">
        <f>IFERROR(__xludf.DUMMYFUNCTION("""COMPUTED_VALUE"""),"80g")</f>
        <v>80g</v>
      </c>
      <c r="O176" s="69" t="str">
        <f>IFERROR(__xludf.DUMMYFUNCTION("""COMPUTED_VALUE"""),"90g")</f>
        <v>90g</v>
      </c>
      <c r="P176" s="69">
        <f>IFERROR(__xludf.DUMMYFUNCTION("""COMPUTED_VALUE"""),90.0)</f>
        <v>90</v>
      </c>
      <c r="Q176" s="69" t="str">
        <f>IFERROR(__xludf.DUMMYFUNCTION("""COMPUTED_VALUE"""),"200g")</f>
        <v>200g</v>
      </c>
      <c r="R176" s="69" t="str">
        <f>IFERROR(__xludf.DUMMYFUNCTION("""COMPUTED_VALUE"""),"220g")</f>
        <v>220g</v>
      </c>
      <c r="S176" s="69" t="str">
        <f>IFERROR(__xludf.DUMMYFUNCTION("""COMPUTED_VALUE"""),"240g")</f>
        <v>240g</v>
      </c>
      <c r="T176" s="69">
        <f>IFERROR(__xludf.DUMMYFUNCTION("""COMPUTED_VALUE"""),240.0)</f>
        <v>240</v>
      </c>
      <c r="U176" s="69">
        <f>IFERROR(__xludf.DUMMYFUNCTION("""COMPUTED_VALUE"""),515.0)</f>
        <v>515</v>
      </c>
      <c r="V176" s="183">
        <f>IFERROR(__xludf.DUMMYFUNCTION("""COMPUTED_VALUE"""),3.022300469483568)</f>
        <v>3.022300469</v>
      </c>
      <c r="W176" s="156">
        <f>IFERROR(__xludf.DUMMYFUNCTION("""COMPUTED_VALUE"""),8.0)</f>
        <v>8</v>
      </c>
      <c r="X176" s="156"/>
      <c r="Y176" s="156"/>
    </row>
    <row r="177">
      <c r="B177" s="68" t="s">
        <v>543</v>
      </c>
      <c r="C177" s="68">
        <v>0.0</v>
      </c>
      <c r="D177" s="68" t="str">
        <f>IFERROR(__xludf.DUMMYFUNCTION("""COMPUTED_VALUE"""),"181 WJV")</f>
        <v>181 WJV</v>
      </c>
      <c r="E177" s="69" t="str">
        <f>IFERROR(__xludf.DUMMYFUNCTION("""COMPUTED_VALUE"""),"WJV")</f>
        <v>WJV</v>
      </c>
      <c r="F177" s="70" t="str">
        <f>IFERROR(__xludf.DUMMYFUNCTION("""COMPUTED_VALUE"""),"Birch Run")</f>
        <v>Birch Run</v>
      </c>
      <c r="G177" s="69">
        <f>IFERROR(__xludf.DUMMYFUNCTION("""COMPUTED_VALUE"""),179.0)</f>
        <v>179</v>
      </c>
      <c r="H177" s="70" t="str">
        <f>IFERROR(__xludf.DUMMYFUNCTION("""COMPUTED_VALUE"""),"Gubbins, Olivia")</f>
        <v>Gubbins, Olivia</v>
      </c>
      <c r="I177" s="71" t="str">
        <f>IFERROR(__xludf.DUMMYFUNCTION("""COMPUTED_VALUE"""),"185g")</f>
        <v>185g</v>
      </c>
      <c r="J177" s="69" t="str">
        <f>IFERROR(__xludf.DUMMYFUNCTION("""COMPUTED_VALUE"""),"205x")</f>
        <v>205x</v>
      </c>
      <c r="K177" s="69" t="str">
        <f>IFERROR(__xludf.DUMMYFUNCTION("""COMPUTED_VALUE"""),"205x")</f>
        <v>205x</v>
      </c>
      <c r="L177" s="69">
        <f>IFERROR(__xludf.DUMMYFUNCTION("""COMPUTED_VALUE"""),185.0)</f>
        <v>185</v>
      </c>
      <c r="M177" s="69" t="str">
        <f>IFERROR(__xludf.DUMMYFUNCTION("""COMPUTED_VALUE"""),"100x")</f>
        <v>100x</v>
      </c>
      <c r="N177" s="69" t="str">
        <f>IFERROR(__xludf.DUMMYFUNCTION("""COMPUTED_VALUE"""),"100g")</f>
        <v>100g</v>
      </c>
      <c r="O177" s="69" t="str">
        <f>IFERROR(__xludf.DUMMYFUNCTION("""COMPUTED_VALUE"""),"115x")</f>
        <v>115x</v>
      </c>
      <c r="P177" s="69">
        <f>IFERROR(__xludf.DUMMYFUNCTION("""COMPUTED_VALUE"""),100.0)</f>
        <v>100</v>
      </c>
      <c r="Q177" s="69" t="str">
        <f>IFERROR(__xludf.DUMMYFUNCTION("""COMPUTED_VALUE"""),"205g")</f>
        <v>205g</v>
      </c>
      <c r="R177" s="69" t="str">
        <f>IFERROR(__xludf.DUMMYFUNCTION("""COMPUTED_VALUE"""),"225g")</f>
        <v>225g</v>
      </c>
      <c r="S177" s="69" t="str">
        <f>IFERROR(__xludf.DUMMYFUNCTION("""COMPUTED_VALUE"""),"245x")</f>
        <v>245x</v>
      </c>
      <c r="T177" s="69">
        <f>IFERROR(__xludf.DUMMYFUNCTION("""COMPUTED_VALUE"""),225.0)</f>
        <v>225</v>
      </c>
      <c r="U177" s="69">
        <f>IFERROR(__xludf.DUMMYFUNCTION("""COMPUTED_VALUE"""),510.0)</f>
        <v>510</v>
      </c>
      <c r="V177" s="183">
        <f>IFERROR(__xludf.DUMMYFUNCTION("""COMPUTED_VALUE"""),2.8491620111731844)</f>
        <v>2.849162011</v>
      </c>
      <c r="W177" s="156">
        <f>IFERROR(__xludf.DUMMYFUNCTION("""COMPUTED_VALUE"""),4.0)</f>
        <v>4</v>
      </c>
      <c r="X177" s="156"/>
      <c r="Y177" s="156"/>
    </row>
    <row r="178">
      <c r="B178" s="68" t="s">
        <v>544</v>
      </c>
      <c r="C178" s="68">
        <v>0.0</v>
      </c>
      <c r="D178" s="68" t="str">
        <f>IFERROR(__xludf.DUMMYFUNCTION("""COMPUTED_VALUE"""),"181 WJV")</f>
        <v>181 WJV</v>
      </c>
      <c r="E178" s="69" t="str">
        <f>IFERROR(__xludf.DUMMYFUNCTION("""COMPUTED_VALUE"""),"WJV")</f>
        <v>WJV</v>
      </c>
      <c r="F178" s="70" t="str">
        <f>IFERROR(__xludf.DUMMYFUNCTION("""COMPUTED_VALUE"""),"Grand Blanc")</f>
        <v>Grand Blanc</v>
      </c>
      <c r="G178" s="69">
        <f>IFERROR(__xludf.DUMMYFUNCTION("""COMPUTED_VALUE"""),173.4)</f>
        <v>173.4</v>
      </c>
      <c r="H178" s="70" t="str">
        <f>IFERROR(__xludf.DUMMYFUNCTION("""COMPUTED_VALUE"""),"Gaydos, Rachel")</f>
        <v>Gaydos, Rachel</v>
      </c>
      <c r="I178" s="71" t="str">
        <f>IFERROR(__xludf.DUMMYFUNCTION("""COMPUTED_VALUE"""),"165g")</f>
        <v>165g</v>
      </c>
      <c r="J178" s="69" t="str">
        <f>IFERROR(__xludf.DUMMYFUNCTION("""COMPUTED_VALUE"""),"175x")</f>
        <v>175x</v>
      </c>
      <c r="K178" s="69" t="str">
        <f>IFERROR(__xludf.DUMMYFUNCTION("""COMPUTED_VALUE"""),"175x")</f>
        <v>175x</v>
      </c>
      <c r="L178" s="69">
        <f>IFERROR(__xludf.DUMMYFUNCTION("""COMPUTED_VALUE"""),165.0)</f>
        <v>165</v>
      </c>
      <c r="M178" s="69" t="str">
        <f>IFERROR(__xludf.DUMMYFUNCTION("""COMPUTED_VALUE"""),"85g")</f>
        <v>85g</v>
      </c>
      <c r="N178" s="69" t="str">
        <f>IFERROR(__xludf.DUMMYFUNCTION("""COMPUTED_VALUE"""),"100g")</f>
        <v>100g</v>
      </c>
      <c r="O178" s="69" t="str">
        <f>IFERROR(__xludf.DUMMYFUNCTION("""COMPUTED_VALUE"""),"115x")</f>
        <v>115x</v>
      </c>
      <c r="P178" s="69">
        <f>IFERROR(__xludf.DUMMYFUNCTION("""COMPUTED_VALUE"""),100.0)</f>
        <v>100</v>
      </c>
      <c r="Q178" s="69" t="str">
        <f>IFERROR(__xludf.DUMMYFUNCTION("""COMPUTED_VALUE"""),"190g")</f>
        <v>190g</v>
      </c>
      <c r="R178" s="69" t="str">
        <f>IFERROR(__xludf.DUMMYFUNCTION("""COMPUTED_VALUE"""),"215g")</f>
        <v>215g</v>
      </c>
      <c r="S178" s="69" t="str">
        <f>IFERROR(__xludf.DUMMYFUNCTION("""COMPUTED_VALUE"""),"240g")</f>
        <v>240g</v>
      </c>
      <c r="T178" s="69">
        <f>IFERROR(__xludf.DUMMYFUNCTION("""COMPUTED_VALUE"""),240.0)</f>
        <v>240</v>
      </c>
      <c r="U178" s="69">
        <f>IFERROR(__xludf.DUMMYFUNCTION("""COMPUTED_VALUE"""),505.0)</f>
        <v>505</v>
      </c>
      <c r="V178" s="183">
        <f>IFERROR(__xludf.DUMMYFUNCTION("""COMPUTED_VALUE"""),2.9123414071510956)</f>
        <v>2.912341407</v>
      </c>
      <c r="W178" s="156">
        <f>IFERROR(__xludf.DUMMYFUNCTION("""COMPUTED_VALUE"""),6.0)</f>
        <v>6</v>
      </c>
      <c r="X178" s="156"/>
      <c r="Y178" s="156"/>
    </row>
    <row r="179">
      <c r="B179" s="68" t="s">
        <v>545</v>
      </c>
      <c r="C179" s="68">
        <v>0.0</v>
      </c>
      <c r="D179" s="68" t="str">
        <f>IFERROR(__xludf.DUMMYFUNCTION("""COMPUTED_VALUE"""),"181 WJV")</f>
        <v>181 WJV</v>
      </c>
      <c r="E179" s="69" t="str">
        <f>IFERROR(__xludf.DUMMYFUNCTION("""COMPUTED_VALUE"""),"WJV")</f>
        <v>WJV</v>
      </c>
      <c r="F179" s="70" t="str">
        <f>IFERROR(__xludf.DUMMYFUNCTION("""COMPUTED_VALUE"""),"Goodrich")</f>
        <v>Goodrich</v>
      </c>
      <c r="G179" s="69">
        <f>IFERROR(__xludf.DUMMYFUNCTION("""COMPUTED_VALUE"""),176.0)</f>
        <v>176</v>
      </c>
      <c r="H179" s="70" t="str">
        <f>IFERROR(__xludf.DUMMYFUNCTION("""COMPUTED_VALUE"""),"Tadajewski, Skylar")</f>
        <v>Tadajewski, Skylar</v>
      </c>
      <c r="I179" s="71" t="str">
        <f>IFERROR(__xludf.DUMMYFUNCTION("""COMPUTED_VALUE"""),"135g")</f>
        <v>135g</v>
      </c>
      <c r="J179" s="69" t="str">
        <f>IFERROR(__xludf.DUMMYFUNCTION("""COMPUTED_VALUE"""),"145x")</f>
        <v>145x</v>
      </c>
      <c r="K179" s="69" t="str">
        <f>IFERROR(__xludf.DUMMYFUNCTION("""COMPUTED_VALUE"""),"145x")</f>
        <v>145x</v>
      </c>
      <c r="L179" s="69">
        <f>IFERROR(__xludf.DUMMYFUNCTION("""COMPUTED_VALUE"""),135.0)</f>
        <v>135</v>
      </c>
      <c r="M179" s="69" t="str">
        <f>IFERROR(__xludf.DUMMYFUNCTION("""COMPUTED_VALUE"""),"85g")</f>
        <v>85g</v>
      </c>
      <c r="N179" s="69" t="str">
        <f>IFERROR(__xludf.DUMMYFUNCTION("""COMPUTED_VALUE"""),"95x")</f>
        <v>95x</v>
      </c>
      <c r="O179" s="69" t="str">
        <f>IFERROR(__xludf.DUMMYFUNCTION("""COMPUTED_VALUE"""),"95x")</f>
        <v>95x</v>
      </c>
      <c r="P179" s="69">
        <f>IFERROR(__xludf.DUMMYFUNCTION("""COMPUTED_VALUE"""),85.0)</f>
        <v>85</v>
      </c>
      <c r="Q179" s="69" t="str">
        <f>IFERROR(__xludf.DUMMYFUNCTION("""COMPUTED_VALUE"""),"185g")</f>
        <v>185g</v>
      </c>
      <c r="R179" s="69" t="str">
        <f>IFERROR(__xludf.DUMMYFUNCTION("""COMPUTED_VALUE"""),"225g")</f>
        <v>225g</v>
      </c>
      <c r="S179" s="69" t="str">
        <f>IFERROR(__xludf.DUMMYFUNCTION("""COMPUTED_VALUE"""),"245x")</f>
        <v>245x</v>
      </c>
      <c r="T179" s="69">
        <f>IFERROR(__xludf.DUMMYFUNCTION("""COMPUTED_VALUE"""),225.0)</f>
        <v>225</v>
      </c>
      <c r="U179" s="69">
        <f>IFERROR(__xludf.DUMMYFUNCTION("""COMPUTED_VALUE"""),445.0)</f>
        <v>445</v>
      </c>
      <c r="V179" s="183">
        <f>IFERROR(__xludf.DUMMYFUNCTION("""COMPUTED_VALUE"""),2.528409090909091)</f>
        <v>2.528409091</v>
      </c>
      <c r="W179" s="156">
        <f>IFERROR(__xludf.DUMMYFUNCTION("""COMPUTED_VALUE"""),4.0)</f>
        <v>4</v>
      </c>
      <c r="X179" s="156"/>
      <c r="Y179" s="156"/>
    </row>
    <row r="180">
      <c r="B180" s="68" t="s">
        <v>546</v>
      </c>
      <c r="C180" s="68">
        <v>0.0</v>
      </c>
      <c r="D180" s="68" t="str">
        <f>IFERROR(__xludf.DUMMYFUNCTION("""COMPUTED_VALUE"""),"181 WJV")</f>
        <v>181 WJV</v>
      </c>
      <c r="E180" s="69" t="str">
        <f>IFERROR(__xludf.DUMMYFUNCTION("""COMPUTED_VALUE"""),"WJV")</f>
        <v>WJV</v>
      </c>
      <c r="F180" s="70" t="str">
        <f>IFERROR(__xludf.DUMMYFUNCTION("""COMPUTED_VALUE"""),"Martin")</f>
        <v>Martin</v>
      </c>
      <c r="G180" s="69">
        <f>IFERROR(__xludf.DUMMYFUNCTION("""COMPUTED_VALUE"""),178.0)</f>
        <v>178</v>
      </c>
      <c r="H180" s="70" t="str">
        <f>IFERROR(__xludf.DUMMYFUNCTION("""COMPUTED_VALUE"""),"Keyzer, Ivy")</f>
        <v>Keyzer, Ivy</v>
      </c>
      <c r="I180" s="71" t="str">
        <f>IFERROR(__xludf.DUMMYFUNCTION("""COMPUTED_VALUE"""),"150g")</f>
        <v>150g</v>
      </c>
      <c r="J180" s="69" t="str">
        <f>IFERROR(__xludf.DUMMYFUNCTION("""COMPUTED_VALUE"""),"165g")</f>
        <v>165g</v>
      </c>
      <c r="K180" s="69" t="str">
        <f>IFERROR(__xludf.DUMMYFUNCTION("""COMPUTED_VALUE"""),"180g")</f>
        <v>180g</v>
      </c>
      <c r="L180" s="69">
        <f>IFERROR(__xludf.DUMMYFUNCTION("""COMPUTED_VALUE"""),180.0)</f>
        <v>180</v>
      </c>
      <c r="M180" s="69" t="str">
        <f>IFERROR(__xludf.DUMMYFUNCTION("""COMPUTED_VALUE"""),"60g")</f>
        <v>60g</v>
      </c>
      <c r="N180" s="69" t="str">
        <f>IFERROR(__xludf.DUMMYFUNCTION("""COMPUTED_VALUE"""),"70g")</f>
        <v>70g</v>
      </c>
      <c r="O180" s="69" t="str">
        <f>IFERROR(__xludf.DUMMYFUNCTION("""COMPUTED_VALUE"""),"80x")</f>
        <v>80x</v>
      </c>
      <c r="P180" s="69">
        <f>IFERROR(__xludf.DUMMYFUNCTION("""COMPUTED_VALUE"""),70.0)</f>
        <v>70</v>
      </c>
      <c r="Q180" s="69" t="str">
        <f>IFERROR(__xludf.DUMMYFUNCTION("""COMPUTED_VALUE"""),"160g")</f>
        <v>160g</v>
      </c>
      <c r="R180" s="69" t="str">
        <f>IFERROR(__xludf.DUMMYFUNCTION("""COMPUTED_VALUE"""),"170g")</f>
        <v>170g</v>
      </c>
      <c r="S180" s="69" t="str">
        <f>IFERROR(__xludf.DUMMYFUNCTION("""COMPUTED_VALUE"""),"180x")</f>
        <v>180x</v>
      </c>
      <c r="T180" s="69">
        <f>IFERROR(__xludf.DUMMYFUNCTION("""COMPUTED_VALUE"""),170.0)</f>
        <v>170</v>
      </c>
      <c r="U180" s="69">
        <f>IFERROR(__xludf.DUMMYFUNCTION("""COMPUTED_VALUE"""),420.0)</f>
        <v>420</v>
      </c>
      <c r="V180" s="183">
        <f>IFERROR(__xludf.DUMMYFUNCTION("""COMPUTED_VALUE"""),2.359550561797753)</f>
        <v>2.359550562</v>
      </c>
      <c r="W180" s="156">
        <f>IFERROR(__xludf.DUMMYFUNCTION("""COMPUTED_VALUE"""),7.0)</f>
        <v>7</v>
      </c>
      <c r="X180" s="156"/>
      <c r="Y180" s="156"/>
    </row>
    <row r="181">
      <c r="B181" s="68" t="s">
        <v>547</v>
      </c>
      <c r="C181" s="68">
        <v>0.0</v>
      </c>
      <c r="D181" s="68" t="str">
        <f>IFERROR(__xludf.DUMMYFUNCTION("""COMPUTED_VALUE"""),"181 WJV")</f>
        <v>181 WJV</v>
      </c>
      <c r="E181" s="69" t="str">
        <f>IFERROR(__xludf.DUMMYFUNCTION("""COMPUTED_VALUE"""),"WJV")</f>
        <v>WJV</v>
      </c>
      <c r="F181" s="70" t="str">
        <f>IFERROR(__xludf.DUMMYFUNCTION("""COMPUTED_VALUE"""),"Kalkaska")</f>
        <v>Kalkaska</v>
      </c>
      <c r="G181" s="69">
        <f>IFERROR(__xludf.DUMMYFUNCTION("""COMPUTED_VALUE"""),175.0)</f>
        <v>175</v>
      </c>
      <c r="H181" s="70" t="str">
        <f>IFERROR(__xludf.DUMMYFUNCTION("""COMPUTED_VALUE"""),"Rosin, Jenna")</f>
        <v>Rosin, Jenna</v>
      </c>
      <c r="I181" s="71" t="str">
        <f>IFERROR(__xludf.DUMMYFUNCTION("""COMPUTED_VALUE"""),"55g")</f>
        <v>55g</v>
      </c>
      <c r="J181" s="69" t="str">
        <f>IFERROR(__xludf.DUMMYFUNCTION("""COMPUTED_VALUE"""),"65g")</f>
        <v>65g</v>
      </c>
      <c r="K181" s="69" t="str">
        <f>IFERROR(__xludf.DUMMYFUNCTION("""COMPUTED_VALUE"""),"80g")</f>
        <v>80g</v>
      </c>
      <c r="L181" s="69">
        <f>IFERROR(__xludf.DUMMYFUNCTION("""COMPUTED_VALUE"""),80.0)</f>
        <v>80</v>
      </c>
      <c r="M181" s="69" t="str">
        <f>IFERROR(__xludf.DUMMYFUNCTION("""COMPUTED_VALUE"""),"55x")</f>
        <v>55x</v>
      </c>
      <c r="N181" s="69" t="str">
        <f>IFERROR(__xludf.DUMMYFUNCTION("""COMPUTED_VALUE"""),"55g")</f>
        <v>55g</v>
      </c>
      <c r="O181" s="69" t="str">
        <f>IFERROR(__xludf.DUMMYFUNCTION("""COMPUTED_VALUE"""),"65x")</f>
        <v>65x</v>
      </c>
      <c r="P181" s="69">
        <f>IFERROR(__xludf.DUMMYFUNCTION("""COMPUTED_VALUE"""),55.0)</f>
        <v>55</v>
      </c>
      <c r="Q181" s="69" t="str">
        <f>IFERROR(__xludf.DUMMYFUNCTION("""COMPUTED_VALUE"""),"155g")</f>
        <v>155g</v>
      </c>
      <c r="R181" s="69" t="str">
        <f>IFERROR(__xludf.DUMMYFUNCTION("""COMPUTED_VALUE"""),"165g")</f>
        <v>165g</v>
      </c>
      <c r="S181" s="69" t="str">
        <f>IFERROR(__xludf.DUMMYFUNCTION("""COMPUTED_VALUE"""),"185x")</f>
        <v>185x</v>
      </c>
      <c r="T181" s="69">
        <f>IFERROR(__xludf.DUMMYFUNCTION("""COMPUTED_VALUE"""),165.0)</f>
        <v>165</v>
      </c>
      <c r="U181" s="69">
        <f>IFERROR(__xludf.DUMMYFUNCTION("""COMPUTED_VALUE"""),300.0)</f>
        <v>300</v>
      </c>
      <c r="V181" s="183">
        <f>IFERROR(__xludf.DUMMYFUNCTION("""COMPUTED_VALUE"""),1.7142857142857142)</f>
        <v>1.714285714</v>
      </c>
      <c r="W181" s="156">
        <f>IFERROR(__xludf.DUMMYFUNCTION("""COMPUTED_VALUE"""),6.0)</f>
        <v>6</v>
      </c>
      <c r="X181" s="156"/>
      <c r="Y181" s="156"/>
    </row>
    <row r="182">
      <c r="B182" s="68" t="s">
        <v>548</v>
      </c>
      <c r="C182" s="68">
        <v>0.0</v>
      </c>
      <c r="D182" s="68" t="str">
        <f>IFERROR(__xludf.DUMMYFUNCTION("""COMPUTED_VALUE"""),"181 WJV")</f>
        <v>181 WJV</v>
      </c>
      <c r="E182" s="69" t="str">
        <f>IFERROR(__xludf.DUMMYFUNCTION("""COMPUTED_VALUE"""),"WJV")</f>
        <v>WJV</v>
      </c>
      <c r="F182" s="70" t="str">
        <f>IFERROR(__xludf.DUMMYFUNCTION("""COMPUTED_VALUE"""),"Standish-Sterling")</f>
        <v>Standish-Sterling</v>
      </c>
      <c r="G182" s="69">
        <f>IFERROR(__xludf.DUMMYFUNCTION("""COMPUTED_VALUE"""),170.8)</f>
        <v>170.8</v>
      </c>
      <c r="H182" s="70" t="str">
        <f>IFERROR(__xludf.DUMMYFUNCTION("""COMPUTED_VALUE"""),"Kraatz, Carissa")</f>
        <v>Kraatz, Carissa</v>
      </c>
      <c r="I182" s="71" t="str">
        <f>IFERROR(__xludf.DUMMYFUNCTION("""COMPUTED_VALUE"""),"165x")</f>
        <v>165x</v>
      </c>
      <c r="J182" s="69" t="str">
        <f>IFERROR(__xludf.DUMMYFUNCTION("""COMPUTED_VALUE"""),"165x")</f>
        <v>165x</v>
      </c>
      <c r="K182" s="69" t="str">
        <f>IFERROR(__xludf.DUMMYFUNCTION("""COMPUTED_VALUE"""),"165x")</f>
        <v>165x</v>
      </c>
      <c r="L182" s="69">
        <f>IFERROR(__xludf.DUMMYFUNCTION("""COMPUTED_VALUE"""),0.0)</f>
        <v>0</v>
      </c>
      <c r="M182" s="69" t="str">
        <f>IFERROR(__xludf.DUMMYFUNCTION("""COMPUTED_VALUE"""),"85g")</f>
        <v>85g</v>
      </c>
      <c r="N182" s="69" t="str">
        <f>IFERROR(__xludf.DUMMYFUNCTION("""COMPUTED_VALUE"""),"95x")</f>
        <v>95x</v>
      </c>
      <c r="O182" s="69" t="str">
        <f>IFERROR(__xludf.DUMMYFUNCTION("""COMPUTED_VALUE"""),"95x")</f>
        <v>95x</v>
      </c>
      <c r="P182" s="69">
        <f>IFERROR(__xludf.DUMMYFUNCTION("""COMPUTED_VALUE"""),85.0)</f>
        <v>85</v>
      </c>
      <c r="Q182" s="69" t="str">
        <f>IFERROR(__xludf.DUMMYFUNCTION("""COMPUTED_VALUE"""),"235g")</f>
        <v>235g</v>
      </c>
      <c r="R182" s="69" t="str">
        <f>IFERROR(__xludf.DUMMYFUNCTION("""COMPUTED_VALUE"""),"265x")</f>
        <v>265x</v>
      </c>
      <c r="S182" s="69" t="str">
        <f>IFERROR(__xludf.DUMMYFUNCTION("""COMPUTED_VALUE"""),"265x")</f>
        <v>265x</v>
      </c>
      <c r="T182" s="69">
        <f>IFERROR(__xludf.DUMMYFUNCTION("""COMPUTED_VALUE"""),235.0)</f>
        <v>235</v>
      </c>
      <c r="U182" s="69">
        <f>IFERROR(__xludf.DUMMYFUNCTION("""COMPUTED_VALUE"""),0.0)</f>
        <v>0</v>
      </c>
      <c r="V182" s="183">
        <f>IFERROR(__xludf.DUMMYFUNCTION("""COMPUTED_VALUE"""),0.0)</f>
        <v>0</v>
      </c>
      <c r="W182" s="156">
        <f>IFERROR(__xludf.DUMMYFUNCTION("""COMPUTED_VALUE"""),2.0)</f>
        <v>2</v>
      </c>
      <c r="X182" s="156"/>
      <c r="Y182" s="156"/>
    </row>
    <row r="183">
      <c r="B183" s="68" t="s">
        <v>549</v>
      </c>
      <c r="C183" s="68">
        <v>0.0</v>
      </c>
      <c r="D183" s="68"/>
      <c r="E183" s="69"/>
      <c r="F183" s="70"/>
      <c r="G183" s="69"/>
      <c r="H183" s="70"/>
      <c r="I183" s="71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156"/>
      <c r="X183" s="156"/>
      <c r="Y183" s="156"/>
    </row>
    <row r="184">
      <c r="B184" s="68" t="s">
        <v>550</v>
      </c>
      <c r="C184" s="68">
        <v>0.0</v>
      </c>
      <c r="D184" s="68"/>
      <c r="E184" s="69"/>
      <c r="F184" s="70"/>
      <c r="G184" s="69"/>
      <c r="H184" s="70"/>
      <c r="I184" s="71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156"/>
      <c r="X184" s="156"/>
      <c r="Y184" s="156"/>
    </row>
    <row r="185">
      <c r="B185" s="68" t="s">
        <v>551</v>
      </c>
      <c r="C185" s="68">
        <v>0.0</v>
      </c>
      <c r="D185" s="68"/>
      <c r="E185" s="69"/>
      <c r="F185" s="70"/>
      <c r="G185" s="69"/>
      <c r="H185" s="70"/>
      <c r="I185" s="71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156"/>
      <c r="X185" s="156"/>
      <c r="Y185" s="156"/>
    </row>
    <row r="186">
      <c r="A186" s="58">
        <v>198.0</v>
      </c>
      <c r="B186" s="157" t="s">
        <v>120</v>
      </c>
      <c r="C186" s="157">
        <v>12.0</v>
      </c>
      <c r="D186" s="157" t="str">
        <f>IFERROR(__xludf.DUMMYFUNCTION("ARRAY_CONSTRAIN(filter('All Platforms'!A3:T1802,'All Platforms'!A3:A1802=""198 WJV""),20,20)"),"198 WJV")</f>
        <v>198 WJV</v>
      </c>
      <c r="E186" s="64" t="str">
        <f>IFERROR(__xludf.DUMMYFUNCTION("""COMPUTED_VALUE"""),"WJV")</f>
        <v>WJV</v>
      </c>
      <c r="F186" s="158" t="str">
        <f>IFERROR(__xludf.DUMMYFUNCTION("""COMPUTED_VALUE"""),"Flushing")</f>
        <v>Flushing</v>
      </c>
      <c r="G186" s="64">
        <f>IFERROR(__xludf.DUMMYFUNCTION("""COMPUTED_VALUE"""),192.0)</f>
        <v>192</v>
      </c>
      <c r="H186" s="158" t="str">
        <f>IFERROR(__xludf.DUMMYFUNCTION("""COMPUTED_VALUE"""),"Presley, Arissa")</f>
        <v>Presley, Arissa</v>
      </c>
      <c r="I186" s="159" t="str">
        <f>IFERROR(__xludf.DUMMYFUNCTION("""COMPUTED_VALUE"""),"245g")</f>
        <v>245g</v>
      </c>
      <c r="J186" s="64" t="str">
        <f>IFERROR(__xludf.DUMMYFUNCTION("""COMPUTED_VALUE"""),"265x")</f>
        <v>265x</v>
      </c>
      <c r="K186" s="64" t="str">
        <f>IFERROR(__xludf.DUMMYFUNCTION("""COMPUTED_VALUE"""),"270g")</f>
        <v>270g</v>
      </c>
      <c r="L186" s="64">
        <f>IFERROR(__xludf.DUMMYFUNCTION("""COMPUTED_VALUE"""),270.0)</f>
        <v>270</v>
      </c>
      <c r="M186" s="64" t="str">
        <f>IFERROR(__xludf.DUMMYFUNCTION("""COMPUTED_VALUE"""),"90g")</f>
        <v>90g</v>
      </c>
      <c r="N186" s="64" t="str">
        <f>IFERROR(__xludf.DUMMYFUNCTION("""COMPUTED_VALUE"""),"100g")</f>
        <v>100g</v>
      </c>
      <c r="O186" s="64" t="str">
        <f>IFERROR(__xludf.DUMMYFUNCTION("""COMPUTED_VALUE"""),"105x")</f>
        <v>105x</v>
      </c>
      <c r="P186" s="64">
        <f>IFERROR(__xludf.DUMMYFUNCTION("""COMPUTED_VALUE"""),100.0)</f>
        <v>100</v>
      </c>
      <c r="Q186" s="64" t="str">
        <f>IFERROR(__xludf.DUMMYFUNCTION("""COMPUTED_VALUE"""),"245g")</f>
        <v>245g</v>
      </c>
      <c r="R186" s="64" t="str">
        <f>IFERROR(__xludf.DUMMYFUNCTION("""COMPUTED_VALUE"""),"265g")</f>
        <v>265g</v>
      </c>
      <c r="S186" s="64" t="str">
        <f>IFERROR(__xludf.DUMMYFUNCTION("""COMPUTED_VALUE"""),"280g")</f>
        <v>280g</v>
      </c>
      <c r="T186" s="64">
        <f>IFERROR(__xludf.DUMMYFUNCTION("""COMPUTED_VALUE"""),280.0)</f>
        <v>280</v>
      </c>
      <c r="U186" s="64">
        <f>IFERROR(__xludf.DUMMYFUNCTION("""COMPUTED_VALUE"""),650.0)</f>
        <v>650</v>
      </c>
      <c r="V186" s="182">
        <f>IFERROR(__xludf.DUMMYFUNCTION("""COMPUTED_VALUE"""),3.3854166666666665)</f>
        <v>3.385416667</v>
      </c>
      <c r="W186" s="57">
        <f>IFERROR(__xludf.DUMMYFUNCTION("""COMPUTED_VALUE"""),7.0)</f>
        <v>7</v>
      </c>
      <c r="X186" s="160"/>
      <c r="Y186" s="57"/>
    </row>
    <row r="187">
      <c r="B187" s="157" t="s">
        <v>121</v>
      </c>
      <c r="C187" s="157">
        <v>9.0</v>
      </c>
      <c r="D187" s="157" t="str">
        <f>IFERROR(__xludf.DUMMYFUNCTION("""COMPUTED_VALUE"""),"198 WJV")</f>
        <v>198 WJV</v>
      </c>
      <c r="E187" s="64" t="str">
        <f>IFERROR(__xludf.DUMMYFUNCTION("""COMPUTED_VALUE"""),"WJV")</f>
        <v>WJV</v>
      </c>
      <c r="F187" s="158" t="str">
        <f>IFERROR(__xludf.DUMMYFUNCTION("""COMPUTED_VALUE"""),"Dowagiac")</f>
        <v>Dowagiac</v>
      </c>
      <c r="G187" s="64">
        <f>IFERROR(__xludf.DUMMYFUNCTION("""COMPUTED_VALUE"""),192.2)</f>
        <v>192.2</v>
      </c>
      <c r="H187" s="158" t="str">
        <f>IFERROR(__xludf.DUMMYFUNCTION("""COMPUTED_VALUE"""),"Carpenter, Sierra")</f>
        <v>Carpenter, Sierra</v>
      </c>
      <c r="I187" s="159" t="str">
        <f>IFERROR(__xludf.DUMMYFUNCTION("""COMPUTED_VALUE"""),"215x")</f>
        <v>215x</v>
      </c>
      <c r="J187" s="64" t="str">
        <f>IFERROR(__xludf.DUMMYFUNCTION("""COMPUTED_VALUE"""),"215g")</f>
        <v>215g</v>
      </c>
      <c r="K187" s="64" t="str">
        <f>IFERROR(__xludf.DUMMYFUNCTION("""COMPUTED_VALUE"""),"225g")</f>
        <v>225g</v>
      </c>
      <c r="L187" s="64">
        <f>IFERROR(__xludf.DUMMYFUNCTION("""COMPUTED_VALUE"""),225.0)</f>
        <v>225</v>
      </c>
      <c r="M187" s="64" t="str">
        <f>IFERROR(__xludf.DUMMYFUNCTION("""COMPUTED_VALUE"""),"115g")</f>
        <v>115g</v>
      </c>
      <c r="N187" s="64" t="str">
        <f>IFERROR(__xludf.DUMMYFUNCTION("""COMPUTED_VALUE"""),"125g")</f>
        <v>125g</v>
      </c>
      <c r="O187" s="64" t="str">
        <f>IFERROR(__xludf.DUMMYFUNCTION("""COMPUTED_VALUE"""),"135x")</f>
        <v>135x</v>
      </c>
      <c r="P187" s="64">
        <f>IFERROR(__xludf.DUMMYFUNCTION("""COMPUTED_VALUE"""),125.0)</f>
        <v>125</v>
      </c>
      <c r="Q187" s="64" t="str">
        <f>IFERROR(__xludf.DUMMYFUNCTION("""COMPUTED_VALUE"""),"250g")</f>
        <v>250g</v>
      </c>
      <c r="R187" s="64" t="str">
        <f>IFERROR(__xludf.DUMMYFUNCTION("""COMPUTED_VALUE"""),"270g")</f>
        <v>270g</v>
      </c>
      <c r="S187" s="64" t="str">
        <f>IFERROR(__xludf.DUMMYFUNCTION("""COMPUTED_VALUE"""),"300g")</f>
        <v>300g</v>
      </c>
      <c r="T187" s="64">
        <f>IFERROR(__xludf.DUMMYFUNCTION("""COMPUTED_VALUE"""),300.0)</f>
        <v>300</v>
      </c>
      <c r="U187" s="64">
        <f>IFERROR(__xludf.DUMMYFUNCTION("""COMPUTED_VALUE"""),650.0)</f>
        <v>650</v>
      </c>
      <c r="V187" s="182">
        <f>IFERROR(__xludf.DUMMYFUNCTION("""COMPUTED_VALUE"""),3.381893860561915)</f>
        <v>3.381893861</v>
      </c>
      <c r="W187" s="57">
        <f>IFERROR(__xludf.DUMMYFUNCTION("""COMPUTED_VALUE"""),7.0)</f>
        <v>7</v>
      </c>
      <c r="X187" s="160"/>
      <c r="Y187" s="57"/>
    </row>
    <row r="188">
      <c r="B188" s="157" t="s">
        <v>122</v>
      </c>
      <c r="C188" s="157">
        <f>if(countif(F186:F187,F188)&gt;1,0,8)</f>
        <v>8</v>
      </c>
      <c r="D188" s="157" t="str">
        <f>IFERROR(__xludf.DUMMYFUNCTION("""COMPUTED_VALUE"""),"198 WJV")</f>
        <v>198 WJV</v>
      </c>
      <c r="E188" s="64" t="str">
        <f>IFERROR(__xludf.DUMMYFUNCTION("""COMPUTED_VALUE"""),"WJV")</f>
        <v>WJV</v>
      </c>
      <c r="F188" s="158" t="str">
        <f>IFERROR(__xludf.DUMMYFUNCTION("""COMPUTED_VALUE"""),"Goodrich")</f>
        <v>Goodrich</v>
      </c>
      <c r="G188" s="64">
        <f>IFERROR(__xludf.DUMMYFUNCTION("""COMPUTED_VALUE"""),187.2)</f>
        <v>187.2</v>
      </c>
      <c r="H188" s="158" t="str">
        <f>IFERROR(__xludf.DUMMYFUNCTION("""COMPUTED_VALUE"""),"Vickory, Roxanne")</f>
        <v>Vickory, Roxanne</v>
      </c>
      <c r="I188" s="159" t="str">
        <f>IFERROR(__xludf.DUMMYFUNCTION("""COMPUTED_VALUE"""),"200g")</f>
        <v>200g</v>
      </c>
      <c r="J188" s="64" t="str">
        <f>IFERROR(__xludf.DUMMYFUNCTION("""COMPUTED_VALUE"""),"215x")</f>
        <v>215x</v>
      </c>
      <c r="K188" s="64" t="str">
        <f>IFERROR(__xludf.DUMMYFUNCTION("""COMPUTED_VALUE"""),"225g")</f>
        <v>225g</v>
      </c>
      <c r="L188" s="64">
        <f>IFERROR(__xludf.DUMMYFUNCTION("""COMPUTED_VALUE"""),225.0)</f>
        <v>225</v>
      </c>
      <c r="M188" s="64" t="str">
        <f>IFERROR(__xludf.DUMMYFUNCTION("""COMPUTED_VALUE"""),"95g")</f>
        <v>95g</v>
      </c>
      <c r="N188" s="64" t="str">
        <f>IFERROR(__xludf.DUMMYFUNCTION("""COMPUTED_VALUE"""),"105g")</f>
        <v>105g</v>
      </c>
      <c r="O188" s="64" t="str">
        <f>IFERROR(__xludf.DUMMYFUNCTION("""COMPUTED_VALUE"""),"110x")</f>
        <v>110x</v>
      </c>
      <c r="P188" s="64">
        <f>IFERROR(__xludf.DUMMYFUNCTION("""COMPUTED_VALUE"""),105.0)</f>
        <v>105</v>
      </c>
      <c r="Q188" s="64" t="str">
        <f>IFERROR(__xludf.DUMMYFUNCTION("""COMPUTED_VALUE"""),"275g")</f>
        <v>275g</v>
      </c>
      <c r="R188" s="64" t="str">
        <f>IFERROR(__xludf.DUMMYFUNCTION("""COMPUTED_VALUE"""),"300x")</f>
        <v>300x</v>
      </c>
      <c r="S188" s="64" t="str">
        <f>IFERROR(__xludf.DUMMYFUNCTION("""COMPUTED_VALUE"""),"305g")</f>
        <v>305g</v>
      </c>
      <c r="T188" s="64">
        <f>IFERROR(__xludf.DUMMYFUNCTION("""COMPUTED_VALUE"""),305.0)</f>
        <v>305</v>
      </c>
      <c r="U188" s="64">
        <f>IFERROR(__xludf.DUMMYFUNCTION("""COMPUTED_VALUE"""),635.0)</f>
        <v>635</v>
      </c>
      <c r="V188" s="182">
        <f>IFERROR(__xludf.DUMMYFUNCTION("""COMPUTED_VALUE"""),3.3920940170940175)</f>
        <v>3.392094017</v>
      </c>
      <c r="W188" s="57">
        <f>IFERROR(__xludf.DUMMYFUNCTION("""COMPUTED_VALUE"""),6.0)</f>
        <v>6</v>
      </c>
      <c r="X188" s="57"/>
      <c r="Y188" s="57"/>
    </row>
    <row r="189">
      <c r="B189" s="157" t="s">
        <v>123</v>
      </c>
      <c r="C189" s="157">
        <f>if(countif(F186:F188,F189)&gt;1,0,7)</f>
        <v>7</v>
      </c>
      <c r="D189" s="157" t="str">
        <f>IFERROR(__xludf.DUMMYFUNCTION("""COMPUTED_VALUE"""),"198 WJV")</f>
        <v>198 WJV</v>
      </c>
      <c r="E189" s="64" t="str">
        <f>IFERROR(__xludf.DUMMYFUNCTION("""COMPUTED_VALUE"""),"WJV")</f>
        <v>WJV</v>
      </c>
      <c r="F189" s="158" t="str">
        <f>IFERROR(__xludf.DUMMYFUNCTION("""COMPUTED_VALUE"""),"Kingston")</f>
        <v>Kingston</v>
      </c>
      <c r="G189" s="64">
        <f>IFERROR(__xludf.DUMMYFUNCTION("""COMPUTED_VALUE"""),197.0)</f>
        <v>197</v>
      </c>
      <c r="H189" s="158" t="str">
        <f>IFERROR(__xludf.DUMMYFUNCTION("""COMPUTED_VALUE"""),"Haag, Mariea Ann")</f>
        <v>Haag, Mariea Ann</v>
      </c>
      <c r="I189" s="159" t="str">
        <f>IFERROR(__xludf.DUMMYFUNCTION("""COMPUTED_VALUE"""),"165g")</f>
        <v>165g</v>
      </c>
      <c r="J189" s="64" t="str">
        <f>IFERROR(__xludf.DUMMYFUNCTION("""COMPUTED_VALUE"""),"185g")</f>
        <v>185g</v>
      </c>
      <c r="K189" s="64" t="str">
        <f>IFERROR(__xludf.DUMMYFUNCTION("""COMPUTED_VALUE"""),"210g")</f>
        <v>210g</v>
      </c>
      <c r="L189" s="64">
        <f>IFERROR(__xludf.DUMMYFUNCTION("""COMPUTED_VALUE"""),210.0)</f>
        <v>210</v>
      </c>
      <c r="M189" s="64" t="str">
        <f>IFERROR(__xludf.DUMMYFUNCTION("""COMPUTED_VALUE"""),"100g")</f>
        <v>100g</v>
      </c>
      <c r="N189" s="64" t="str">
        <f>IFERROR(__xludf.DUMMYFUNCTION("""COMPUTED_VALUE"""),"120g")</f>
        <v>120g</v>
      </c>
      <c r="O189" s="64" t="str">
        <f>IFERROR(__xludf.DUMMYFUNCTION("""COMPUTED_VALUE"""),"135x")</f>
        <v>135x</v>
      </c>
      <c r="P189" s="64">
        <f>IFERROR(__xludf.DUMMYFUNCTION("""COMPUTED_VALUE"""),120.0)</f>
        <v>120</v>
      </c>
      <c r="Q189" s="64" t="str">
        <f>IFERROR(__xludf.DUMMYFUNCTION("""COMPUTED_VALUE"""),"270g")</f>
        <v>270g</v>
      </c>
      <c r="R189" s="64" t="str">
        <f>IFERROR(__xludf.DUMMYFUNCTION("""COMPUTED_VALUE"""),"285g")</f>
        <v>285g</v>
      </c>
      <c r="S189" s="64" t="str">
        <f>IFERROR(__xludf.DUMMYFUNCTION("""COMPUTED_VALUE"""),"310x")</f>
        <v>310x</v>
      </c>
      <c r="T189" s="64">
        <f>IFERROR(__xludf.DUMMYFUNCTION("""COMPUTED_VALUE"""),285.0)</f>
        <v>285</v>
      </c>
      <c r="U189" s="64">
        <f>IFERROR(__xludf.DUMMYFUNCTION("""COMPUTED_VALUE"""),615.0)</f>
        <v>615</v>
      </c>
      <c r="V189" s="182">
        <f>IFERROR(__xludf.DUMMYFUNCTION("""COMPUTED_VALUE"""),3.1218274111675126)</f>
        <v>3.121827411</v>
      </c>
      <c r="W189" s="57">
        <f>IFERROR(__xludf.DUMMYFUNCTION("""COMPUTED_VALUE"""),7.0)</f>
        <v>7</v>
      </c>
      <c r="X189" s="57"/>
      <c r="Y189" s="57"/>
    </row>
    <row r="190">
      <c r="B190" s="157" t="s">
        <v>124</v>
      </c>
      <c r="C190" s="157">
        <f>if(countif(F186:F189,F190)&gt;1,0,6)</f>
        <v>6</v>
      </c>
      <c r="D190" s="157" t="str">
        <f>IFERROR(__xludf.DUMMYFUNCTION("""COMPUTED_VALUE"""),"198 WJV")</f>
        <v>198 WJV</v>
      </c>
      <c r="E190" s="64" t="str">
        <f>IFERROR(__xludf.DUMMYFUNCTION("""COMPUTED_VALUE"""),"WJV")</f>
        <v>WJV</v>
      </c>
      <c r="F190" s="158" t="str">
        <f>IFERROR(__xludf.DUMMYFUNCTION("""COMPUTED_VALUE"""),"Grass Lake")</f>
        <v>Grass Lake</v>
      </c>
      <c r="G190" s="64">
        <f>IFERROR(__xludf.DUMMYFUNCTION("""COMPUTED_VALUE"""),193.6)</f>
        <v>193.6</v>
      </c>
      <c r="H190" s="158" t="str">
        <f>IFERROR(__xludf.DUMMYFUNCTION("""COMPUTED_VALUE"""),"Sherwood, Jennifer")</f>
        <v>Sherwood, Jennifer</v>
      </c>
      <c r="I190" s="159" t="str">
        <f>IFERROR(__xludf.DUMMYFUNCTION("""COMPUTED_VALUE"""),"210g")</f>
        <v>210g</v>
      </c>
      <c r="J190" s="64" t="str">
        <f>IFERROR(__xludf.DUMMYFUNCTION("""COMPUTED_VALUE"""),"225x")</f>
        <v>225x</v>
      </c>
      <c r="K190" s="64" t="str">
        <f>IFERROR(__xludf.DUMMYFUNCTION("""COMPUTED_VALUE"""),"235x")</f>
        <v>235x</v>
      </c>
      <c r="L190" s="64">
        <f>IFERROR(__xludf.DUMMYFUNCTION("""COMPUTED_VALUE"""),210.0)</f>
        <v>210</v>
      </c>
      <c r="M190" s="64" t="str">
        <f>IFERROR(__xludf.DUMMYFUNCTION("""COMPUTED_VALUE"""),"110g")</f>
        <v>110g</v>
      </c>
      <c r="N190" s="64" t="str">
        <f>IFERROR(__xludf.DUMMYFUNCTION("""COMPUTED_VALUE"""),"120g")</f>
        <v>120g</v>
      </c>
      <c r="O190" s="64" t="str">
        <f>IFERROR(__xludf.DUMMYFUNCTION("""COMPUTED_VALUE"""),"135x")</f>
        <v>135x</v>
      </c>
      <c r="P190" s="64">
        <f>IFERROR(__xludf.DUMMYFUNCTION("""COMPUTED_VALUE"""),120.0)</f>
        <v>120</v>
      </c>
      <c r="Q190" s="64" t="str">
        <f>IFERROR(__xludf.DUMMYFUNCTION("""COMPUTED_VALUE"""),"260g")</f>
        <v>260g</v>
      </c>
      <c r="R190" s="64" t="str">
        <f>IFERROR(__xludf.DUMMYFUNCTION("""COMPUTED_VALUE"""),"280g")</f>
        <v>280g</v>
      </c>
      <c r="S190" s="64" t="str">
        <f>IFERROR(__xludf.DUMMYFUNCTION("""COMPUTED_VALUE"""),"300x")</f>
        <v>300x</v>
      </c>
      <c r="T190" s="64">
        <f>IFERROR(__xludf.DUMMYFUNCTION("""COMPUTED_VALUE"""),280.0)</f>
        <v>280</v>
      </c>
      <c r="U190" s="64">
        <f>IFERROR(__xludf.DUMMYFUNCTION("""COMPUTED_VALUE"""),610.0)</f>
        <v>610</v>
      </c>
      <c r="V190" s="182">
        <f>IFERROR(__xludf.DUMMYFUNCTION("""COMPUTED_VALUE"""),3.1508264462809916)</f>
        <v>3.150826446</v>
      </c>
      <c r="W190" s="57">
        <f>IFERROR(__xludf.DUMMYFUNCTION("""COMPUTED_VALUE"""),5.0)</f>
        <v>5</v>
      </c>
      <c r="X190" s="57"/>
      <c r="Y190" s="57"/>
    </row>
    <row r="191">
      <c r="B191" s="157" t="s">
        <v>125</v>
      </c>
      <c r="C191" s="157">
        <f>if(countif(F186:F190,F191)&gt;1,0,5)</f>
        <v>5</v>
      </c>
      <c r="D191" s="157" t="str">
        <f>IFERROR(__xludf.DUMMYFUNCTION("""COMPUTED_VALUE"""),"198 WJV")</f>
        <v>198 WJV</v>
      </c>
      <c r="E191" s="64" t="str">
        <f>IFERROR(__xludf.DUMMYFUNCTION("""COMPUTED_VALUE"""),"WJV")</f>
        <v>WJV</v>
      </c>
      <c r="F191" s="158" t="str">
        <f>IFERROR(__xludf.DUMMYFUNCTION("""COMPUTED_VALUE"""),"WHITEHALL")</f>
        <v>WHITEHALL</v>
      </c>
      <c r="G191" s="64">
        <f>IFERROR(__xludf.DUMMYFUNCTION("""COMPUTED_VALUE"""),186.0)</f>
        <v>186</v>
      </c>
      <c r="H191" s="158" t="str">
        <f>IFERROR(__xludf.DUMMYFUNCTION("""COMPUTED_VALUE"""),"Hendrickson, Elly")</f>
        <v>Hendrickson, Elly</v>
      </c>
      <c r="I191" s="159" t="str">
        <f>IFERROR(__xludf.DUMMYFUNCTION("""COMPUTED_VALUE"""),"135g")</f>
        <v>135g</v>
      </c>
      <c r="J191" s="64" t="str">
        <f>IFERROR(__xludf.DUMMYFUNCTION("""COMPUTED_VALUE"""),"165g")</f>
        <v>165g</v>
      </c>
      <c r="K191" s="64" t="str">
        <f>IFERROR(__xludf.DUMMYFUNCTION("""COMPUTED_VALUE"""),"185x")</f>
        <v>185x</v>
      </c>
      <c r="L191" s="64">
        <f>IFERROR(__xludf.DUMMYFUNCTION("""COMPUTED_VALUE"""),165.0)</f>
        <v>165</v>
      </c>
      <c r="M191" s="64" t="str">
        <f>IFERROR(__xludf.DUMMYFUNCTION("""COMPUTED_VALUE"""),"85g")</f>
        <v>85g</v>
      </c>
      <c r="N191" s="64" t="str">
        <f>IFERROR(__xludf.DUMMYFUNCTION("""COMPUTED_VALUE"""),"95g")</f>
        <v>95g</v>
      </c>
      <c r="O191" s="64" t="str">
        <f>IFERROR(__xludf.DUMMYFUNCTION("""COMPUTED_VALUE"""),"105g")</f>
        <v>105g</v>
      </c>
      <c r="P191" s="64">
        <f>IFERROR(__xludf.DUMMYFUNCTION("""COMPUTED_VALUE"""),105.0)</f>
        <v>105</v>
      </c>
      <c r="Q191" s="64" t="str">
        <f>IFERROR(__xludf.DUMMYFUNCTION("""COMPUTED_VALUE"""),"240g")</f>
        <v>240g</v>
      </c>
      <c r="R191" s="64" t="str">
        <f>IFERROR(__xludf.DUMMYFUNCTION("""COMPUTED_VALUE"""),"260g")</f>
        <v>260g</v>
      </c>
      <c r="S191" s="64" t="str">
        <f>IFERROR(__xludf.DUMMYFUNCTION("""COMPUTED_VALUE"""),"280g")</f>
        <v>280g</v>
      </c>
      <c r="T191" s="64">
        <f>IFERROR(__xludf.DUMMYFUNCTION("""COMPUTED_VALUE"""),280.0)</f>
        <v>280</v>
      </c>
      <c r="U191" s="64">
        <f>IFERROR(__xludf.DUMMYFUNCTION("""COMPUTED_VALUE"""),550.0)</f>
        <v>550</v>
      </c>
      <c r="V191" s="182">
        <f>IFERROR(__xludf.DUMMYFUNCTION("""COMPUTED_VALUE"""),2.956989247311828)</f>
        <v>2.956989247</v>
      </c>
      <c r="W191" s="57">
        <f>IFERROR(__xludf.DUMMYFUNCTION("""COMPUTED_VALUE"""),8.0)</f>
        <v>8</v>
      </c>
      <c r="X191" s="57"/>
      <c r="Y191" s="57"/>
    </row>
    <row r="192">
      <c r="B192" s="157" t="s">
        <v>126</v>
      </c>
      <c r="C192" s="157">
        <f>if(countif(F186:F191,F192)&gt;1,0,4)</f>
        <v>4</v>
      </c>
      <c r="D192" s="157" t="str">
        <f>IFERROR(__xludf.DUMMYFUNCTION("""COMPUTED_VALUE"""),"198 WJV")</f>
        <v>198 WJV</v>
      </c>
      <c r="E192" s="64" t="str">
        <f>IFERROR(__xludf.DUMMYFUNCTION("""COMPUTED_VALUE"""),"WJV")</f>
        <v>WJV</v>
      </c>
      <c r="F192" s="158" t="str">
        <f>IFERROR(__xludf.DUMMYFUNCTION("""COMPUTED_VALUE"""),"Hartford")</f>
        <v>Hartford</v>
      </c>
      <c r="G192" s="64">
        <f>IFERROR(__xludf.DUMMYFUNCTION("""COMPUTED_VALUE"""),195.8)</f>
        <v>195.8</v>
      </c>
      <c r="H192" s="158" t="str">
        <f>IFERROR(__xludf.DUMMYFUNCTION("""COMPUTED_VALUE"""),"Wilson, Emily")</f>
        <v>Wilson, Emily</v>
      </c>
      <c r="I192" s="159" t="str">
        <f>IFERROR(__xludf.DUMMYFUNCTION("""COMPUTED_VALUE"""),"165g")</f>
        <v>165g</v>
      </c>
      <c r="J192" s="64" t="str">
        <f>IFERROR(__xludf.DUMMYFUNCTION("""COMPUTED_VALUE"""),"185g")</f>
        <v>185g</v>
      </c>
      <c r="K192" s="64" t="str">
        <f>IFERROR(__xludf.DUMMYFUNCTION("""COMPUTED_VALUE"""),"200g")</f>
        <v>200g</v>
      </c>
      <c r="L192" s="64">
        <f>IFERROR(__xludf.DUMMYFUNCTION("""COMPUTED_VALUE"""),200.0)</f>
        <v>200</v>
      </c>
      <c r="M192" s="64" t="str">
        <f>IFERROR(__xludf.DUMMYFUNCTION("""COMPUTED_VALUE"""),"95g")</f>
        <v>95g</v>
      </c>
      <c r="N192" s="64" t="str">
        <f>IFERROR(__xludf.DUMMYFUNCTION("""COMPUTED_VALUE"""),"110g")</f>
        <v>110g</v>
      </c>
      <c r="O192" s="64" t="str">
        <f>IFERROR(__xludf.DUMMYFUNCTION("""COMPUTED_VALUE"""),"120g")</f>
        <v>120g</v>
      </c>
      <c r="P192" s="64">
        <f>IFERROR(__xludf.DUMMYFUNCTION("""COMPUTED_VALUE"""),120.0)</f>
        <v>120</v>
      </c>
      <c r="Q192" s="64" t="str">
        <f>IFERROR(__xludf.DUMMYFUNCTION("""COMPUTED_VALUE"""),"180g")</f>
        <v>180g</v>
      </c>
      <c r="R192" s="64" t="str">
        <f>IFERROR(__xludf.DUMMYFUNCTION("""COMPUTED_VALUE"""),"200g")</f>
        <v>200g</v>
      </c>
      <c r="S192" s="64" t="str">
        <f>IFERROR(__xludf.DUMMYFUNCTION("""COMPUTED_VALUE"""),"225g")</f>
        <v>225g</v>
      </c>
      <c r="T192" s="64">
        <f>IFERROR(__xludf.DUMMYFUNCTION("""COMPUTED_VALUE"""),225.0)</f>
        <v>225</v>
      </c>
      <c r="U192" s="64">
        <f>IFERROR(__xludf.DUMMYFUNCTION("""COMPUTED_VALUE"""),545.0)</f>
        <v>545</v>
      </c>
      <c r="V192" s="182">
        <f>IFERROR(__xludf.DUMMYFUNCTION("""COMPUTED_VALUE"""),2.783452502553626)</f>
        <v>2.783452503</v>
      </c>
      <c r="W192" s="57">
        <f>IFERROR(__xludf.DUMMYFUNCTION("""COMPUTED_VALUE"""),9.0)</f>
        <v>9</v>
      </c>
      <c r="X192" s="57"/>
      <c r="Y192" s="57"/>
    </row>
    <row r="193">
      <c r="B193" s="157" t="s">
        <v>127</v>
      </c>
      <c r="C193" s="157">
        <f>if(countif(F186:F192,F193)&gt;1,0,3)</f>
        <v>3</v>
      </c>
      <c r="D193" s="157" t="str">
        <f>IFERROR(__xludf.DUMMYFUNCTION("""COMPUTED_VALUE"""),"198 WJV")</f>
        <v>198 WJV</v>
      </c>
      <c r="E193" s="64" t="str">
        <f>IFERROR(__xludf.DUMMYFUNCTION("""COMPUTED_VALUE"""),"WJV")</f>
        <v>WJV</v>
      </c>
      <c r="F193" s="158" t="str">
        <f>IFERROR(__xludf.DUMMYFUNCTION("""COMPUTED_VALUE"""),"Central Montcalm")</f>
        <v>Central Montcalm</v>
      </c>
      <c r="G193" s="64">
        <f>IFERROR(__xludf.DUMMYFUNCTION("""COMPUTED_VALUE"""),194.2)</f>
        <v>194.2</v>
      </c>
      <c r="H193" s="158" t="str">
        <f>IFERROR(__xludf.DUMMYFUNCTION("""COMPUTED_VALUE"""),"McKeown, Kyla")</f>
        <v>McKeown, Kyla</v>
      </c>
      <c r="I193" s="159" t="str">
        <f>IFERROR(__xludf.DUMMYFUNCTION("""COMPUTED_VALUE"""),"160g")</f>
        <v>160g</v>
      </c>
      <c r="J193" s="64" t="str">
        <f>IFERROR(__xludf.DUMMYFUNCTION("""COMPUTED_VALUE"""),"185g")</f>
        <v>185g</v>
      </c>
      <c r="K193" s="64" t="str">
        <f>IFERROR(__xludf.DUMMYFUNCTION("""COMPUTED_VALUE"""),"200x")</f>
        <v>200x</v>
      </c>
      <c r="L193" s="64">
        <f>IFERROR(__xludf.DUMMYFUNCTION("""COMPUTED_VALUE"""),185.0)</f>
        <v>185</v>
      </c>
      <c r="M193" s="64" t="str">
        <f>IFERROR(__xludf.DUMMYFUNCTION("""COMPUTED_VALUE"""),"115g")</f>
        <v>115g</v>
      </c>
      <c r="N193" s="64" t="str">
        <f>IFERROR(__xludf.DUMMYFUNCTION("""COMPUTED_VALUE"""),"125g")</f>
        <v>125g</v>
      </c>
      <c r="O193" s="64" t="str">
        <f>IFERROR(__xludf.DUMMYFUNCTION("""COMPUTED_VALUE"""),"135x")</f>
        <v>135x</v>
      </c>
      <c r="P193" s="64">
        <f>IFERROR(__xludf.DUMMYFUNCTION("""COMPUTED_VALUE"""),125.0)</f>
        <v>125</v>
      </c>
      <c r="Q193" s="64" t="str">
        <f>IFERROR(__xludf.DUMMYFUNCTION("""COMPUTED_VALUE"""),"200g")</f>
        <v>200g</v>
      </c>
      <c r="R193" s="64" t="str">
        <f>IFERROR(__xludf.DUMMYFUNCTION("""COMPUTED_VALUE"""),"230g")</f>
        <v>230g</v>
      </c>
      <c r="S193" s="64" t="str">
        <f>IFERROR(__xludf.DUMMYFUNCTION("""COMPUTED_VALUE"""),"245x")</f>
        <v>245x</v>
      </c>
      <c r="T193" s="64">
        <f>IFERROR(__xludf.DUMMYFUNCTION("""COMPUTED_VALUE"""),230.0)</f>
        <v>230</v>
      </c>
      <c r="U193" s="64">
        <f>IFERROR(__xludf.DUMMYFUNCTION("""COMPUTED_VALUE"""),540.0)</f>
        <v>540</v>
      </c>
      <c r="V193" s="182">
        <f>IFERROR(__xludf.DUMMYFUNCTION("""COMPUTED_VALUE"""),2.780638516992791)</f>
        <v>2.780638517</v>
      </c>
      <c r="W193" s="57">
        <f>IFERROR(__xludf.DUMMYFUNCTION("""COMPUTED_VALUE"""),6.0)</f>
        <v>6</v>
      </c>
      <c r="X193" s="57"/>
      <c r="Y193" s="57"/>
    </row>
    <row r="194">
      <c r="B194" s="157" t="s">
        <v>128</v>
      </c>
      <c r="C194" s="157">
        <f>if(countif(F186:F193,F194)&gt;1,0,2)</f>
        <v>2</v>
      </c>
      <c r="D194" s="157" t="str">
        <f>IFERROR(__xludf.DUMMYFUNCTION("""COMPUTED_VALUE"""),"198 WJV")</f>
        <v>198 WJV</v>
      </c>
      <c r="E194" s="64" t="str">
        <f>IFERROR(__xludf.DUMMYFUNCTION("""COMPUTED_VALUE"""),"WJV")</f>
        <v>WJV</v>
      </c>
      <c r="F194" s="158" t="str">
        <f>IFERROR(__xludf.DUMMYFUNCTION("""COMPUTED_VALUE"""),"Henry Ford II")</f>
        <v>Henry Ford II</v>
      </c>
      <c r="G194" s="64">
        <f>IFERROR(__xludf.DUMMYFUNCTION("""COMPUTED_VALUE"""),194.4)</f>
        <v>194.4</v>
      </c>
      <c r="H194" s="158" t="str">
        <f>IFERROR(__xludf.DUMMYFUNCTION("""COMPUTED_VALUE"""),"Beninati, Maria")</f>
        <v>Beninati, Maria</v>
      </c>
      <c r="I194" s="159" t="str">
        <f>IFERROR(__xludf.DUMMYFUNCTION("""COMPUTED_VALUE"""),"185x")</f>
        <v>185x</v>
      </c>
      <c r="J194" s="64" t="str">
        <f>IFERROR(__xludf.DUMMYFUNCTION("""COMPUTED_VALUE"""),"185g")</f>
        <v>185g</v>
      </c>
      <c r="K194" s="64" t="str">
        <f>IFERROR(__xludf.DUMMYFUNCTION("""COMPUTED_VALUE"""),"200x")</f>
        <v>200x</v>
      </c>
      <c r="L194" s="64">
        <f>IFERROR(__xludf.DUMMYFUNCTION("""COMPUTED_VALUE"""),185.0)</f>
        <v>185</v>
      </c>
      <c r="M194" s="64" t="str">
        <f>IFERROR(__xludf.DUMMYFUNCTION("""COMPUTED_VALUE"""),"85g")</f>
        <v>85g</v>
      </c>
      <c r="N194" s="64" t="str">
        <f>IFERROR(__xludf.DUMMYFUNCTION("""COMPUTED_VALUE"""),"95x")</f>
        <v>95x</v>
      </c>
      <c r="O194" s="64" t="str">
        <f>IFERROR(__xludf.DUMMYFUNCTION("""COMPUTED_VALUE"""),"95g")</f>
        <v>95g</v>
      </c>
      <c r="P194" s="64">
        <f>IFERROR(__xludf.DUMMYFUNCTION("""COMPUTED_VALUE"""),95.0)</f>
        <v>95</v>
      </c>
      <c r="Q194" s="64" t="str">
        <f>IFERROR(__xludf.DUMMYFUNCTION("""COMPUTED_VALUE"""),"240g")</f>
        <v>240g</v>
      </c>
      <c r="R194" s="64" t="str">
        <f>IFERROR(__xludf.DUMMYFUNCTION("""COMPUTED_VALUE"""),"250g")</f>
        <v>250g</v>
      </c>
      <c r="S194" s="64" t="str">
        <f>IFERROR(__xludf.DUMMYFUNCTION("""COMPUTED_VALUE"""),"260x")</f>
        <v>260x</v>
      </c>
      <c r="T194" s="64">
        <f>IFERROR(__xludf.DUMMYFUNCTION("""COMPUTED_VALUE"""),250.0)</f>
        <v>250</v>
      </c>
      <c r="U194" s="64">
        <f>IFERROR(__xludf.DUMMYFUNCTION("""COMPUTED_VALUE"""),530.0)</f>
        <v>530</v>
      </c>
      <c r="V194" s="182">
        <f>IFERROR(__xludf.DUMMYFUNCTION("""COMPUTED_VALUE"""),2.7263374485596708)</f>
        <v>2.726337449</v>
      </c>
      <c r="W194" s="57">
        <f>IFERROR(__xludf.DUMMYFUNCTION("""COMPUTED_VALUE"""),5.0)</f>
        <v>5</v>
      </c>
      <c r="X194" s="57"/>
      <c r="Y194" s="57"/>
    </row>
    <row r="195">
      <c r="B195" s="157" t="s">
        <v>129</v>
      </c>
      <c r="C195" s="157">
        <f>if(countif(F186:F194,F195)&gt;1,0,1)</f>
        <v>1</v>
      </c>
      <c r="D195" s="157" t="str">
        <f>IFERROR(__xludf.DUMMYFUNCTION("""COMPUTED_VALUE"""),"198 WJV")</f>
        <v>198 WJV</v>
      </c>
      <c r="E195" s="64" t="str">
        <f>IFERROR(__xludf.DUMMYFUNCTION("""COMPUTED_VALUE"""),"WJV")</f>
        <v>WJV</v>
      </c>
      <c r="F195" s="158" t="str">
        <f>IFERROR(__xludf.DUMMYFUNCTION("""COMPUTED_VALUE"""),"Cros-Lex")</f>
        <v>Cros-Lex</v>
      </c>
      <c r="G195" s="64">
        <f>IFERROR(__xludf.DUMMYFUNCTION("""COMPUTED_VALUE"""),183.4)</f>
        <v>183.4</v>
      </c>
      <c r="H195" s="158" t="str">
        <f>IFERROR(__xludf.DUMMYFUNCTION("""COMPUTED_VALUE"""),"Zimmerman, Camryn")</f>
        <v>Zimmerman, Camryn</v>
      </c>
      <c r="I195" s="159" t="str">
        <f>IFERROR(__xludf.DUMMYFUNCTION("""COMPUTED_VALUE"""),"175g")</f>
        <v>175g</v>
      </c>
      <c r="J195" s="64" t="str">
        <f>IFERROR(__xludf.DUMMYFUNCTION("""COMPUTED_VALUE"""),"185g")</f>
        <v>185g</v>
      </c>
      <c r="K195" s="64" t="str">
        <f>IFERROR(__xludf.DUMMYFUNCTION("""COMPUTED_VALUE"""),"195g")</f>
        <v>195g</v>
      </c>
      <c r="L195" s="64">
        <f>IFERROR(__xludf.DUMMYFUNCTION("""COMPUTED_VALUE"""),195.0)</f>
        <v>195</v>
      </c>
      <c r="M195" s="64" t="str">
        <f>IFERROR(__xludf.DUMMYFUNCTION("""COMPUTED_VALUE"""),"90g")</f>
        <v>90g</v>
      </c>
      <c r="N195" s="64" t="str">
        <f>IFERROR(__xludf.DUMMYFUNCTION("""COMPUTED_VALUE"""),"90g")</f>
        <v>90g</v>
      </c>
      <c r="O195" s="64" t="str">
        <f>IFERROR(__xludf.DUMMYFUNCTION("""COMPUTED_VALUE"""),"100g")</f>
        <v>100g</v>
      </c>
      <c r="P195" s="64">
        <f>IFERROR(__xludf.DUMMYFUNCTION("""COMPUTED_VALUE"""),100.0)</f>
        <v>100</v>
      </c>
      <c r="Q195" s="64" t="str">
        <f>IFERROR(__xludf.DUMMYFUNCTION("""COMPUTED_VALUE"""),"215g")</f>
        <v>215g</v>
      </c>
      <c r="R195" s="64" t="str">
        <f>IFERROR(__xludf.DUMMYFUNCTION("""COMPUTED_VALUE"""),"225g")</f>
        <v>225g</v>
      </c>
      <c r="S195" s="64" t="str">
        <f>IFERROR(__xludf.DUMMYFUNCTION("""COMPUTED_VALUE"""),"250x")</f>
        <v>250x</v>
      </c>
      <c r="T195" s="64">
        <f>IFERROR(__xludf.DUMMYFUNCTION("""COMPUTED_VALUE"""),225.0)</f>
        <v>225</v>
      </c>
      <c r="U195" s="64">
        <f>IFERROR(__xludf.DUMMYFUNCTION("""COMPUTED_VALUE"""),520.0)</f>
        <v>520</v>
      </c>
      <c r="V195" s="182">
        <f>IFERROR(__xludf.DUMMYFUNCTION("""COMPUTED_VALUE"""),2.8353326063249726)</f>
        <v>2.835332606</v>
      </c>
      <c r="W195" s="57">
        <f>IFERROR(__xludf.DUMMYFUNCTION("""COMPUTED_VALUE"""),8.0)</f>
        <v>8</v>
      </c>
      <c r="X195" s="160">
        <v>1.0</v>
      </c>
      <c r="Y195" s="57"/>
    </row>
    <row r="196">
      <c r="A196" s="67">
        <v>198.0</v>
      </c>
      <c r="B196" s="68" t="s">
        <v>542</v>
      </c>
      <c r="C196" s="68">
        <v>0.0</v>
      </c>
      <c r="D196" s="68" t="str">
        <f>IFERROR(__xludf.DUMMYFUNCTION("""COMPUTED_VALUE"""),"198 WJV")</f>
        <v>198 WJV</v>
      </c>
      <c r="E196" s="69" t="str">
        <f>IFERROR(__xludf.DUMMYFUNCTION("""COMPUTED_VALUE"""),"WJV")</f>
        <v>WJV</v>
      </c>
      <c r="F196" s="70" t="str">
        <f>IFERROR(__xludf.DUMMYFUNCTION("""COMPUTED_VALUE"""),"Lake Orion")</f>
        <v>Lake Orion</v>
      </c>
      <c r="G196" s="69">
        <f>IFERROR(__xludf.DUMMYFUNCTION("""COMPUTED_VALUE"""),190.4)</f>
        <v>190.4</v>
      </c>
      <c r="H196" s="70" t="str">
        <f>IFERROR(__xludf.DUMMYFUNCTION("""COMPUTED_VALUE"""),"Delong, Isabella")</f>
        <v>Delong, Isabella</v>
      </c>
      <c r="I196" s="71" t="str">
        <f>IFERROR(__xludf.DUMMYFUNCTION("""COMPUTED_VALUE"""),"145g")</f>
        <v>145g</v>
      </c>
      <c r="J196" s="69" t="str">
        <f>IFERROR(__xludf.DUMMYFUNCTION("""COMPUTED_VALUE"""),"150x")</f>
        <v>150x</v>
      </c>
      <c r="K196" s="69" t="str">
        <f>IFERROR(__xludf.DUMMYFUNCTION("""COMPUTED_VALUE"""),"150g")</f>
        <v>150g</v>
      </c>
      <c r="L196" s="69">
        <f>IFERROR(__xludf.DUMMYFUNCTION("""COMPUTED_VALUE"""),150.0)</f>
        <v>150</v>
      </c>
      <c r="M196" s="69" t="str">
        <f>IFERROR(__xludf.DUMMYFUNCTION("""COMPUTED_VALUE"""),"115g")</f>
        <v>115g</v>
      </c>
      <c r="N196" s="69" t="str">
        <f>IFERROR(__xludf.DUMMYFUNCTION("""COMPUTED_VALUE"""),"120x")</f>
        <v>120x</v>
      </c>
      <c r="O196" s="69" t="str">
        <f>IFERROR(__xludf.DUMMYFUNCTION("""COMPUTED_VALUE"""),"120x")</f>
        <v>120x</v>
      </c>
      <c r="P196" s="69">
        <f>IFERROR(__xludf.DUMMYFUNCTION("""COMPUTED_VALUE"""),115.0)</f>
        <v>115</v>
      </c>
      <c r="Q196" s="69" t="str">
        <f>IFERROR(__xludf.DUMMYFUNCTION("""COMPUTED_VALUE"""),"225g")</f>
        <v>225g</v>
      </c>
      <c r="R196" s="69" t="str">
        <f>IFERROR(__xludf.DUMMYFUNCTION("""COMPUTED_VALUE"""),"235g")</f>
        <v>235g</v>
      </c>
      <c r="S196" s="69" t="str">
        <f>IFERROR(__xludf.DUMMYFUNCTION("""COMPUTED_VALUE"""),"250x")</f>
        <v>250x</v>
      </c>
      <c r="T196" s="69">
        <f>IFERROR(__xludf.DUMMYFUNCTION("""COMPUTED_VALUE"""),235.0)</f>
        <v>235</v>
      </c>
      <c r="U196" s="69">
        <f>IFERROR(__xludf.DUMMYFUNCTION("""COMPUTED_VALUE"""),500.0)</f>
        <v>500</v>
      </c>
      <c r="V196" s="183">
        <f>IFERROR(__xludf.DUMMYFUNCTION("""COMPUTED_VALUE"""),2.6260504201680672)</f>
        <v>2.62605042</v>
      </c>
      <c r="W196" s="156">
        <f>IFERROR(__xludf.DUMMYFUNCTION("""COMPUTED_VALUE"""),5.0)</f>
        <v>5</v>
      </c>
      <c r="X196" s="161">
        <v>2.0</v>
      </c>
      <c r="Y196" s="156"/>
    </row>
    <row r="197">
      <c r="B197" s="68" t="s">
        <v>543</v>
      </c>
      <c r="C197" s="68">
        <v>0.0</v>
      </c>
      <c r="D197" s="68" t="str">
        <f>IFERROR(__xludf.DUMMYFUNCTION("""COMPUTED_VALUE"""),"198 WJV")</f>
        <v>198 WJV</v>
      </c>
      <c r="E197" s="69" t="str">
        <f>IFERROR(__xludf.DUMMYFUNCTION("""COMPUTED_VALUE"""),"WJV")</f>
        <v>WJV</v>
      </c>
      <c r="F197" s="70" t="str">
        <f>IFERROR(__xludf.DUMMYFUNCTION("""COMPUTED_VALUE"""),"Port Huron")</f>
        <v>Port Huron</v>
      </c>
      <c r="G197" s="69">
        <f>IFERROR(__xludf.DUMMYFUNCTION("""COMPUTED_VALUE"""),195.2)</f>
        <v>195.2</v>
      </c>
      <c r="H197" s="70" t="str">
        <f>IFERROR(__xludf.DUMMYFUNCTION("""COMPUTED_VALUE"""),"Howard, Ajalen")</f>
        <v>Howard, Ajalen</v>
      </c>
      <c r="I197" s="71" t="str">
        <f>IFERROR(__xludf.DUMMYFUNCTION("""COMPUTED_VALUE"""),"115g")</f>
        <v>115g</v>
      </c>
      <c r="J197" s="69" t="str">
        <f>IFERROR(__xludf.DUMMYFUNCTION("""COMPUTED_VALUE"""),"125x")</f>
        <v>125x</v>
      </c>
      <c r="K197" s="69" t="str">
        <f>IFERROR(__xludf.DUMMYFUNCTION("""COMPUTED_VALUE"""),"135g")</f>
        <v>135g</v>
      </c>
      <c r="L197" s="69">
        <f>IFERROR(__xludf.DUMMYFUNCTION("""COMPUTED_VALUE"""),135.0)</f>
        <v>135</v>
      </c>
      <c r="M197" s="69" t="str">
        <f>IFERROR(__xludf.DUMMYFUNCTION("""COMPUTED_VALUE"""),"95x")</f>
        <v>95x</v>
      </c>
      <c r="N197" s="69" t="str">
        <f>IFERROR(__xludf.DUMMYFUNCTION("""COMPUTED_VALUE"""),"105g")</f>
        <v>105g</v>
      </c>
      <c r="O197" s="69" t="str">
        <f>IFERROR(__xludf.DUMMYFUNCTION("""COMPUTED_VALUE"""),"110g")</f>
        <v>110g</v>
      </c>
      <c r="P197" s="69">
        <f>IFERROR(__xludf.DUMMYFUNCTION("""COMPUTED_VALUE"""),110.0)</f>
        <v>110</v>
      </c>
      <c r="Q197" s="69" t="str">
        <f>IFERROR(__xludf.DUMMYFUNCTION("""COMPUTED_VALUE"""),"215g")</f>
        <v>215g</v>
      </c>
      <c r="R197" s="69" t="str">
        <f>IFERROR(__xludf.DUMMYFUNCTION("""COMPUTED_VALUE"""),"225g")</f>
        <v>225g</v>
      </c>
      <c r="S197" s="69" t="str">
        <f>IFERROR(__xludf.DUMMYFUNCTION("""COMPUTED_VALUE"""),"240g")</f>
        <v>240g</v>
      </c>
      <c r="T197" s="69">
        <f>IFERROR(__xludf.DUMMYFUNCTION("""COMPUTED_VALUE"""),240.0)</f>
        <v>240</v>
      </c>
      <c r="U197" s="69">
        <f>IFERROR(__xludf.DUMMYFUNCTION("""COMPUTED_VALUE"""),485.0)</f>
        <v>485</v>
      </c>
      <c r="V197" s="183">
        <f>IFERROR(__xludf.DUMMYFUNCTION("""COMPUTED_VALUE"""),2.4846311475409837)</f>
        <v>2.484631148</v>
      </c>
      <c r="W197" s="156">
        <f>IFERROR(__xludf.DUMMYFUNCTION("""COMPUTED_VALUE"""),7.0)</f>
        <v>7</v>
      </c>
      <c r="X197" s="156"/>
      <c r="Y197" s="156"/>
    </row>
    <row r="198">
      <c r="B198" s="68" t="s">
        <v>544</v>
      </c>
      <c r="C198" s="68">
        <v>0.0</v>
      </c>
      <c r="D198" s="68" t="str">
        <f>IFERROR(__xludf.DUMMYFUNCTION("""COMPUTED_VALUE"""),"198 WJV")</f>
        <v>198 WJV</v>
      </c>
      <c r="E198" s="69" t="str">
        <f>IFERROR(__xludf.DUMMYFUNCTION("""COMPUTED_VALUE"""),"WJV")</f>
        <v>WJV</v>
      </c>
      <c r="F198" s="70" t="str">
        <f>IFERROR(__xludf.DUMMYFUNCTION("""COMPUTED_VALUE"""),"Birch Run")</f>
        <v>Birch Run</v>
      </c>
      <c r="G198" s="69">
        <f>IFERROR(__xludf.DUMMYFUNCTION("""COMPUTED_VALUE"""),181.4)</f>
        <v>181.4</v>
      </c>
      <c r="H198" s="70" t="str">
        <f>IFERROR(__xludf.DUMMYFUNCTION("""COMPUTED_VALUE"""),"Gilliam, Natalie")</f>
        <v>Gilliam, Natalie</v>
      </c>
      <c r="I198" s="71" t="str">
        <f>IFERROR(__xludf.DUMMYFUNCTION("""COMPUTED_VALUE"""),"140g")</f>
        <v>140g</v>
      </c>
      <c r="J198" s="69" t="str">
        <f>IFERROR(__xludf.DUMMYFUNCTION("""COMPUTED_VALUE"""),"155g")</f>
        <v>155g</v>
      </c>
      <c r="K198" s="69" t="str">
        <f>IFERROR(__xludf.DUMMYFUNCTION("""COMPUTED_VALUE"""),"165g")</f>
        <v>165g</v>
      </c>
      <c r="L198" s="69">
        <f>IFERROR(__xludf.DUMMYFUNCTION("""COMPUTED_VALUE"""),165.0)</f>
        <v>165</v>
      </c>
      <c r="M198" s="69" t="str">
        <f>IFERROR(__xludf.DUMMYFUNCTION("""COMPUTED_VALUE"""),"75g")</f>
        <v>75g</v>
      </c>
      <c r="N198" s="69" t="str">
        <f>IFERROR(__xludf.DUMMYFUNCTION("""COMPUTED_VALUE"""),"85g")</f>
        <v>85g</v>
      </c>
      <c r="O198" s="69" t="str">
        <f>IFERROR(__xludf.DUMMYFUNCTION("""COMPUTED_VALUE"""),"95x")</f>
        <v>95x</v>
      </c>
      <c r="P198" s="69">
        <f>IFERROR(__xludf.DUMMYFUNCTION("""COMPUTED_VALUE"""),85.0)</f>
        <v>85</v>
      </c>
      <c r="Q198" s="69" t="str">
        <f>IFERROR(__xludf.DUMMYFUNCTION("""COMPUTED_VALUE"""),"190g")</f>
        <v>190g</v>
      </c>
      <c r="R198" s="69" t="str">
        <f>IFERROR(__xludf.DUMMYFUNCTION("""COMPUTED_VALUE"""),"215g")</f>
        <v>215g</v>
      </c>
      <c r="S198" s="69" t="str">
        <f>IFERROR(__xludf.DUMMYFUNCTION("""COMPUTED_VALUE"""),"230g")</f>
        <v>230g</v>
      </c>
      <c r="T198" s="69">
        <f>IFERROR(__xludf.DUMMYFUNCTION("""COMPUTED_VALUE"""),230.0)</f>
        <v>230</v>
      </c>
      <c r="U198" s="69">
        <f>IFERROR(__xludf.DUMMYFUNCTION("""COMPUTED_VALUE"""),480.0)</f>
        <v>480</v>
      </c>
      <c r="V198" s="183">
        <f>IFERROR(__xludf.DUMMYFUNCTION("""COMPUTED_VALUE"""),2.6460859977949283)</f>
        <v>2.646085998</v>
      </c>
      <c r="W198" s="156">
        <f>IFERROR(__xludf.DUMMYFUNCTION("""COMPUTED_VALUE"""),8.0)</f>
        <v>8</v>
      </c>
      <c r="X198" s="156"/>
      <c r="Y198" s="156"/>
    </row>
    <row r="199">
      <c r="B199" s="68" t="s">
        <v>545</v>
      </c>
      <c r="C199" s="68">
        <v>0.0</v>
      </c>
      <c r="D199" s="68" t="str">
        <f>IFERROR(__xludf.DUMMYFUNCTION("""COMPUTED_VALUE"""),"198 WJV")</f>
        <v>198 WJV</v>
      </c>
      <c r="E199" s="69" t="str">
        <f>IFERROR(__xludf.DUMMYFUNCTION("""COMPUTED_VALUE"""),"WJV")</f>
        <v>WJV</v>
      </c>
      <c r="F199" s="70" t="str">
        <f>IFERROR(__xludf.DUMMYFUNCTION("""COMPUTED_VALUE"""),"Michigan Lutheran")</f>
        <v>Michigan Lutheran</v>
      </c>
      <c r="G199" s="69">
        <f>IFERROR(__xludf.DUMMYFUNCTION("""COMPUTED_VALUE"""),193.0)</f>
        <v>193</v>
      </c>
      <c r="H199" s="70" t="str">
        <f>IFERROR(__xludf.DUMMYFUNCTION("""COMPUTED_VALUE"""),"Rigg, Makenna")</f>
        <v>Rigg, Makenna</v>
      </c>
      <c r="I199" s="71" t="str">
        <f>IFERROR(__xludf.DUMMYFUNCTION("""COMPUTED_VALUE"""),"130g")</f>
        <v>130g</v>
      </c>
      <c r="J199" s="69" t="str">
        <f>IFERROR(__xludf.DUMMYFUNCTION("""COMPUTED_VALUE"""),"155x")</f>
        <v>155x</v>
      </c>
      <c r="K199" s="69" t="str">
        <f>IFERROR(__xludf.DUMMYFUNCTION("""COMPUTED_VALUE"""),"165g")</f>
        <v>165g</v>
      </c>
      <c r="L199" s="69">
        <f>IFERROR(__xludf.DUMMYFUNCTION("""COMPUTED_VALUE"""),165.0)</f>
        <v>165</v>
      </c>
      <c r="M199" s="69" t="str">
        <f>IFERROR(__xludf.DUMMYFUNCTION("""COMPUTED_VALUE"""),"80g")</f>
        <v>80g</v>
      </c>
      <c r="N199" s="69" t="str">
        <f>IFERROR(__xludf.DUMMYFUNCTION("""COMPUTED_VALUE"""),"90x")</f>
        <v>90x</v>
      </c>
      <c r="O199" s="69" t="str">
        <f>IFERROR(__xludf.DUMMYFUNCTION("""COMPUTED_VALUE"""),"100x")</f>
        <v>100x</v>
      </c>
      <c r="P199" s="69">
        <f>IFERROR(__xludf.DUMMYFUNCTION("""COMPUTED_VALUE"""),80.0)</f>
        <v>80</v>
      </c>
      <c r="Q199" s="69" t="str">
        <f>IFERROR(__xludf.DUMMYFUNCTION("""COMPUTED_VALUE"""),"220g")</f>
        <v>220g</v>
      </c>
      <c r="R199" s="69" t="str">
        <f>IFERROR(__xludf.DUMMYFUNCTION("""COMPUTED_VALUE"""),"230g")</f>
        <v>230g</v>
      </c>
      <c r="S199" s="69" t="str">
        <f>IFERROR(__xludf.DUMMYFUNCTION("""COMPUTED_VALUE"""),"235x")</f>
        <v>235x</v>
      </c>
      <c r="T199" s="69">
        <f>IFERROR(__xludf.DUMMYFUNCTION("""COMPUTED_VALUE"""),230.0)</f>
        <v>230</v>
      </c>
      <c r="U199" s="69">
        <f>IFERROR(__xludf.DUMMYFUNCTION("""COMPUTED_VALUE"""),475.0)</f>
        <v>475</v>
      </c>
      <c r="V199" s="183">
        <f>IFERROR(__xludf.DUMMYFUNCTION("""COMPUTED_VALUE"""),2.461139896373057)</f>
        <v>2.461139896</v>
      </c>
      <c r="W199" s="156">
        <f>IFERROR(__xludf.DUMMYFUNCTION("""COMPUTED_VALUE"""),5.0)</f>
        <v>5</v>
      </c>
      <c r="X199" s="156"/>
      <c r="Y199" s="156"/>
    </row>
    <row r="200">
      <c r="B200" s="68" t="s">
        <v>546</v>
      </c>
      <c r="C200" s="68">
        <v>0.0</v>
      </c>
      <c r="D200" s="68" t="str">
        <f>IFERROR(__xludf.DUMMYFUNCTION("""COMPUTED_VALUE"""),"198 WJV")</f>
        <v>198 WJV</v>
      </c>
      <c r="E200" s="69" t="str">
        <f>IFERROR(__xludf.DUMMYFUNCTION("""COMPUTED_VALUE"""),"WJV")</f>
        <v>WJV</v>
      </c>
      <c r="F200" s="70" t="str">
        <f>IFERROR(__xludf.DUMMYFUNCTION("""COMPUTED_VALUE"""),"Shepherd")</f>
        <v>Shepherd</v>
      </c>
      <c r="G200" s="69">
        <f>IFERROR(__xludf.DUMMYFUNCTION("""COMPUTED_VALUE"""),187.8)</f>
        <v>187.8</v>
      </c>
      <c r="H200" s="70" t="str">
        <f>IFERROR(__xludf.DUMMYFUNCTION("""COMPUTED_VALUE"""),"Showalter, Mackenzie")</f>
        <v>Showalter, Mackenzie</v>
      </c>
      <c r="I200" s="71" t="str">
        <f>IFERROR(__xludf.DUMMYFUNCTION("""COMPUTED_VALUE"""),"150x")</f>
        <v>150x</v>
      </c>
      <c r="J200" s="69" t="str">
        <f>IFERROR(__xludf.DUMMYFUNCTION("""COMPUTED_VALUE"""),"155x")</f>
        <v>155x</v>
      </c>
      <c r="K200" s="69" t="str">
        <f>IFERROR(__xludf.DUMMYFUNCTION("""COMPUTED_VALUE"""),"155g")</f>
        <v>155g</v>
      </c>
      <c r="L200" s="69">
        <f>IFERROR(__xludf.DUMMYFUNCTION("""COMPUTED_VALUE"""),155.0)</f>
        <v>155</v>
      </c>
      <c r="M200" s="69" t="str">
        <f>IFERROR(__xludf.DUMMYFUNCTION("""COMPUTED_VALUE"""),"90g")</f>
        <v>90g</v>
      </c>
      <c r="N200" s="69" t="str">
        <f>IFERROR(__xludf.DUMMYFUNCTION("""COMPUTED_VALUE"""),"100g")</f>
        <v>100g</v>
      </c>
      <c r="O200" s="69" t="str">
        <f>IFERROR(__xludf.DUMMYFUNCTION("""COMPUTED_VALUE"""),"105x")</f>
        <v>105x</v>
      </c>
      <c r="P200" s="69">
        <f>IFERROR(__xludf.DUMMYFUNCTION("""COMPUTED_VALUE"""),100.0)</f>
        <v>100</v>
      </c>
      <c r="Q200" s="69" t="str">
        <f>IFERROR(__xludf.DUMMYFUNCTION("""COMPUTED_VALUE"""),"195g")</f>
        <v>195g</v>
      </c>
      <c r="R200" s="69" t="str">
        <f>IFERROR(__xludf.DUMMYFUNCTION("""COMPUTED_VALUE"""),"205x")</f>
        <v>205x</v>
      </c>
      <c r="S200" s="69" t="str">
        <f>IFERROR(__xludf.DUMMYFUNCTION("""COMPUTED_VALUE"""),"205x")</f>
        <v>205x</v>
      </c>
      <c r="T200" s="69">
        <f>IFERROR(__xludf.DUMMYFUNCTION("""COMPUTED_VALUE"""),195.0)</f>
        <v>195</v>
      </c>
      <c r="U200" s="69">
        <f>IFERROR(__xludf.DUMMYFUNCTION("""COMPUTED_VALUE"""),450.0)</f>
        <v>450</v>
      </c>
      <c r="V200" s="183">
        <f>IFERROR(__xludf.DUMMYFUNCTION("""COMPUTED_VALUE"""),2.3961661341853033)</f>
        <v>2.396166134</v>
      </c>
      <c r="W200" s="156">
        <f>IFERROR(__xludf.DUMMYFUNCTION("""COMPUTED_VALUE"""),4.0)</f>
        <v>4</v>
      </c>
      <c r="X200" s="156"/>
      <c r="Y200" s="156"/>
    </row>
    <row r="201">
      <c r="B201" s="68" t="s">
        <v>547</v>
      </c>
      <c r="C201" s="68">
        <v>0.0</v>
      </c>
      <c r="D201" s="68" t="str">
        <f>IFERROR(__xludf.DUMMYFUNCTION("""COMPUTED_VALUE"""),"198 WJV")</f>
        <v>198 WJV</v>
      </c>
      <c r="E201" s="69" t="str">
        <f>IFERROR(__xludf.DUMMYFUNCTION("""COMPUTED_VALUE"""),"WJV")</f>
        <v>WJV</v>
      </c>
      <c r="F201" s="70" t="str">
        <f>IFERROR(__xludf.DUMMYFUNCTION("""COMPUTED_VALUE"""),"Adrian")</f>
        <v>Adrian</v>
      </c>
      <c r="G201" s="69">
        <f>IFERROR(__xludf.DUMMYFUNCTION("""COMPUTED_VALUE"""),183.0)</f>
        <v>183</v>
      </c>
      <c r="H201" s="70" t="str">
        <f>IFERROR(__xludf.DUMMYFUNCTION("""COMPUTED_VALUE"""),"Rodriguez, Taylor")</f>
        <v>Rodriguez, Taylor</v>
      </c>
      <c r="I201" s="71" t="str">
        <f>IFERROR(__xludf.DUMMYFUNCTION("""COMPUTED_VALUE"""),"150x")</f>
        <v>150x</v>
      </c>
      <c r="J201" s="69" t="str">
        <f>IFERROR(__xludf.DUMMYFUNCTION("""COMPUTED_VALUE"""),"150g")</f>
        <v>150g</v>
      </c>
      <c r="K201" s="69" t="str">
        <f>IFERROR(__xludf.DUMMYFUNCTION("""COMPUTED_VALUE"""),"180x")</f>
        <v>180x</v>
      </c>
      <c r="L201" s="69">
        <f>IFERROR(__xludf.DUMMYFUNCTION("""COMPUTED_VALUE"""),150.0)</f>
        <v>150</v>
      </c>
      <c r="M201" s="69" t="str">
        <f>IFERROR(__xludf.DUMMYFUNCTION("""COMPUTED_VALUE"""),"75g")</f>
        <v>75g</v>
      </c>
      <c r="N201" s="69" t="str">
        <f>IFERROR(__xludf.DUMMYFUNCTION("""COMPUTED_VALUE"""),"85x")</f>
        <v>85x</v>
      </c>
      <c r="O201" s="69" t="str">
        <f>IFERROR(__xludf.DUMMYFUNCTION("""COMPUTED_VALUE"""),"100x")</f>
        <v>100x</v>
      </c>
      <c r="P201" s="69">
        <f>IFERROR(__xludf.DUMMYFUNCTION("""COMPUTED_VALUE"""),75.0)</f>
        <v>75</v>
      </c>
      <c r="Q201" s="69" t="str">
        <f>IFERROR(__xludf.DUMMYFUNCTION("""COMPUTED_VALUE"""),"150g")</f>
        <v>150g</v>
      </c>
      <c r="R201" s="69" t="str">
        <f>IFERROR(__xludf.DUMMYFUNCTION("""COMPUTED_VALUE"""),"185g")</f>
        <v>185g</v>
      </c>
      <c r="S201" s="69" t="str">
        <f>IFERROR(__xludf.DUMMYFUNCTION("""COMPUTED_VALUE"""),"200x")</f>
        <v>200x</v>
      </c>
      <c r="T201" s="69">
        <f>IFERROR(__xludf.DUMMYFUNCTION("""COMPUTED_VALUE"""),185.0)</f>
        <v>185</v>
      </c>
      <c r="U201" s="69">
        <f>IFERROR(__xludf.DUMMYFUNCTION("""COMPUTED_VALUE"""),410.0)</f>
        <v>410</v>
      </c>
      <c r="V201" s="183">
        <f>IFERROR(__xludf.DUMMYFUNCTION("""COMPUTED_VALUE"""),2.240437158469945)</f>
        <v>2.240437158</v>
      </c>
      <c r="W201" s="156">
        <f>IFERROR(__xludf.DUMMYFUNCTION("""COMPUTED_VALUE"""),4.0)</f>
        <v>4</v>
      </c>
      <c r="X201" s="156"/>
      <c r="Y201" s="156"/>
    </row>
    <row r="202">
      <c r="B202" s="68" t="s">
        <v>548</v>
      </c>
      <c r="C202" s="68">
        <v>0.0</v>
      </c>
      <c r="D202" s="68" t="str">
        <f>IFERROR(__xludf.DUMMYFUNCTION("""COMPUTED_VALUE"""),"198 WJV")</f>
        <v>198 WJV</v>
      </c>
      <c r="E202" s="69" t="str">
        <f>IFERROR(__xludf.DUMMYFUNCTION("""COMPUTED_VALUE"""),"WJV")</f>
        <v>WJV</v>
      </c>
      <c r="F202" s="70" t="str">
        <f>IFERROR(__xludf.DUMMYFUNCTION("""COMPUTED_VALUE"""),"Kelloggsville")</f>
        <v>Kelloggsville</v>
      </c>
      <c r="G202" s="69">
        <f>IFERROR(__xludf.DUMMYFUNCTION("""COMPUTED_VALUE"""),186.8)</f>
        <v>186.8</v>
      </c>
      <c r="H202" s="70" t="str">
        <f>IFERROR(__xludf.DUMMYFUNCTION("""COMPUTED_VALUE"""),"Hodge, Kai")</f>
        <v>Hodge, Kai</v>
      </c>
      <c r="I202" s="71" t="str">
        <f>IFERROR(__xludf.DUMMYFUNCTION("""COMPUTED_VALUE"""),"115g")</f>
        <v>115g</v>
      </c>
      <c r="J202" s="69" t="str">
        <f>IFERROR(__xludf.DUMMYFUNCTION("""COMPUTED_VALUE"""),"125g")</f>
        <v>125g</v>
      </c>
      <c r="K202" s="69" t="str">
        <f>IFERROR(__xludf.DUMMYFUNCTION("""COMPUTED_VALUE"""),"135g")</f>
        <v>135g</v>
      </c>
      <c r="L202" s="69">
        <f>IFERROR(__xludf.DUMMYFUNCTION("""COMPUTED_VALUE"""),135.0)</f>
        <v>135</v>
      </c>
      <c r="M202" s="69" t="str">
        <f>IFERROR(__xludf.DUMMYFUNCTION("""COMPUTED_VALUE"""),"65g")</f>
        <v>65g</v>
      </c>
      <c r="N202" s="69" t="str">
        <f>IFERROR(__xludf.DUMMYFUNCTION("""COMPUTED_VALUE"""),"70g")</f>
        <v>70g</v>
      </c>
      <c r="O202" s="69" t="str">
        <f>IFERROR(__xludf.DUMMYFUNCTION("""COMPUTED_VALUE"""),"75x")</f>
        <v>75x</v>
      </c>
      <c r="P202" s="69">
        <f>IFERROR(__xludf.DUMMYFUNCTION("""COMPUTED_VALUE"""),70.0)</f>
        <v>70</v>
      </c>
      <c r="Q202" s="69" t="str">
        <f>IFERROR(__xludf.DUMMYFUNCTION("""COMPUTED_VALUE"""),"180g")</f>
        <v>180g</v>
      </c>
      <c r="R202" s="69" t="str">
        <f>IFERROR(__xludf.DUMMYFUNCTION("""COMPUTED_VALUE"""),"190g")</f>
        <v>190g</v>
      </c>
      <c r="S202" s="69" t="str">
        <f>IFERROR(__xludf.DUMMYFUNCTION("""COMPUTED_VALUE"""),"205g")</f>
        <v>205g</v>
      </c>
      <c r="T202" s="69">
        <f>IFERROR(__xludf.DUMMYFUNCTION("""COMPUTED_VALUE"""),205.0)</f>
        <v>205</v>
      </c>
      <c r="U202" s="69">
        <f>IFERROR(__xludf.DUMMYFUNCTION("""COMPUTED_VALUE"""),410.0)</f>
        <v>410</v>
      </c>
      <c r="V202" s="183">
        <f>IFERROR(__xludf.DUMMYFUNCTION("""COMPUTED_VALUE"""),2.1948608137044965)</f>
        <v>2.194860814</v>
      </c>
      <c r="W202" s="156">
        <f>IFERROR(__xludf.DUMMYFUNCTION("""COMPUTED_VALUE"""),8.0)</f>
        <v>8</v>
      </c>
      <c r="X202" s="156"/>
      <c r="Y202" s="156"/>
    </row>
    <row r="203">
      <c r="B203" s="68" t="s">
        <v>549</v>
      </c>
      <c r="C203" s="68">
        <v>0.0</v>
      </c>
      <c r="D203" s="68" t="str">
        <f>IFERROR(__xludf.DUMMYFUNCTION("""COMPUTED_VALUE"""),"198 WJV")</f>
        <v>198 WJV</v>
      </c>
      <c r="E203" s="69" t="str">
        <f>IFERROR(__xludf.DUMMYFUNCTION("""COMPUTED_VALUE"""),"WJV")</f>
        <v>WJV</v>
      </c>
      <c r="F203" s="70" t="str">
        <f>IFERROR(__xludf.DUMMYFUNCTION("""COMPUTED_VALUE"""),"Montague")</f>
        <v>Montague</v>
      </c>
      <c r="G203" s="69">
        <f>IFERROR(__xludf.DUMMYFUNCTION("""COMPUTED_VALUE"""),185.6)</f>
        <v>185.6</v>
      </c>
      <c r="H203" s="70" t="str">
        <f>IFERROR(__xludf.DUMMYFUNCTION("""COMPUTED_VALUE"""),"Guerrero, Alyna")</f>
        <v>Guerrero, Alyna</v>
      </c>
      <c r="I203" s="71" t="str">
        <f>IFERROR(__xludf.DUMMYFUNCTION("""COMPUTED_VALUE"""),"105g")</f>
        <v>105g</v>
      </c>
      <c r="J203" s="69" t="str">
        <f>IFERROR(__xludf.DUMMYFUNCTION("""COMPUTED_VALUE"""),"120g")</f>
        <v>120g</v>
      </c>
      <c r="K203" s="69" t="str">
        <f>IFERROR(__xludf.DUMMYFUNCTION("""COMPUTED_VALUE"""),"135x")</f>
        <v>135x</v>
      </c>
      <c r="L203" s="69">
        <f>IFERROR(__xludf.DUMMYFUNCTION("""COMPUTED_VALUE"""),120.0)</f>
        <v>120</v>
      </c>
      <c r="M203" s="69" t="str">
        <f>IFERROR(__xludf.DUMMYFUNCTION("""COMPUTED_VALUE"""),"70g")</f>
        <v>70g</v>
      </c>
      <c r="N203" s="69" t="str">
        <f>IFERROR(__xludf.DUMMYFUNCTION("""COMPUTED_VALUE"""),"80x")</f>
        <v>80x</v>
      </c>
      <c r="O203" s="69" t="str">
        <f>IFERROR(__xludf.DUMMYFUNCTION("""COMPUTED_VALUE"""),"80x")</f>
        <v>80x</v>
      </c>
      <c r="P203" s="69">
        <f>IFERROR(__xludf.DUMMYFUNCTION("""COMPUTED_VALUE"""),70.0)</f>
        <v>70</v>
      </c>
      <c r="Q203" s="69" t="str">
        <f>IFERROR(__xludf.DUMMYFUNCTION("""COMPUTED_VALUE"""),"180g")</f>
        <v>180g</v>
      </c>
      <c r="R203" s="69" t="str">
        <f>IFERROR(__xludf.DUMMYFUNCTION("""COMPUTED_VALUE"""),"190g")</f>
        <v>190g</v>
      </c>
      <c r="S203" s="69" t="str">
        <f>IFERROR(__xludf.DUMMYFUNCTION("""COMPUTED_VALUE"""),"205g")</f>
        <v>205g</v>
      </c>
      <c r="T203" s="69">
        <f>IFERROR(__xludf.DUMMYFUNCTION("""COMPUTED_VALUE"""),205.0)</f>
        <v>205</v>
      </c>
      <c r="U203" s="69">
        <f>IFERROR(__xludf.DUMMYFUNCTION("""COMPUTED_VALUE"""),395.0)</f>
        <v>395</v>
      </c>
      <c r="V203" s="183">
        <f>IFERROR(__xludf.DUMMYFUNCTION("""COMPUTED_VALUE"""),2.1282327586206895)</f>
        <v>2.128232759</v>
      </c>
      <c r="W203" s="156">
        <f>IFERROR(__xludf.DUMMYFUNCTION("""COMPUTED_VALUE"""),6.0)</f>
        <v>6</v>
      </c>
      <c r="X203" s="156"/>
      <c r="Y203" s="156"/>
    </row>
    <row r="204">
      <c r="B204" s="68" t="s">
        <v>550</v>
      </c>
      <c r="C204" s="68">
        <v>0.0</v>
      </c>
      <c r="D204" s="68" t="str">
        <f>IFERROR(__xludf.DUMMYFUNCTION("""COMPUTED_VALUE"""),"198 WJV")</f>
        <v>198 WJV</v>
      </c>
      <c r="E204" s="69" t="str">
        <f>IFERROR(__xludf.DUMMYFUNCTION("""COMPUTED_VALUE"""),"WJV")</f>
        <v>WJV</v>
      </c>
      <c r="F204" s="70" t="str">
        <f>IFERROR(__xludf.DUMMYFUNCTION("""COMPUTED_VALUE"""),"Kalkaska")</f>
        <v>Kalkaska</v>
      </c>
      <c r="G204" s="69">
        <f>IFERROR(__xludf.DUMMYFUNCTION("""COMPUTED_VALUE"""),194.0)</f>
        <v>194</v>
      </c>
      <c r="H204" s="70" t="str">
        <f>IFERROR(__xludf.DUMMYFUNCTION("""COMPUTED_VALUE"""),"Keller, Jori")</f>
        <v>Keller, Jori</v>
      </c>
      <c r="I204" s="71" t="str">
        <f>IFERROR(__xludf.DUMMYFUNCTION("""COMPUTED_VALUE"""),"125x")</f>
        <v>125x</v>
      </c>
      <c r="J204" s="69" t="str">
        <f>IFERROR(__xludf.DUMMYFUNCTION("""COMPUTED_VALUE"""),"150g")</f>
        <v>150g</v>
      </c>
      <c r="K204" s="69" t="str">
        <f>IFERROR(__xludf.DUMMYFUNCTION("""COMPUTED_VALUE"""),"165x")</f>
        <v>165x</v>
      </c>
      <c r="L204" s="69">
        <f>IFERROR(__xludf.DUMMYFUNCTION("""COMPUTED_VALUE"""),150.0)</f>
        <v>150</v>
      </c>
      <c r="M204" s="69" t="str">
        <f>IFERROR(__xludf.DUMMYFUNCTION("""COMPUTED_VALUE"""),"70x")</f>
        <v>70x</v>
      </c>
      <c r="N204" s="69" t="str">
        <f>IFERROR(__xludf.DUMMYFUNCTION("""COMPUTED_VALUE"""),"85x")</f>
        <v>85x</v>
      </c>
      <c r="O204" s="69" t="str">
        <f>IFERROR(__xludf.DUMMYFUNCTION("""COMPUTED_VALUE"""),"95x")</f>
        <v>95x</v>
      </c>
      <c r="P204" s="69">
        <f>IFERROR(__xludf.DUMMYFUNCTION("""COMPUTED_VALUE"""),0.0)</f>
        <v>0</v>
      </c>
      <c r="Q204" s="69" t="str">
        <f>IFERROR(__xludf.DUMMYFUNCTION("""COMPUTED_VALUE"""),"165g")</f>
        <v>165g</v>
      </c>
      <c r="R204" s="69" t="str">
        <f>IFERROR(__xludf.DUMMYFUNCTION("""COMPUTED_VALUE"""),"185g")</f>
        <v>185g</v>
      </c>
      <c r="S204" s="69" t="str">
        <f>IFERROR(__xludf.DUMMYFUNCTION("""COMPUTED_VALUE"""),"195x")</f>
        <v>195x</v>
      </c>
      <c r="T204" s="69">
        <f>IFERROR(__xludf.DUMMYFUNCTION("""COMPUTED_VALUE"""),185.0)</f>
        <v>185</v>
      </c>
      <c r="U204" s="69">
        <f>IFERROR(__xludf.DUMMYFUNCTION("""COMPUTED_VALUE"""),0.0)</f>
        <v>0</v>
      </c>
      <c r="V204" s="183">
        <f>IFERROR(__xludf.DUMMYFUNCTION("""COMPUTED_VALUE"""),0.0)</f>
        <v>0</v>
      </c>
      <c r="W204" s="156">
        <f>IFERROR(__xludf.DUMMYFUNCTION("""COMPUTED_VALUE"""),3.0)</f>
        <v>3</v>
      </c>
      <c r="X204" s="156"/>
      <c r="Y204" s="156"/>
    </row>
    <row r="205">
      <c r="B205" s="68" t="s">
        <v>551</v>
      </c>
      <c r="C205" s="68">
        <v>0.0</v>
      </c>
      <c r="D205" s="68"/>
      <c r="E205" s="69"/>
      <c r="F205" s="70"/>
      <c r="G205" s="69"/>
      <c r="H205" s="70"/>
      <c r="I205" s="71"/>
      <c r="J205" s="69"/>
      <c r="K205" s="69"/>
      <c r="L205" s="69"/>
      <c r="M205" s="69"/>
      <c r="N205" s="69"/>
      <c r="O205" s="69"/>
      <c r="P205" s="69"/>
      <c r="Q205" s="69"/>
      <c r="R205" s="69"/>
      <c r="S205" s="69"/>
      <c r="T205" s="69"/>
      <c r="U205" s="69"/>
      <c r="V205" s="69"/>
      <c r="W205" s="156"/>
      <c r="X205" s="156"/>
      <c r="Y205" s="156"/>
    </row>
    <row r="206">
      <c r="A206" s="58">
        <v>220.0</v>
      </c>
      <c r="B206" s="157" t="s">
        <v>120</v>
      </c>
      <c r="C206" s="157">
        <v>12.0</v>
      </c>
      <c r="D206" s="157" t="str">
        <f>IFERROR(__xludf.DUMMYFUNCTION("ARRAY_CONSTRAIN(filter('All Platforms'!A3:T1802,'All Platforms'!A3:A1802=""220 WJV""),20,20)"),"220 WJV")</f>
        <v>220 WJV</v>
      </c>
      <c r="E206" s="64" t="str">
        <f>IFERROR(__xludf.DUMMYFUNCTION("""COMPUTED_VALUE"""),"WJV")</f>
        <v>WJV</v>
      </c>
      <c r="F206" s="158" t="str">
        <f>IFERROR(__xludf.DUMMYFUNCTION("""COMPUTED_VALUE"""),"Port Huron")</f>
        <v>Port Huron</v>
      </c>
      <c r="G206" s="64">
        <f>IFERROR(__xludf.DUMMYFUNCTION("""COMPUTED_VALUE"""),215.6)</f>
        <v>215.6</v>
      </c>
      <c r="H206" s="158" t="str">
        <f>IFERROR(__xludf.DUMMYFUNCTION("""COMPUTED_VALUE"""),"Graham, Kashanna")</f>
        <v>Graham, Kashanna</v>
      </c>
      <c r="I206" s="159" t="str">
        <f>IFERROR(__xludf.DUMMYFUNCTION("""COMPUTED_VALUE"""),"195g")</f>
        <v>195g</v>
      </c>
      <c r="J206" s="64" t="str">
        <f>IFERROR(__xludf.DUMMYFUNCTION("""COMPUTED_VALUE"""),"215g")</f>
        <v>215g</v>
      </c>
      <c r="K206" s="64" t="str">
        <f>IFERROR(__xludf.DUMMYFUNCTION("""COMPUTED_VALUE"""),"245g")</f>
        <v>245g</v>
      </c>
      <c r="L206" s="64">
        <f>IFERROR(__xludf.DUMMYFUNCTION("""COMPUTED_VALUE"""),245.0)</f>
        <v>245</v>
      </c>
      <c r="M206" s="64" t="str">
        <f>IFERROR(__xludf.DUMMYFUNCTION("""COMPUTED_VALUE"""),"135g")</f>
        <v>135g</v>
      </c>
      <c r="N206" s="64" t="str">
        <f>IFERROR(__xludf.DUMMYFUNCTION("""COMPUTED_VALUE"""),"145g")</f>
        <v>145g</v>
      </c>
      <c r="O206" s="64" t="str">
        <f>IFERROR(__xludf.DUMMYFUNCTION("""COMPUTED_VALUE"""),"155x")</f>
        <v>155x</v>
      </c>
      <c r="P206" s="64">
        <f>IFERROR(__xludf.DUMMYFUNCTION("""COMPUTED_VALUE"""),145.0)</f>
        <v>145</v>
      </c>
      <c r="Q206" s="64" t="str">
        <f>IFERROR(__xludf.DUMMYFUNCTION("""COMPUTED_VALUE"""),"285g")</f>
        <v>285g</v>
      </c>
      <c r="R206" s="64" t="str">
        <f>IFERROR(__xludf.DUMMYFUNCTION("""COMPUTED_VALUE"""),"320g")</f>
        <v>320g</v>
      </c>
      <c r="S206" s="64" t="str">
        <f>IFERROR(__xludf.DUMMYFUNCTION("""COMPUTED_VALUE"""),"335x")</f>
        <v>335x</v>
      </c>
      <c r="T206" s="64">
        <f>IFERROR(__xludf.DUMMYFUNCTION("""COMPUTED_VALUE"""),320.0)</f>
        <v>320</v>
      </c>
      <c r="U206" s="64">
        <f>IFERROR(__xludf.DUMMYFUNCTION("""COMPUTED_VALUE"""),710.0)</f>
        <v>710</v>
      </c>
      <c r="V206" s="182">
        <f>IFERROR(__xludf.DUMMYFUNCTION("""COMPUTED_VALUE"""),3.293135435992579)</f>
        <v>3.293135436</v>
      </c>
      <c r="W206" s="57">
        <f>IFERROR(__xludf.DUMMYFUNCTION("""COMPUTED_VALUE"""),7.0)</f>
        <v>7</v>
      </c>
      <c r="X206" s="57"/>
      <c r="Y206" s="57"/>
    </row>
    <row r="207">
      <c r="B207" s="157" t="s">
        <v>121</v>
      </c>
      <c r="C207" s="157">
        <v>9.0</v>
      </c>
      <c r="D207" s="157" t="str">
        <f>IFERROR(__xludf.DUMMYFUNCTION("""COMPUTED_VALUE"""),"220 WJV")</f>
        <v>220 WJV</v>
      </c>
      <c r="E207" s="64" t="str">
        <f>IFERROR(__xludf.DUMMYFUNCTION("""COMPUTED_VALUE"""),"WJV")</f>
        <v>WJV</v>
      </c>
      <c r="F207" s="158" t="str">
        <f>IFERROR(__xludf.DUMMYFUNCTION("""COMPUTED_VALUE"""),"Central Montcalm")</f>
        <v>Central Montcalm</v>
      </c>
      <c r="G207" s="64">
        <f>IFERROR(__xludf.DUMMYFUNCTION("""COMPUTED_VALUE"""),217.2)</f>
        <v>217.2</v>
      </c>
      <c r="H207" s="158" t="str">
        <f>IFERROR(__xludf.DUMMYFUNCTION("""COMPUTED_VALUE"""),"Plaiser, Brooklyn")</f>
        <v>Plaiser, Brooklyn</v>
      </c>
      <c r="I207" s="159" t="str">
        <f>IFERROR(__xludf.DUMMYFUNCTION("""COMPUTED_VALUE"""),"225g")</f>
        <v>225g</v>
      </c>
      <c r="J207" s="64" t="str">
        <f>IFERROR(__xludf.DUMMYFUNCTION("""COMPUTED_VALUE"""),"235g")</f>
        <v>235g</v>
      </c>
      <c r="K207" s="64" t="str">
        <f>IFERROR(__xludf.DUMMYFUNCTION("""COMPUTED_VALUE"""),"245g")</f>
        <v>245g</v>
      </c>
      <c r="L207" s="64">
        <f>IFERROR(__xludf.DUMMYFUNCTION("""COMPUTED_VALUE"""),245.0)</f>
        <v>245</v>
      </c>
      <c r="M207" s="64" t="str">
        <f>IFERROR(__xludf.DUMMYFUNCTION("""COMPUTED_VALUE"""),"115g")</f>
        <v>115g</v>
      </c>
      <c r="N207" s="64" t="str">
        <f>IFERROR(__xludf.DUMMYFUNCTION("""COMPUTED_VALUE"""),"125x")</f>
        <v>125x</v>
      </c>
      <c r="O207" s="64" t="str">
        <f>IFERROR(__xludf.DUMMYFUNCTION("""COMPUTED_VALUE"""),"125x")</f>
        <v>125x</v>
      </c>
      <c r="P207" s="64">
        <f>IFERROR(__xludf.DUMMYFUNCTION("""COMPUTED_VALUE"""),115.0)</f>
        <v>115</v>
      </c>
      <c r="Q207" s="64" t="str">
        <f>IFERROR(__xludf.DUMMYFUNCTION("""COMPUTED_VALUE"""),"225g")</f>
        <v>225g</v>
      </c>
      <c r="R207" s="64" t="str">
        <f>IFERROR(__xludf.DUMMYFUNCTION("""COMPUTED_VALUE"""),"250g")</f>
        <v>250g</v>
      </c>
      <c r="S207" s="64" t="str">
        <f>IFERROR(__xludf.DUMMYFUNCTION("""COMPUTED_VALUE"""),"275g")</f>
        <v>275g</v>
      </c>
      <c r="T207" s="64">
        <f>IFERROR(__xludf.DUMMYFUNCTION("""COMPUTED_VALUE"""),275.0)</f>
        <v>275</v>
      </c>
      <c r="U207" s="64">
        <f>IFERROR(__xludf.DUMMYFUNCTION("""COMPUTED_VALUE"""),635.0)</f>
        <v>635</v>
      </c>
      <c r="V207" s="182">
        <f>IFERROR(__xludf.DUMMYFUNCTION("""COMPUTED_VALUE"""),2.923572744014733)</f>
        <v>2.923572744</v>
      </c>
      <c r="W207" s="57">
        <f>IFERROR(__xludf.DUMMYFUNCTION("""COMPUTED_VALUE"""),7.0)</f>
        <v>7</v>
      </c>
      <c r="X207" s="57"/>
      <c r="Y207" s="57"/>
    </row>
    <row r="208">
      <c r="B208" s="157" t="s">
        <v>122</v>
      </c>
      <c r="C208" s="157">
        <f>if(countif(F206:F207,F208)&gt;1,0,8)</f>
        <v>8</v>
      </c>
      <c r="D208" s="157" t="str">
        <f>IFERROR(__xludf.DUMMYFUNCTION("""COMPUTED_VALUE"""),"220 WJV")</f>
        <v>220 WJV</v>
      </c>
      <c r="E208" s="64" t="str">
        <f>IFERROR(__xludf.DUMMYFUNCTION("""COMPUTED_VALUE"""),"WJV")</f>
        <v>WJV</v>
      </c>
      <c r="F208" s="158" t="str">
        <f>IFERROR(__xludf.DUMMYFUNCTION("""COMPUTED_VALUE"""),"Grant")</f>
        <v>Grant</v>
      </c>
      <c r="G208" s="64">
        <f>IFERROR(__xludf.DUMMYFUNCTION("""COMPUTED_VALUE"""),213.6)</f>
        <v>213.6</v>
      </c>
      <c r="H208" s="158" t="str">
        <f>IFERROR(__xludf.DUMMYFUNCTION("""COMPUTED_VALUE"""),"Crosby, Heather")</f>
        <v>Crosby, Heather</v>
      </c>
      <c r="I208" s="159" t="str">
        <f>IFERROR(__xludf.DUMMYFUNCTION("""COMPUTED_VALUE"""),"155g")</f>
        <v>155g</v>
      </c>
      <c r="J208" s="64" t="str">
        <f>IFERROR(__xludf.DUMMYFUNCTION("""COMPUTED_VALUE"""),"175g")</f>
        <v>175g</v>
      </c>
      <c r="K208" s="64" t="str">
        <f>IFERROR(__xludf.DUMMYFUNCTION("""COMPUTED_VALUE"""),"200g")</f>
        <v>200g</v>
      </c>
      <c r="L208" s="64">
        <f>IFERROR(__xludf.DUMMYFUNCTION("""COMPUTED_VALUE"""),200.0)</f>
        <v>200</v>
      </c>
      <c r="M208" s="64" t="str">
        <f>IFERROR(__xludf.DUMMYFUNCTION("""COMPUTED_VALUE"""),"100g")</f>
        <v>100g</v>
      </c>
      <c r="N208" s="64" t="str">
        <f>IFERROR(__xludf.DUMMYFUNCTION("""COMPUTED_VALUE"""),"115g")</f>
        <v>115g</v>
      </c>
      <c r="O208" s="64" t="str">
        <f>IFERROR(__xludf.DUMMYFUNCTION("""COMPUTED_VALUE"""),"120x")</f>
        <v>120x</v>
      </c>
      <c r="P208" s="64">
        <f>IFERROR(__xludf.DUMMYFUNCTION("""COMPUTED_VALUE"""),115.0)</f>
        <v>115</v>
      </c>
      <c r="Q208" s="64" t="str">
        <f>IFERROR(__xludf.DUMMYFUNCTION("""COMPUTED_VALUE"""),"275x")</f>
        <v>275x</v>
      </c>
      <c r="R208" s="64" t="str">
        <f>IFERROR(__xludf.DUMMYFUNCTION("""COMPUTED_VALUE"""),"300g")</f>
        <v>300g</v>
      </c>
      <c r="S208" s="64" t="str">
        <f>IFERROR(__xludf.DUMMYFUNCTION("""COMPUTED_VALUE"""),"310g")</f>
        <v>310g</v>
      </c>
      <c r="T208" s="64">
        <f>IFERROR(__xludf.DUMMYFUNCTION("""COMPUTED_VALUE"""),310.0)</f>
        <v>310</v>
      </c>
      <c r="U208" s="64">
        <f>IFERROR(__xludf.DUMMYFUNCTION("""COMPUTED_VALUE"""),625.0)</f>
        <v>625</v>
      </c>
      <c r="V208" s="182">
        <f>IFERROR(__xludf.DUMMYFUNCTION("""COMPUTED_VALUE"""),2.9260299625468167)</f>
        <v>2.926029963</v>
      </c>
      <c r="W208" s="57">
        <f>IFERROR(__xludf.DUMMYFUNCTION("""COMPUTED_VALUE"""),7.0)</f>
        <v>7</v>
      </c>
      <c r="X208" s="57"/>
      <c r="Y208" s="57"/>
    </row>
    <row r="209">
      <c r="B209" s="157" t="s">
        <v>123</v>
      </c>
      <c r="C209" s="157">
        <f>if(countif(F206:F208,F209)&gt;1,0,7)</f>
        <v>7</v>
      </c>
      <c r="D209" s="157" t="str">
        <f>IFERROR(__xludf.DUMMYFUNCTION("""COMPUTED_VALUE"""),"220 WJV")</f>
        <v>220 WJV</v>
      </c>
      <c r="E209" s="64" t="str">
        <f>IFERROR(__xludf.DUMMYFUNCTION("""COMPUTED_VALUE"""),"WJV")</f>
        <v>WJV</v>
      </c>
      <c r="F209" s="158" t="str">
        <f>IFERROR(__xludf.DUMMYFUNCTION("""COMPUTED_VALUE"""),"Lake Orion")</f>
        <v>Lake Orion</v>
      </c>
      <c r="G209" s="64">
        <f>IFERROR(__xludf.DUMMYFUNCTION("""COMPUTED_VALUE"""),216.1)</f>
        <v>216.1</v>
      </c>
      <c r="H209" s="158" t="str">
        <f>IFERROR(__xludf.DUMMYFUNCTION("""COMPUTED_VALUE"""),"White, India")</f>
        <v>White, India</v>
      </c>
      <c r="I209" s="159" t="str">
        <f>IFERROR(__xludf.DUMMYFUNCTION("""COMPUTED_VALUE"""),"215x")</f>
        <v>215x</v>
      </c>
      <c r="J209" s="64" t="str">
        <f>IFERROR(__xludf.DUMMYFUNCTION("""COMPUTED_VALUE"""),"215g")</f>
        <v>215g</v>
      </c>
      <c r="K209" s="64" t="str">
        <f>IFERROR(__xludf.DUMMYFUNCTION("""COMPUTED_VALUE"""),"225g")</f>
        <v>225g</v>
      </c>
      <c r="L209" s="64">
        <f>IFERROR(__xludf.DUMMYFUNCTION("""COMPUTED_VALUE"""),225.0)</f>
        <v>225</v>
      </c>
      <c r="M209" s="64" t="str">
        <f>IFERROR(__xludf.DUMMYFUNCTION("""COMPUTED_VALUE"""),"85g")</f>
        <v>85g</v>
      </c>
      <c r="N209" s="64" t="str">
        <f>IFERROR(__xludf.DUMMYFUNCTION("""COMPUTED_VALUE"""),"95g")</f>
        <v>95g</v>
      </c>
      <c r="O209" s="64" t="str">
        <f>IFERROR(__xludf.DUMMYFUNCTION("""COMPUTED_VALUE"""),"105g")</f>
        <v>105g</v>
      </c>
      <c r="P209" s="64">
        <f>IFERROR(__xludf.DUMMYFUNCTION("""COMPUTED_VALUE"""),105.0)</f>
        <v>105</v>
      </c>
      <c r="Q209" s="64" t="str">
        <f>IFERROR(__xludf.DUMMYFUNCTION("""COMPUTED_VALUE"""),"260g")</f>
        <v>260g</v>
      </c>
      <c r="R209" s="64" t="str">
        <f>IFERROR(__xludf.DUMMYFUNCTION("""COMPUTED_VALUE"""),"270g")</f>
        <v>270g</v>
      </c>
      <c r="S209" s="64" t="str">
        <f>IFERROR(__xludf.DUMMYFUNCTION("""COMPUTED_VALUE"""),"290g")</f>
        <v>290g</v>
      </c>
      <c r="T209" s="64">
        <f>IFERROR(__xludf.DUMMYFUNCTION("""COMPUTED_VALUE"""),290.0)</f>
        <v>290</v>
      </c>
      <c r="U209" s="64">
        <f>IFERROR(__xludf.DUMMYFUNCTION("""COMPUTED_VALUE"""),620.0)</f>
        <v>620</v>
      </c>
      <c r="V209" s="182">
        <f>IFERROR(__xludf.DUMMYFUNCTION("""COMPUTED_VALUE"""),2.869042110134197)</f>
        <v>2.86904211</v>
      </c>
      <c r="W209" s="57">
        <f>IFERROR(__xludf.DUMMYFUNCTION("""COMPUTED_VALUE"""),8.0)</f>
        <v>8</v>
      </c>
      <c r="X209" s="57"/>
      <c r="Y209" s="57"/>
    </row>
    <row r="210">
      <c r="B210" s="157" t="s">
        <v>124</v>
      </c>
      <c r="C210" s="157">
        <f>if(countif(F206:F209,F210)&gt;1,0,6)</f>
        <v>6</v>
      </c>
      <c r="D210" s="157" t="str">
        <f>IFERROR(__xludf.DUMMYFUNCTION("""COMPUTED_VALUE"""),"220 WJV")</f>
        <v>220 WJV</v>
      </c>
      <c r="E210" s="64" t="str">
        <f>IFERROR(__xludf.DUMMYFUNCTION("""COMPUTED_VALUE"""),"WJV")</f>
        <v>WJV</v>
      </c>
      <c r="F210" s="158" t="str">
        <f>IFERROR(__xludf.DUMMYFUNCTION("""COMPUTED_VALUE"""),"Yale")</f>
        <v>Yale</v>
      </c>
      <c r="G210" s="64">
        <f>IFERROR(__xludf.DUMMYFUNCTION("""COMPUTED_VALUE"""),208.8)</f>
        <v>208.8</v>
      </c>
      <c r="H210" s="158" t="str">
        <f>IFERROR(__xludf.DUMMYFUNCTION("""COMPUTED_VALUE"""),"McIntyre, Brooke")</f>
        <v>McIntyre, Brooke</v>
      </c>
      <c r="I210" s="159" t="str">
        <f>IFERROR(__xludf.DUMMYFUNCTION("""COMPUTED_VALUE"""),"210g")</f>
        <v>210g</v>
      </c>
      <c r="J210" s="64" t="str">
        <f>IFERROR(__xludf.DUMMYFUNCTION("""COMPUTED_VALUE"""),"225g")</f>
        <v>225g</v>
      </c>
      <c r="K210" s="64" t="str">
        <f>IFERROR(__xludf.DUMMYFUNCTION("""COMPUTED_VALUE"""),"235g")</f>
        <v>235g</v>
      </c>
      <c r="L210" s="64">
        <f>IFERROR(__xludf.DUMMYFUNCTION("""COMPUTED_VALUE"""),235.0)</f>
        <v>235</v>
      </c>
      <c r="M210" s="64" t="str">
        <f>IFERROR(__xludf.DUMMYFUNCTION("""COMPUTED_VALUE"""),"120g")</f>
        <v>120g</v>
      </c>
      <c r="N210" s="64" t="str">
        <f>IFERROR(__xludf.DUMMYFUNCTION("""COMPUTED_VALUE"""),"125g")</f>
        <v>125g</v>
      </c>
      <c r="O210" s="64" t="str">
        <f>IFERROR(__xludf.DUMMYFUNCTION("""COMPUTED_VALUE"""),"130g")</f>
        <v>130g</v>
      </c>
      <c r="P210" s="64">
        <f>IFERROR(__xludf.DUMMYFUNCTION("""COMPUTED_VALUE"""),130.0)</f>
        <v>130</v>
      </c>
      <c r="Q210" s="64" t="str">
        <f>IFERROR(__xludf.DUMMYFUNCTION("""COMPUTED_VALUE"""),"230g")</f>
        <v>230g</v>
      </c>
      <c r="R210" s="64" t="str">
        <f>IFERROR(__xludf.DUMMYFUNCTION("""COMPUTED_VALUE"""),"250g")</f>
        <v>250g</v>
      </c>
      <c r="S210" s="64" t="str">
        <f>IFERROR(__xludf.DUMMYFUNCTION("""COMPUTED_VALUE"""),"270x")</f>
        <v>270x</v>
      </c>
      <c r="T210" s="64">
        <f>IFERROR(__xludf.DUMMYFUNCTION("""COMPUTED_VALUE"""),250.0)</f>
        <v>250</v>
      </c>
      <c r="U210" s="64">
        <f>IFERROR(__xludf.DUMMYFUNCTION("""COMPUTED_VALUE"""),615.0)</f>
        <v>615</v>
      </c>
      <c r="V210" s="182">
        <f>IFERROR(__xludf.DUMMYFUNCTION("""COMPUTED_VALUE"""),2.9454022988505746)</f>
        <v>2.945402299</v>
      </c>
      <c r="W210" s="57">
        <f>IFERROR(__xludf.DUMMYFUNCTION("""COMPUTED_VALUE"""),8.0)</f>
        <v>8</v>
      </c>
      <c r="X210" s="57"/>
      <c r="Y210" s="57"/>
    </row>
    <row r="211">
      <c r="B211" s="157" t="s">
        <v>125</v>
      </c>
      <c r="C211" s="157">
        <f>if(countif(F206:F210,F211)&gt;1,0,5)</f>
        <v>5</v>
      </c>
      <c r="D211" s="157" t="str">
        <f>IFERROR(__xludf.DUMMYFUNCTION("""COMPUTED_VALUE"""),"220 WJV")</f>
        <v>220 WJV</v>
      </c>
      <c r="E211" s="64" t="str">
        <f>IFERROR(__xludf.DUMMYFUNCTION("""COMPUTED_VALUE"""),"WJV")</f>
        <v>WJV</v>
      </c>
      <c r="F211" s="158" t="str">
        <f>IFERROR(__xludf.DUMMYFUNCTION("""COMPUTED_VALUE"""),"Morenci")</f>
        <v>Morenci</v>
      </c>
      <c r="G211" s="64">
        <f>IFERROR(__xludf.DUMMYFUNCTION("""COMPUTED_VALUE"""),215.8)</f>
        <v>215.8</v>
      </c>
      <c r="H211" s="158" t="str">
        <f>IFERROR(__xludf.DUMMYFUNCTION("""COMPUTED_VALUE"""),"Barron, Claire")</f>
        <v>Barron, Claire</v>
      </c>
      <c r="I211" s="159" t="str">
        <f>IFERROR(__xludf.DUMMYFUNCTION("""COMPUTED_VALUE"""),"215x")</f>
        <v>215x</v>
      </c>
      <c r="J211" s="64" t="str">
        <f>IFERROR(__xludf.DUMMYFUNCTION("""COMPUTED_VALUE"""),"215g")</f>
        <v>215g</v>
      </c>
      <c r="K211" s="64" t="str">
        <f>IFERROR(__xludf.DUMMYFUNCTION("""COMPUTED_VALUE"""),"235g")</f>
        <v>235g</v>
      </c>
      <c r="L211" s="64">
        <f>IFERROR(__xludf.DUMMYFUNCTION("""COMPUTED_VALUE"""),235.0)</f>
        <v>235</v>
      </c>
      <c r="M211" s="64" t="str">
        <f>IFERROR(__xludf.DUMMYFUNCTION("""COMPUTED_VALUE"""),"110g")</f>
        <v>110g</v>
      </c>
      <c r="N211" s="64" t="str">
        <f>IFERROR(__xludf.DUMMYFUNCTION("""COMPUTED_VALUE"""),"120x")</f>
        <v>120x</v>
      </c>
      <c r="O211" s="64" t="str">
        <f>IFERROR(__xludf.DUMMYFUNCTION("""COMPUTED_VALUE"""),"120x")</f>
        <v>120x</v>
      </c>
      <c r="P211" s="64">
        <f>IFERROR(__xludf.DUMMYFUNCTION("""COMPUTED_VALUE"""),110.0)</f>
        <v>110</v>
      </c>
      <c r="Q211" s="64" t="str">
        <f>IFERROR(__xludf.DUMMYFUNCTION("""COMPUTED_VALUE"""),"240g")</f>
        <v>240g</v>
      </c>
      <c r="R211" s="64" t="str">
        <f>IFERROR(__xludf.DUMMYFUNCTION("""COMPUTED_VALUE"""),"260g")</f>
        <v>260g</v>
      </c>
      <c r="S211" s="64" t="str">
        <f>IFERROR(__xludf.DUMMYFUNCTION("""COMPUTED_VALUE"""),"280x")</f>
        <v>280x</v>
      </c>
      <c r="T211" s="64">
        <f>IFERROR(__xludf.DUMMYFUNCTION("""COMPUTED_VALUE"""),260.0)</f>
        <v>260</v>
      </c>
      <c r="U211" s="64">
        <f>IFERROR(__xludf.DUMMYFUNCTION("""COMPUTED_VALUE"""),605.0)</f>
        <v>605</v>
      </c>
      <c r="V211" s="182">
        <f>IFERROR(__xludf.DUMMYFUNCTION("""COMPUTED_VALUE"""),2.803521779425394)</f>
        <v>2.803521779</v>
      </c>
      <c r="W211" s="57">
        <f>IFERROR(__xludf.DUMMYFUNCTION("""COMPUTED_VALUE"""),5.0)</f>
        <v>5</v>
      </c>
      <c r="X211" s="57"/>
      <c r="Y211" s="57"/>
    </row>
    <row r="212">
      <c r="B212" s="157" t="s">
        <v>126</v>
      </c>
      <c r="C212" s="157">
        <f>if(countif(F206:F211,F212)&gt;1,0,4)</f>
        <v>4</v>
      </c>
      <c r="D212" s="157" t="str">
        <f>IFERROR(__xludf.DUMMYFUNCTION("""COMPUTED_VALUE"""),"220 WJV")</f>
        <v>220 WJV</v>
      </c>
      <c r="E212" s="64" t="str">
        <f>IFERROR(__xludf.DUMMYFUNCTION("""COMPUTED_VALUE"""),"WJV")</f>
        <v>WJV</v>
      </c>
      <c r="F212" s="158" t="str">
        <f>IFERROR(__xludf.DUMMYFUNCTION("""COMPUTED_VALUE"""),"Port Huron")</f>
        <v>Port Huron</v>
      </c>
      <c r="G212" s="64">
        <f>IFERROR(__xludf.DUMMYFUNCTION("""COMPUTED_VALUE"""),216.8)</f>
        <v>216.8</v>
      </c>
      <c r="H212" s="158" t="str">
        <f>IFERROR(__xludf.DUMMYFUNCTION("""COMPUTED_VALUE"""),"Peyerk, Emily")</f>
        <v>Peyerk, Emily</v>
      </c>
      <c r="I212" s="159" t="str">
        <f>IFERROR(__xludf.DUMMYFUNCTION("""COMPUTED_VALUE"""),"165g")</f>
        <v>165g</v>
      </c>
      <c r="J212" s="64" t="str">
        <f>IFERROR(__xludf.DUMMYFUNCTION("""COMPUTED_VALUE"""),"185g")</f>
        <v>185g</v>
      </c>
      <c r="K212" s="64" t="str">
        <f>IFERROR(__xludf.DUMMYFUNCTION("""COMPUTED_VALUE"""),"205g")</f>
        <v>205g</v>
      </c>
      <c r="L212" s="64">
        <f>IFERROR(__xludf.DUMMYFUNCTION("""COMPUTED_VALUE"""),205.0)</f>
        <v>205</v>
      </c>
      <c r="M212" s="64" t="str">
        <f>IFERROR(__xludf.DUMMYFUNCTION("""COMPUTED_VALUE"""),"105g")</f>
        <v>105g</v>
      </c>
      <c r="N212" s="64" t="str">
        <f>IFERROR(__xludf.DUMMYFUNCTION("""COMPUTED_VALUE"""),"115g")</f>
        <v>115g</v>
      </c>
      <c r="O212" s="64" t="str">
        <f>IFERROR(__xludf.DUMMYFUNCTION("""COMPUTED_VALUE"""),"125x")</f>
        <v>125x</v>
      </c>
      <c r="P212" s="64">
        <f>IFERROR(__xludf.DUMMYFUNCTION("""COMPUTED_VALUE"""),115.0)</f>
        <v>115</v>
      </c>
      <c r="Q212" s="64" t="str">
        <f>IFERROR(__xludf.DUMMYFUNCTION("""COMPUTED_VALUE"""),"265g")</f>
        <v>265g</v>
      </c>
      <c r="R212" s="64" t="str">
        <f>IFERROR(__xludf.DUMMYFUNCTION("""COMPUTED_VALUE"""),"285x")</f>
        <v>285x</v>
      </c>
      <c r="S212" s="64" t="str">
        <f>IFERROR(__xludf.DUMMYFUNCTION("""COMPUTED_VALUE"""),"285g")</f>
        <v>285g</v>
      </c>
      <c r="T212" s="64">
        <f>IFERROR(__xludf.DUMMYFUNCTION("""COMPUTED_VALUE"""),285.0)</f>
        <v>285</v>
      </c>
      <c r="U212" s="64">
        <f>IFERROR(__xludf.DUMMYFUNCTION("""COMPUTED_VALUE"""),605.0)</f>
        <v>605</v>
      </c>
      <c r="V212" s="182">
        <f>IFERROR(__xludf.DUMMYFUNCTION("""COMPUTED_VALUE"""),2.7905904059040587)</f>
        <v>2.790590406</v>
      </c>
      <c r="W212" s="57">
        <f>IFERROR(__xludf.DUMMYFUNCTION("""COMPUTED_VALUE"""),7.0)</f>
        <v>7</v>
      </c>
      <c r="X212" s="57"/>
      <c r="Y212" s="57"/>
    </row>
    <row r="213">
      <c r="B213" s="157" t="s">
        <v>127</v>
      </c>
      <c r="C213" s="157">
        <f>if(countif(F206:F212,F213)&gt;1,0,3)</f>
        <v>3</v>
      </c>
      <c r="D213" s="157" t="str">
        <f>IFERROR(__xludf.DUMMYFUNCTION("""COMPUTED_VALUE"""),"220 WJV")</f>
        <v>220 WJV</v>
      </c>
      <c r="E213" s="64" t="str">
        <f>IFERROR(__xludf.DUMMYFUNCTION("""COMPUTED_VALUE"""),"WJV")</f>
        <v>WJV</v>
      </c>
      <c r="F213" s="158" t="str">
        <f>IFERROR(__xludf.DUMMYFUNCTION("""COMPUTED_VALUE"""),"Kingston")</f>
        <v>Kingston</v>
      </c>
      <c r="G213" s="64">
        <f>IFERROR(__xludf.DUMMYFUNCTION("""COMPUTED_VALUE"""),218.2)</f>
        <v>218.2</v>
      </c>
      <c r="H213" s="158" t="str">
        <f>IFERROR(__xludf.DUMMYFUNCTION("""COMPUTED_VALUE"""),"Harp, RayAnn")</f>
        <v>Harp, RayAnn</v>
      </c>
      <c r="I213" s="159" t="str">
        <f>IFERROR(__xludf.DUMMYFUNCTION("""COMPUTED_VALUE"""),"200g")</f>
        <v>200g</v>
      </c>
      <c r="J213" s="64" t="str">
        <f>IFERROR(__xludf.DUMMYFUNCTION("""COMPUTED_VALUE"""),"220g")</f>
        <v>220g</v>
      </c>
      <c r="K213" s="64" t="str">
        <f>IFERROR(__xludf.DUMMYFUNCTION("""COMPUTED_VALUE"""),"235g")</f>
        <v>235g</v>
      </c>
      <c r="L213" s="64">
        <f>IFERROR(__xludf.DUMMYFUNCTION("""COMPUTED_VALUE"""),235.0)</f>
        <v>235</v>
      </c>
      <c r="M213" s="64" t="str">
        <f>IFERROR(__xludf.DUMMYFUNCTION("""COMPUTED_VALUE"""),"100x")</f>
        <v>100x</v>
      </c>
      <c r="N213" s="64" t="str">
        <f>IFERROR(__xludf.DUMMYFUNCTION("""COMPUTED_VALUE"""),"110g")</f>
        <v>110g</v>
      </c>
      <c r="O213" s="64" t="str">
        <f>IFERROR(__xludf.DUMMYFUNCTION("""COMPUTED_VALUE"""),"115x")</f>
        <v>115x</v>
      </c>
      <c r="P213" s="64">
        <f>IFERROR(__xludf.DUMMYFUNCTION("""COMPUTED_VALUE"""),110.0)</f>
        <v>110</v>
      </c>
      <c r="Q213" s="64" t="str">
        <f>IFERROR(__xludf.DUMMYFUNCTION("""COMPUTED_VALUE"""),"210g")</f>
        <v>210g</v>
      </c>
      <c r="R213" s="64" t="str">
        <f>IFERROR(__xludf.DUMMYFUNCTION("""COMPUTED_VALUE"""),"225g")</f>
        <v>225g</v>
      </c>
      <c r="S213" s="64" t="str">
        <f>IFERROR(__xludf.DUMMYFUNCTION("""COMPUTED_VALUE"""),"235g")</f>
        <v>235g</v>
      </c>
      <c r="T213" s="64">
        <f>IFERROR(__xludf.DUMMYFUNCTION("""COMPUTED_VALUE"""),235.0)</f>
        <v>235</v>
      </c>
      <c r="U213" s="64">
        <f>IFERROR(__xludf.DUMMYFUNCTION("""COMPUTED_VALUE"""),580.0)</f>
        <v>580</v>
      </c>
      <c r="V213" s="182">
        <f>IFERROR(__xludf.DUMMYFUNCTION("""COMPUTED_VALUE"""),2.6581118240146657)</f>
        <v>2.658111824</v>
      </c>
      <c r="W213" s="57">
        <f>IFERROR(__xludf.DUMMYFUNCTION("""COMPUTED_VALUE"""),7.0)</f>
        <v>7</v>
      </c>
      <c r="X213" s="57"/>
      <c r="Y213" s="57"/>
    </row>
    <row r="214">
      <c r="B214" s="157" t="s">
        <v>128</v>
      </c>
      <c r="C214" s="157">
        <f>if(countif(F206:F213,F214)&gt;1,0,2)</f>
        <v>2</v>
      </c>
      <c r="D214" s="157" t="str">
        <f>IFERROR(__xludf.DUMMYFUNCTION("""COMPUTED_VALUE"""),"220 WJV")</f>
        <v>220 WJV</v>
      </c>
      <c r="E214" s="64" t="str">
        <f>IFERROR(__xludf.DUMMYFUNCTION("""COMPUTED_VALUE"""),"WJV")</f>
        <v>WJV</v>
      </c>
      <c r="F214" s="158" t="str">
        <f>IFERROR(__xludf.DUMMYFUNCTION("""COMPUTED_VALUE"""),"Hartford")</f>
        <v>Hartford</v>
      </c>
      <c r="G214" s="64">
        <f>IFERROR(__xludf.DUMMYFUNCTION("""COMPUTED_VALUE"""),206.8)</f>
        <v>206.8</v>
      </c>
      <c r="H214" s="158" t="str">
        <f>IFERROR(__xludf.DUMMYFUNCTION("""COMPUTED_VALUE"""),"Weber, Emma")</f>
        <v>Weber, Emma</v>
      </c>
      <c r="I214" s="159" t="str">
        <f>IFERROR(__xludf.DUMMYFUNCTION("""COMPUTED_VALUE"""),"165g")</f>
        <v>165g</v>
      </c>
      <c r="J214" s="64" t="str">
        <f>IFERROR(__xludf.DUMMYFUNCTION("""COMPUTED_VALUE"""),"185x")</f>
        <v>185x</v>
      </c>
      <c r="K214" s="64" t="str">
        <f>IFERROR(__xludf.DUMMYFUNCTION("""COMPUTED_VALUE"""),"195g")</f>
        <v>195g</v>
      </c>
      <c r="L214" s="64">
        <f>IFERROR(__xludf.DUMMYFUNCTION("""COMPUTED_VALUE"""),195.0)</f>
        <v>195</v>
      </c>
      <c r="M214" s="64" t="str">
        <f>IFERROR(__xludf.DUMMYFUNCTION("""COMPUTED_VALUE"""),"95g")</f>
        <v>95g</v>
      </c>
      <c r="N214" s="64" t="str">
        <f>IFERROR(__xludf.DUMMYFUNCTION("""COMPUTED_VALUE"""),"105g")</f>
        <v>105g</v>
      </c>
      <c r="O214" s="64" t="str">
        <f>IFERROR(__xludf.DUMMYFUNCTION("""COMPUTED_VALUE"""),"115x")</f>
        <v>115x</v>
      </c>
      <c r="P214" s="64">
        <f>IFERROR(__xludf.DUMMYFUNCTION("""COMPUTED_VALUE"""),105.0)</f>
        <v>105</v>
      </c>
      <c r="Q214" s="64" t="str">
        <f>IFERROR(__xludf.DUMMYFUNCTION("""COMPUTED_VALUE"""),"215g")</f>
        <v>215g</v>
      </c>
      <c r="R214" s="64" t="str">
        <f>IFERROR(__xludf.DUMMYFUNCTION("""COMPUTED_VALUE"""),"235g")</f>
        <v>235g</v>
      </c>
      <c r="S214" s="64" t="str">
        <f>IFERROR(__xludf.DUMMYFUNCTION("""COMPUTED_VALUE"""),"250g")</f>
        <v>250g</v>
      </c>
      <c r="T214" s="64">
        <f>IFERROR(__xludf.DUMMYFUNCTION("""COMPUTED_VALUE"""),250.0)</f>
        <v>250</v>
      </c>
      <c r="U214" s="64">
        <f>IFERROR(__xludf.DUMMYFUNCTION("""COMPUTED_VALUE"""),550.0)</f>
        <v>550</v>
      </c>
      <c r="V214" s="182">
        <f>IFERROR(__xludf.DUMMYFUNCTION("""COMPUTED_VALUE"""),2.6595744680851063)</f>
        <v>2.659574468</v>
      </c>
      <c r="W214" s="57">
        <f>IFERROR(__xludf.DUMMYFUNCTION("""COMPUTED_VALUE"""),7.0)</f>
        <v>7</v>
      </c>
      <c r="X214" s="57"/>
      <c r="Y214" s="57"/>
    </row>
    <row r="215">
      <c r="B215" s="157" t="s">
        <v>129</v>
      </c>
      <c r="C215" s="157">
        <f>if(countif(F206:F214,F215)&gt;1,0,1)</f>
        <v>1</v>
      </c>
      <c r="D215" s="157" t="str">
        <f>IFERROR(__xludf.DUMMYFUNCTION("""COMPUTED_VALUE"""),"220 WJV")</f>
        <v>220 WJV</v>
      </c>
      <c r="E215" s="64" t="str">
        <f>IFERROR(__xludf.DUMMYFUNCTION("""COMPUTED_VALUE"""),"WJV")</f>
        <v>WJV</v>
      </c>
      <c r="F215" s="158" t="str">
        <f>IFERROR(__xludf.DUMMYFUNCTION("""COMPUTED_VALUE"""),"Kearsley")</f>
        <v>Kearsley</v>
      </c>
      <c r="G215" s="64">
        <f>IFERROR(__xludf.DUMMYFUNCTION("""COMPUTED_VALUE"""),203.0)</f>
        <v>203</v>
      </c>
      <c r="H215" s="158" t="str">
        <f>IFERROR(__xludf.DUMMYFUNCTION("""COMPUTED_VALUE"""),"Martin, Marisol")</f>
        <v>Martin, Marisol</v>
      </c>
      <c r="I215" s="159" t="str">
        <f>IFERROR(__xludf.DUMMYFUNCTION("""COMPUTED_VALUE"""),"200x")</f>
        <v>200x</v>
      </c>
      <c r="J215" s="64" t="str">
        <f>IFERROR(__xludf.DUMMYFUNCTION("""COMPUTED_VALUE"""),"205x")</f>
        <v>205x</v>
      </c>
      <c r="K215" s="64" t="str">
        <f>IFERROR(__xludf.DUMMYFUNCTION("""COMPUTED_VALUE"""),"205g")</f>
        <v>205g</v>
      </c>
      <c r="L215" s="64">
        <f>IFERROR(__xludf.DUMMYFUNCTION("""COMPUTED_VALUE"""),205.0)</f>
        <v>205</v>
      </c>
      <c r="M215" s="64" t="str">
        <f>IFERROR(__xludf.DUMMYFUNCTION("""COMPUTED_VALUE"""),"100g")</f>
        <v>100g</v>
      </c>
      <c r="N215" s="64" t="str">
        <f>IFERROR(__xludf.DUMMYFUNCTION("""COMPUTED_VALUE"""),"105x")</f>
        <v>105x</v>
      </c>
      <c r="O215" s="64" t="str">
        <f>IFERROR(__xludf.DUMMYFUNCTION("""COMPUTED_VALUE"""),"110x")</f>
        <v>110x</v>
      </c>
      <c r="P215" s="64">
        <f>IFERROR(__xludf.DUMMYFUNCTION("""COMPUTED_VALUE"""),100.0)</f>
        <v>100</v>
      </c>
      <c r="Q215" s="64" t="str">
        <f>IFERROR(__xludf.DUMMYFUNCTION("""COMPUTED_VALUE"""),"195g")</f>
        <v>195g</v>
      </c>
      <c r="R215" s="64" t="str">
        <f>IFERROR(__xludf.DUMMYFUNCTION("""COMPUTED_VALUE"""),"205g")</f>
        <v>205g</v>
      </c>
      <c r="S215" s="64" t="str">
        <f>IFERROR(__xludf.DUMMYFUNCTION("""COMPUTED_VALUE"""),"220g")</f>
        <v>220g</v>
      </c>
      <c r="T215" s="64">
        <f>IFERROR(__xludf.DUMMYFUNCTION("""COMPUTED_VALUE"""),220.0)</f>
        <v>220</v>
      </c>
      <c r="U215" s="64">
        <f>IFERROR(__xludf.DUMMYFUNCTION("""COMPUTED_VALUE"""),525.0)</f>
        <v>525</v>
      </c>
      <c r="V215" s="182">
        <f>IFERROR(__xludf.DUMMYFUNCTION("""COMPUTED_VALUE"""),2.586206896551724)</f>
        <v>2.586206897</v>
      </c>
      <c r="W215" s="57">
        <f>IFERROR(__xludf.DUMMYFUNCTION("""COMPUTED_VALUE"""),5.0)</f>
        <v>5</v>
      </c>
      <c r="X215" s="57"/>
      <c r="Y215" s="57"/>
    </row>
    <row r="216">
      <c r="A216" s="67">
        <v>220.0</v>
      </c>
      <c r="B216" s="68" t="s">
        <v>542</v>
      </c>
      <c r="C216" s="68">
        <v>0.0</v>
      </c>
      <c r="D216" s="68" t="str">
        <f>IFERROR(__xludf.DUMMYFUNCTION("""COMPUTED_VALUE"""),"220 WJV")</f>
        <v>220 WJV</v>
      </c>
      <c r="E216" s="69" t="str">
        <f>IFERROR(__xludf.DUMMYFUNCTION("""COMPUTED_VALUE"""),"WJV")</f>
        <v>WJV</v>
      </c>
      <c r="F216" s="70" t="str">
        <f>IFERROR(__xludf.DUMMYFUNCTION("""COMPUTED_VALUE"""),"Grand Blanc")</f>
        <v>Grand Blanc</v>
      </c>
      <c r="G216" s="69">
        <f>IFERROR(__xludf.DUMMYFUNCTION("""COMPUTED_VALUE"""),204.0)</f>
        <v>204</v>
      </c>
      <c r="H216" s="70" t="str">
        <f>IFERROR(__xludf.DUMMYFUNCTION("""COMPUTED_VALUE"""),"Morrish, Faith")</f>
        <v>Morrish, Faith</v>
      </c>
      <c r="I216" s="71" t="str">
        <f>IFERROR(__xludf.DUMMYFUNCTION("""COMPUTED_VALUE"""),"175g")</f>
        <v>175g</v>
      </c>
      <c r="J216" s="69" t="str">
        <f>IFERROR(__xludf.DUMMYFUNCTION("""COMPUTED_VALUE"""),"185g")</f>
        <v>185g</v>
      </c>
      <c r="K216" s="69" t="str">
        <f>IFERROR(__xludf.DUMMYFUNCTION("""COMPUTED_VALUE"""),"205g")</f>
        <v>205g</v>
      </c>
      <c r="L216" s="69">
        <f>IFERROR(__xludf.DUMMYFUNCTION("""COMPUTED_VALUE"""),205.0)</f>
        <v>205</v>
      </c>
      <c r="M216" s="69" t="str">
        <f>IFERROR(__xludf.DUMMYFUNCTION("""COMPUTED_VALUE"""),"75g")</f>
        <v>75g</v>
      </c>
      <c r="N216" s="69" t="str">
        <f>IFERROR(__xludf.DUMMYFUNCTION("""COMPUTED_VALUE"""),"85g")</f>
        <v>85g</v>
      </c>
      <c r="O216" s="69" t="str">
        <f>IFERROR(__xludf.DUMMYFUNCTION("""COMPUTED_VALUE"""),"95g")</f>
        <v>95g</v>
      </c>
      <c r="P216" s="69">
        <f>IFERROR(__xludf.DUMMYFUNCTION("""COMPUTED_VALUE"""),95.0)</f>
        <v>95</v>
      </c>
      <c r="Q216" s="69" t="str">
        <f>IFERROR(__xludf.DUMMYFUNCTION("""COMPUTED_VALUE"""),"195g")</f>
        <v>195g</v>
      </c>
      <c r="R216" s="69" t="str">
        <f>IFERROR(__xludf.DUMMYFUNCTION("""COMPUTED_VALUE"""),"205g")</f>
        <v>205g</v>
      </c>
      <c r="S216" s="69" t="str">
        <f>IFERROR(__xludf.DUMMYFUNCTION("""COMPUTED_VALUE"""),"220x")</f>
        <v>220x</v>
      </c>
      <c r="T216" s="69">
        <f>IFERROR(__xludf.DUMMYFUNCTION("""COMPUTED_VALUE"""),205.0)</f>
        <v>205</v>
      </c>
      <c r="U216" s="69">
        <f>IFERROR(__xludf.DUMMYFUNCTION("""COMPUTED_VALUE"""),505.0)</f>
        <v>505</v>
      </c>
      <c r="V216" s="183">
        <f>IFERROR(__xludf.DUMMYFUNCTION("""COMPUTED_VALUE"""),2.4754901960784315)</f>
        <v>2.475490196</v>
      </c>
      <c r="W216" s="156">
        <f>IFERROR(__xludf.DUMMYFUNCTION("""COMPUTED_VALUE"""),8.0)</f>
        <v>8</v>
      </c>
      <c r="X216" s="156"/>
      <c r="Y216" s="156"/>
    </row>
    <row r="217">
      <c r="B217" s="68" t="s">
        <v>543</v>
      </c>
      <c r="C217" s="68">
        <v>0.0</v>
      </c>
      <c r="D217" s="68" t="str">
        <f>IFERROR(__xludf.DUMMYFUNCTION("""COMPUTED_VALUE"""),"220 WJV")</f>
        <v>220 WJV</v>
      </c>
      <c r="E217" s="69" t="str">
        <f>IFERROR(__xludf.DUMMYFUNCTION("""COMPUTED_VALUE"""),"WJV")</f>
        <v>WJV</v>
      </c>
      <c r="F217" s="70" t="str">
        <f>IFERROR(__xludf.DUMMYFUNCTION("""COMPUTED_VALUE"""),"Kalkaska")</f>
        <v>Kalkaska</v>
      </c>
      <c r="G217" s="69">
        <f>IFERROR(__xludf.DUMMYFUNCTION("""COMPUTED_VALUE"""),213.4)</f>
        <v>213.4</v>
      </c>
      <c r="H217" s="70" t="str">
        <f>IFERROR(__xludf.DUMMYFUNCTION("""COMPUTED_VALUE"""),"George, Charlotte")</f>
        <v>George, Charlotte</v>
      </c>
      <c r="I217" s="71" t="str">
        <f>IFERROR(__xludf.DUMMYFUNCTION("""COMPUTED_VALUE"""),"135g")</f>
        <v>135g</v>
      </c>
      <c r="J217" s="69" t="str">
        <f>IFERROR(__xludf.DUMMYFUNCTION("""COMPUTED_VALUE"""),"155g")</f>
        <v>155g</v>
      </c>
      <c r="K217" s="69" t="str">
        <f>IFERROR(__xludf.DUMMYFUNCTION("""COMPUTED_VALUE"""),"170x")</f>
        <v>170x</v>
      </c>
      <c r="L217" s="69">
        <f>IFERROR(__xludf.DUMMYFUNCTION("""COMPUTED_VALUE"""),155.0)</f>
        <v>155</v>
      </c>
      <c r="M217" s="69" t="str">
        <f>IFERROR(__xludf.DUMMYFUNCTION("""COMPUTED_VALUE"""),"75g")</f>
        <v>75g</v>
      </c>
      <c r="N217" s="69" t="str">
        <f>IFERROR(__xludf.DUMMYFUNCTION("""COMPUTED_VALUE"""),"85x")</f>
        <v>85x</v>
      </c>
      <c r="O217" s="69" t="str">
        <f>IFERROR(__xludf.DUMMYFUNCTION("""COMPUTED_VALUE"""),"85x")</f>
        <v>85x</v>
      </c>
      <c r="P217" s="69">
        <f>IFERROR(__xludf.DUMMYFUNCTION("""COMPUTED_VALUE"""),75.0)</f>
        <v>75</v>
      </c>
      <c r="Q217" s="69" t="str">
        <f>IFERROR(__xludf.DUMMYFUNCTION("""COMPUTED_VALUE"""),"195g")</f>
        <v>195g</v>
      </c>
      <c r="R217" s="69" t="str">
        <f>IFERROR(__xludf.DUMMYFUNCTION("""COMPUTED_VALUE"""),"210g")</f>
        <v>210g</v>
      </c>
      <c r="S217" s="69" t="str">
        <f>IFERROR(__xludf.DUMMYFUNCTION("""COMPUTED_VALUE"""),"220x")</f>
        <v>220x</v>
      </c>
      <c r="T217" s="69">
        <f>IFERROR(__xludf.DUMMYFUNCTION("""COMPUTED_VALUE"""),210.0)</f>
        <v>210</v>
      </c>
      <c r="U217" s="69">
        <f>IFERROR(__xludf.DUMMYFUNCTION("""COMPUTED_VALUE"""),440.0)</f>
        <v>440</v>
      </c>
      <c r="V217" s="183">
        <f>IFERROR(__xludf.DUMMYFUNCTION("""COMPUTED_VALUE"""),2.0618556701030926)</f>
        <v>2.06185567</v>
      </c>
      <c r="W217" s="156">
        <f>IFERROR(__xludf.DUMMYFUNCTION("""COMPUTED_VALUE"""),5.0)</f>
        <v>5</v>
      </c>
      <c r="X217" s="156"/>
      <c r="Y217" s="156"/>
    </row>
    <row r="218">
      <c r="B218" s="68" t="s">
        <v>544</v>
      </c>
      <c r="C218" s="68">
        <v>0.0</v>
      </c>
      <c r="D218" s="68" t="str">
        <f>IFERROR(__xludf.DUMMYFUNCTION("""COMPUTED_VALUE"""),"220 WJV")</f>
        <v>220 WJV</v>
      </c>
      <c r="E218" s="69" t="str">
        <f>IFERROR(__xludf.DUMMYFUNCTION("""COMPUTED_VALUE"""),"WJV")</f>
        <v>WJV</v>
      </c>
      <c r="F218" s="70" t="str">
        <f>IFERROR(__xludf.DUMMYFUNCTION("""COMPUTED_VALUE"""),"Central Lake")</f>
        <v>Central Lake</v>
      </c>
      <c r="G218" s="69">
        <f>IFERROR(__xludf.DUMMYFUNCTION("""COMPUTED_VALUE"""),219.0)</f>
        <v>219</v>
      </c>
      <c r="H218" s="70" t="str">
        <f>IFERROR(__xludf.DUMMYFUNCTION("""COMPUTED_VALUE"""),"Herrst, Desiree")</f>
        <v>Herrst, Desiree</v>
      </c>
      <c r="I218" s="71" t="str">
        <f>IFERROR(__xludf.DUMMYFUNCTION("""COMPUTED_VALUE"""),"165x")</f>
        <v>165x</v>
      </c>
      <c r="J218" s="69" t="str">
        <f>IFERROR(__xludf.DUMMYFUNCTION("""COMPUTED_VALUE"""),"175g")</f>
        <v>175g</v>
      </c>
      <c r="K218" s="69" t="str">
        <f>IFERROR(__xludf.DUMMYFUNCTION("""COMPUTED_VALUE"""),"200x")</f>
        <v>200x</v>
      </c>
      <c r="L218" s="69">
        <f>IFERROR(__xludf.DUMMYFUNCTION("""COMPUTED_VALUE"""),175.0)</f>
        <v>175</v>
      </c>
      <c r="M218" s="69" t="str">
        <f>IFERROR(__xludf.DUMMYFUNCTION("""COMPUTED_VALUE"""),"105g")</f>
        <v>105g</v>
      </c>
      <c r="N218" s="69" t="str">
        <f>IFERROR(__xludf.DUMMYFUNCTION("""COMPUTED_VALUE"""),"115g")</f>
        <v>115g</v>
      </c>
      <c r="O218" s="69" t="str">
        <f>IFERROR(__xludf.DUMMYFUNCTION("""COMPUTED_VALUE"""),"120g")</f>
        <v>120g</v>
      </c>
      <c r="P218" s="69">
        <f>IFERROR(__xludf.DUMMYFUNCTION("""COMPUTED_VALUE"""),120.0)</f>
        <v>120</v>
      </c>
      <c r="Q218" s="69" t="str">
        <f>IFERROR(__xludf.DUMMYFUNCTION("""COMPUTED_VALUE"""),"215x")</f>
        <v>215x</v>
      </c>
      <c r="R218" s="69" t="str">
        <f>IFERROR(__xludf.DUMMYFUNCTION("""COMPUTED_VALUE"""),"215x")</f>
        <v>215x</v>
      </c>
      <c r="S218" s="69" t="str">
        <f>IFERROR(__xludf.DUMMYFUNCTION("""COMPUTED_VALUE"""),"215x")</f>
        <v>215x</v>
      </c>
      <c r="T218" s="69">
        <f>IFERROR(__xludf.DUMMYFUNCTION("""COMPUTED_VALUE"""),0.0)</f>
        <v>0</v>
      </c>
      <c r="U218" s="69">
        <f>IFERROR(__xludf.DUMMYFUNCTION("""COMPUTED_VALUE"""),0.0)</f>
        <v>0</v>
      </c>
      <c r="V218" s="183">
        <f>IFERROR(__xludf.DUMMYFUNCTION("""COMPUTED_VALUE"""),0.0)</f>
        <v>0</v>
      </c>
      <c r="W218" s="156">
        <f>IFERROR(__xludf.DUMMYFUNCTION("""COMPUTED_VALUE"""),4.0)</f>
        <v>4</v>
      </c>
      <c r="X218" s="156"/>
      <c r="Y218" s="156"/>
    </row>
    <row r="219">
      <c r="B219" s="68" t="s">
        <v>545</v>
      </c>
      <c r="C219" s="68">
        <v>0.0</v>
      </c>
      <c r="D219" s="68"/>
      <c r="E219" s="69"/>
      <c r="F219" s="70"/>
      <c r="G219" s="69"/>
      <c r="H219" s="70"/>
      <c r="I219" s="71"/>
      <c r="J219" s="69"/>
      <c r="K219" s="69"/>
      <c r="L219" s="69"/>
      <c r="M219" s="69"/>
      <c r="N219" s="69"/>
      <c r="O219" s="69"/>
      <c r="P219" s="69"/>
      <c r="Q219" s="69"/>
      <c r="R219" s="69"/>
      <c r="S219" s="69"/>
      <c r="T219" s="69"/>
      <c r="U219" s="69"/>
      <c r="V219" s="69"/>
      <c r="W219" s="156"/>
      <c r="X219" s="156"/>
      <c r="Y219" s="156"/>
    </row>
    <row r="220">
      <c r="B220" s="68" t="s">
        <v>546</v>
      </c>
      <c r="C220" s="68">
        <v>0.0</v>
      </c>
      <c r="D220" s="68"/>
      <c r="E220" s="69"/>
      <c r="F220" s="70"/>
      <c r="G220" s="69"/>
      <c r="H220" s="70"/>
      <c r="I220" s="71"/>
      <c r="J220" s="69"/>
      <c r="K220" s="69"/>
      <c r="L220" s="69"/>
      <c r="M220" s="69"/>
      <c r="N220" s="69"/>
      <c r="O220" s="69"/>
      <c r="P220" s="69"/>
      <c r="Q220" s="69"/>
      <c r="R220" s="69"/>
      <c r="S220" s="69"/>
      <c r="T220" s="69"/>
      <c r="U220" s="69"/>
      <c r="V220" s="69"/>
      <c r="W220" s="156"/>
      <c r="X220" s="156"/>
      <c r="Y220" s="156"/>
    </row>
    <row r="221">
      <c r="B221" s="68" t="s">
        <v>547</v>
      </c>
      <c r="C221" s="68">
        <v>0.0</v>
      </c>
      <c r="D221" s="68"/>
      <c r="E221" s="69"/>
      <c r="F221" s="70"/>
      <c r="G221" s="69"/>
      <c r="H221" s="70"/>
      <c r="I221" s="71"/>
      <c r="J221" s="69"/>
      <c r="K221" s="69"/>
      <c r="L221" s="69"/>
      <c r="M221" s="69"/>
      <c r="N221" s="69"/>
      <c r="O221" s="69"/>
      <c r="P221" s="69"/>
      <c r="Q221" s="69"/>
      <c r="R221" s="69"/>
      <c r="S221" s="69"/>
      <c r="T221" s="69"/>
      <c r="U221" s="69"/>
      <c r="V221" s="69"/>
      <c r="W221" s="156"/>
      <c r="X221" s="156"/>
      <c r="Y221" s="156"/>
    </row>
    <row r="222">
      <c r="B222" s="68" t="s">
        <v>548</v>
      </c>
      <c r="C222" s="68">
        <v>0.0</v>
      </c>
      <c r="D222" s="68"/>
      <c r="E222" s="69"/>
      <c r="F222" s="70"/>
      <c r="G222" s="69"/>
      <c r="H222" s="70"/>
      <c r="I222" s="71"/>
      <c r="J222" s="69"/>
      <c r="K222" s="69"/>
      <c r="L222" s="69"/>
      <c r="M222" s="69"/>
      <c r="N222" s="69"/>
      <c r="O222" s="69"/>
      <c r="P222" s="69"/>
      <c r="Q222" s="69"/>
      <c r="R222" s="69"/>
      <c r="S222" s="69"/>
      <c r="T222" s="69"/>
      <c r="U222" s="69"/>
      <c r="V222" s="69"/>
      <c r="W222" s="156"/>
      <c r="X222" s="156"/>
      <c r="Y222" s="156"/>
    </row>
    <row r="223">
      <c r="B223" s="68" t="s">
        <v>549</v>
      </c>
      <c r="C223" s="68">
        <v>0.0</v>
      </c>
      <c r="D223" s="68"/>
      <c r="E223" s="69"/>
      <c r="F223" s="70"/>
      <c r="G223" s="69"/>
      <c r="H223" s="70"/>
      <c r="I223" s="71"/>
      <c r="J223" s="69"/>
      <c r="K223" s="69"/>
      <c r="L223" s="69"/>
      <c r="M223" s="69"/>
      <c r="N223" s="69"/>
      <c r="O223" s="69"/>
      <c r="P223" s="69"/>
      <c r="Q223" s="69"/>
      <c r="R223" s="69"/>
      <c r="S223" s="69"/>
      <c r="T223" s="69"/>
      <c r="U223" s="69"/>
      <c r="V223" s="69"/>
      <c r="W223" s="156"/>
      <c r="X223" s="156"/>
      <c r="Y223" s="156"/>
    </row>
    <row r="224">
      <c r="B224" s="68" t="s">
        <v>550</v>
      </c>
      <c r="C224" s="68">
        <v>0.0</v>
      </c>
      <c r="D224" s="68"/>
      <c r="E224" s="69"/>
      <c r="F224" s="70"/>
      <c r="G224" s="69"/>
      <c r="H224" s="70"/>
      <c r="I224" s="71"/>
      <c r="J224" s="69"/>
      <c r="K224" s="69"/>
      <c r="L224" s="69"/>
      <c r="M224" s="69"/>
      <c r="N224" s="69"/>
      <c r="O224" s="69"/>
      <c r="P224" s="69"/>
      <c r="Q224" s="69"/>
      <c r="R224" s="69"/>
      <c r="S224" s="69"/>
      <c r="T224" s="69"/>
      <c r="U224" s="69"/>
      <c r="V224" s="69"/>
      <c r="W224" s="156"/>
      <c r="X224" s="156"/>
      <c r="Y224" s="156"/>
    </row>
    <row r="225">
      <c r="B225" s="68" t="s">
        <v>551</v>
      </c>
      <c r="C225" s="68">
        <v>0.0</v>
      </c>
      <c r="D225" s="68"/>
      <c r="E225" s="69"/>
      <c r="F225" s="70"/>
      <c r="G225" s="69"/>
      <c r="H225" s="70"/>
      <c r="I225" s="71"/>
      <c r="J225" s="69"/>
      <c r="K225" s="69"/>
      <c r="L225" s="69"/>
      <c r="M225" s="69"/>
      <c r="N225" s="69"/>
      <c r="O225" s="69"/>
      <c r="P225" s="69"/>
      <c r="Q225" s="69"/>
      <c r="R225" s="69"/>
      <c r="S225" s="69"/>
      <c r="T225" s="69"/>
      <c r="U225" s="69"/>
      <c r="V225" s="69"/>
      <c r="W225" s="156"/>
      <c r="X225" s="156"/>
      <c r="Y225" s="156"/>
    </row>
    <row r="226">
      <c r="A226" s="58">
        <v>242.0</v>
      </c>
      <c r="B226" s="157" t="s">
        <v>120</v>
      </c>
      <c r="C226" s="157">
        <v>12.0</v>
      </c>
      <c r="D226" s="157" t="str">
        <f>IFERROR(__xludf.DUMMYFUNCTION("ARRAY_CONSTRAIN(filter('All Platforms'!A3:T1802,'All Platforms'!A3:A1802=""242 WJV""),20,20)"),"242 WJV")</f>
        <v>242 WJV</v>
      </c>
      <c r="E226" s="64" t="str">
        <f>IFERROR(__xludf.DUMMYFUNCTION("""COMPUTED_VALUE"""),"WJV")</f>
        <v>WJV</v>
      </c>
      <c r="F226" s="158" t="str">
        <f>IFERROR(__xludf.DUMMYFUNCTION("""COMPUTED_VALUE"""),"Montague")</f>
        <v>Montague</v>
      </c>
      <c r="G226" s="64">
        <f>IFERROR(__xludf.DUMMYFUNCTION("""COMPUTED_VALUE"""),229.0)</f>
        <v>229</v>
      </c>
      <c r="H226" s="158" t="str">
        <f>IFERROR(__xludf.DUMMYFUNCTION("""COMPUTED_VALUE"""),"Marsh, Alexis")</f>
        <v>Marsh, Alexis</v>
      </c>
      <c r="I226" s="159" t="str">
        <f>IFERROR(__xludf.DUMMYFUNCTION("""COMPUTED_VALUE"""),"180g")</f>
        <v>180g</v>
      </c>
      <c r="J226" s="64" t="str">
        <f>IFERROR(__xludf.DUMMYFUNCTION("""COMPUTED_VALUE"""),"205g")</f>
        <v>205g</v>
      </c>
      <c r="K226" s="64" t="str">
        <f>IFERROR(__xludf.DUMMYFUNCTION("""COMPUTED_VALUE"""),"225g")</f>
        <v>225g</v>
      </c>
      <c r="L226" s="64">
        <f>IFERROR(__xludf.DUMMYFUNCTION("""COMPUTED_VALUE"""),225.0)</f>
        <v>225</v>
      </c>
      <c r="M226" s="64" t="str">
        <f>IFERROR(__xludf.DUMMYFUNCTION("""COMPUTED_VALUE"""),"100g")</f>
        <v>100g</v>
      </c>
      <c r="N226" s="64" t="str">
        <f>IFERROR(__xludf.DUMMYFUNCTION("""COMPUTED_VALUE"""),"110g")</f>
        <v>110g</v>
      </c>
      <c r="O226" s="64" t="str">
        <f>IFERROR(__xludf.DUMMYFUNCTION("""COMPUTED_VALUE"""),"125x")</f>
        <v>125x</v>
      </c>
      <c r="P226" s="64">
        <f>IFERROR(__xludf.DUMMYFUNCTION("""COMPUTED_VALUE"""),110.0)</f>
        <v>110</v>
      </c>
      <c r="Q226" s="64" t="str">
        <f>IFERROR(__xludf.DUMMYFUNCTION("""COMPUTED_VALUE"""),"270g")</f>
        <v>270g</v>
      </c>
      <c r="R226" s="64" t="str">
        <f>IFERROR(__xludf.DUMMYFUNCTION("""COMPUTED_VALUE"""),"300g")</f>
        <v>300g</v>
      </c>
      <c r="S226" s="64" t="str">
        <f>IFERROR(__xludf.DUMMYFUNCTION("""COMPUTED_VALUE"""),"310g")</f>
        <v>310g</v>
      </c>
      <c r="T226" s="64">
        <f>IFERROR(__xludf.DUMMYFUNCTION("""COMPUTED_VALUE"""),310.0)</f>
        <v>310</v>
      </c>
      <c r="U226" s="64">
        <f>IFERROR(__xludf.DUMMYFUNCTION("""COMPUTED_VALUE"""),645.0)</f>
        <v>645</v>
      </c>
      <c r="V226" s="182">
        <f>IFERROR(__xludf.DUMMYFUNCTION("""COMPUTED_VALUE"""),2.816593886462882)</f>
        <v>2.816593886</v>
      </c>
      <c r="W226" s="57">
        <f>IFERROR(__xludf.DUMMYFUNCTION("""COMPUTED_VALUE"""),8.0)</f>
        <v>8</v>
      </c>
      <c r="X226" s="57"/>
      <c r="Y226" s="57"/>
    </row>
    <row r="227">
      <c r="B227" s="157" t="s">
        <v>121</v>
      </c>
      <c r="C227" s="157">
        <v>9.0</v>
      </c>
      <c r="D227" s="157" t="str">
        <f>IFERROR(__xludf.DUMMYFUNCTION("""COMPUTED_VALUE"""),"242 WJV")</f>
        <v>242 WJV</v>
      </c>
      <c r="E227" s="64" t="str">
        <f>IFERROR(__xludf.DUMMYFUNCTION("""COMPUTED_VALUE"""),"WJV")</f>
        <v>WJV</v>
      </c>
      <c r="F227" s="158" t="str">
        <f>IFERROR(__xludf.DUMMYFUNCTION("""COMPUTED_VALUE"""),"Port Huron")</f>
        <v>Port Huron</v>
      </c>
      <c r="G227" s="64">
        <f>IFERROR(__xludf.DUMMYFUNCTION("""COMPUTED_VALUE"""),227.8)</f>
        <v>227.8</v>
      </c>
      <c r="H227" s="158" t="str">
        <f>IFERROR(__xludf.DUMMYFUNCTION("""COMPUTED_VALUE"""),"Bethany, Amaiya")</f>
        <v>Bethany, Amaiya</v>
      </c>
      <c r="I227" s="159" t="str">
        <f>IFERROR(__xludf.DUMMYFUNCTION("""COMPUTED_VALUE"""),"185g")</f>
        <v>185g</v>
      </c>
      <c r="J227" s="64" t="str">
        <f>IFERROR(__xludf.DUMMYFUNCTION("""COMPUTED_VALUE"""),"200g")</f>
        <v>200g</v>
      </c>
      <c r="K227" s="64" t="str">
        <f>IFERROR(__xludf.DUMMYFUNCTION("""COMPUTED_VALUE"""),"225x")</f>
        <v>225x</v>
      </c>
      <c r="L227" s="64">
        <f>IFERROR(__xludf.DUMMYFUNCTION("""COMPUTED_VALUE"""),200.0)</f>
        <v>200</v>
      </c>
      <c r="M227" s="64" t="str">
        <f>IFERROR(__xludf.DUMMYFUNCTION("""COMPUTED_VALUE"""),"115g")</f>
        <v>115g</v>
      </c>
      <c r="N227" s="64" t="str">
        <f>IFERROR(__xludf.DUMMYFUNCTION("""COMPUTED_VALUE"""),"125g")</f>
        <v>125g</v>
      </c>
      <c r="O227" s="64" t="str">
        <f>IFERROR(__xludf.DUMMYFUNCTION("""COMPUTED_VALUE"""),"130g")</f>
        <v>130g</v>
      </c>
      <c r="P227" s="64">
        <f>IFERROR(__xludf.DUMMYFUNCTION("""COMPUTED_VALUE"""),130.0)</f>
        <v>130</v>
      </c>
      <c r="Q227" s="64" t="str">
        <f>IFERROR(__xludf.DUMMYFUNCTION("""COMPUTED_VALUE"""),"260g")</f>
        <v>260g</v>
      </c>
      <c r="R227" s="64" t="str">
        <f>IFERROR(__xludf.DUMMYFUNCTION("""COMPUTED_VALUE"""),"285g")</f>
        <v>285g</v>
      </c>
      <c r="S227" s="64" t="str">
        <f>IFERROR(__xludf.DUMMYFUNCTION("""COMPUTED_VALUE"""),"305g")</f>
        <v>305g</v>
      </c>
      <c r="T227" s="64">
        <f>IFERROR(__xludf.DUMMYFUNCTION("""COMPUTED_VALUE"""),305.0)</f>
        <v>305</v>
      </c>
      <c r="U227" s="64">
        <f>IFERROR(__xludf.DUMMYFUNCTION("""COMPUTED_VALUE"""),635.0)</f>
        <v>635</v>
      </c>
      <c r="V227" s="182">
        <f>IFERROR(__xludf.DUMMYFUNCTION("""COMPUTED_VALUE"""),2.7875329236172077)</f>
        <v>2.787532924</v>
      </c>
      <c r="W227" s="57">
        <f>IFERROR(__xludf.DUMMYFUNCTION("""COMPUTED_VALUE"""),8.0)</f>
        <v>8</v>
      </c>
      <c r="X227" s="57"/>
      <c r="Y227" s="57"/>
    </row>
    <row r="228">
      <c r="B228" s="157" t="s">
        <v>122</v>
      </c>
      <c r="C228" s="157">
        <f>if(countif(F226:F227,F228)&gt;1,0,8)</f>
        <v>8</v>
      </c>
      <c r="D228" s="157" t="str">
        <f>IFERROR(__xludf.DUMMYFUNCTION("""COMPUTED_VALUE"""),"242 WJV")</f>
        <v>242 WJV</v>
      </c>
      <c r="E228" s="64" t="str">
        <f>IFERROR(__xludf.DUMMYFUNCTION("""COMPUTED_VALUE"""),"WJV")</f>
        <v>WJV</v>
      </c>
      <c r="F228" s="158" t="str">
        <f>IFERROR(__xludf.DUMMYFUNCTION("""COMPUTED_VALUE"""),"Port Huron")</f>
        <v>Port Huron</v>
      </c>
      <c r="G228" s="64">
        <f>IFERROR(__xludf.DUMMYFUNCTION("""COMPUTED_VALUE"""),227.6)</f>
        <v>227.6</v>
      </c>
      <c r="H228" s="158" t="str">
        <f>IFERROR(__xludf.DUMMYFUNCTION("""COMPUTED_VALUE"""),"Hinojosa, Alexia")</f>
        <v>Hinojosa, Alexia</v>
      </c>
      <c r="I228" s="159" t="str">
        <f>IFERROR(__xludf.DUMMYFUNCTION("""COMPUTED_VALUE"""),"185g")</f>
        <v>185g</v>
      </c>
      <c r="J228" s="64" t="str">
        <f>IFERROR(__xludf.DUMMYFUNCTION("""COMPUTED_VALUE"""),"195g")</f>
        <v>195g</v>
      </c>
      <c r="K228" s="64" t="str">
        <f>IFERROR(__xludf.DUMMYFUNCTION("""COMPUTED_VALUE"""),"205g")</f>
        <v>205g</v>
      </c>
      <c r="L228" s="64">
        <f>IFERROR(__xludf.DUMMYFUNCTION("""COMPUTED_VALUE"""),205.0)</f>
        <v>205</v>
      </c>
      <c r="M228" s="64" t="str">
        <f>IFERROR(__xludf.DUMMYFUNCTION("""COMPUTED_VALUE"""),"120x")</f>
        <v>120x</v>
      </c>
      <c r="N228" s="64" t="str">
        <f>IFERROR(__xludf.DUMMYFUNCTION("""COMPUTED_VALUE"""),"120x")</f>
        <v>120x</v>
      </c>
      <c r="O228" s="64" t="str">
        <f>IFERROR(__xludf.DUMMYFUNCTION("""COMPUTED_VALUE"""),"120g")</f>
        <v>120g</v>
      </c>
      <c r="P228" s="64">
        <f>IFERROR(__xludf.DUMMYFUNCTION("""COMPUTED_VALUE"""),120.0)</f>
        <v>120</v>
      </c>
      <c r="Q228" s="64" t="str">
        <f>IFERROR(__xludf.DUMMYFUNCTION("""COMPUTED_VALUE"""),"280x")</f>
        <v>280x</v>
      </c>
      <c r="R228" s="64" t="str">
        <f>IFERROR(__xludf.DUMMYFUNCTION("""COMPUTED_VALUE"""),"280g")</f>
        <v>280g</v>
      </c>
      <c r="S228" s="64" t="str">
        <f>IFERROR(__xludf.DUMMYFUNCTION("""COMPUTED_VALUE"""),"290x")</f>
        <v>290x</v>
      </c>
      <c r="T228" s="64">
        <f>IFERROR(__xludf.DUMMYFUNCTION("""COMPUTED_VALUE"""),280.0)</f>
        <v>280</v>
      </c>
      <c r="U228" s="64">
        <f>IFERROR(__xludf.DUMMYFUNCTION("""COMPUTED_VALUE"""),605.0)</f>
        <v>605</v>
      </c>
      <c r="V228" s="182">
        <f>IFERROR(__xludf.DUMMYFUNCTION("""COMPUTED_VALUE"""),2.65817223198594)</f>
        <v>2.658172232</v>
      </c>
      <c r="W228" s="57">
        <f>IFERROR(__xludf.DUMMYFUNCTION("""COMPUTED_VALUE"""),5.0)</f>
        <v>5</v>
      </c>
      <c r="X228" s="57"/>
      <c r="Y228" s="57"/>
    </row>
    <row r="229">
      <c r="B229" s="157" t="s">
        <v>123</v>
      </c>
      <c r="C229" s="157">
        <f>if(countif(F226:F228,F229)&gt;1,0,7)</f>
        <v>7</v>
      </c>
      <c r="D229" s="157" t="str">
        <f>IFERROR(__xludf.DUMMYFUNCTION("""COMPUTED_VALUE"""),"242 WJV")</f>
        <v>242 WJV</v>
      </c>
      <c r="E229" s="64" t="str">
        <f>IFERROR(__xludf.DUMMYFUNCTION("""COMPUTED_VALUE"""),"WJV")</f>
        <v>WJV</v>
      </c>
      <c r="F229" s="158" t="str">
        <f>IFERROR(__xludf.DUMMYFUNCTION("""COMPUTED_VALUE"""),"Edwardsburg")</f>
        <v>Edwardsburg</v>
      </c>
      <c r="G229" s="64">
        <f>IFERROR(__xludf.DUMMYFUNCTION("""COMPUTED_VALUE"""),231.2)</f>
        <v>231.2</v>
      </c>
      <c r="H229" s="158" t="str">
        <f>IFERROR(__xludf.DUMMYFUNCTION("""COMPUTED_VALUE"""),"Campoli, Isabella")</f>
        <v>Campoli, Isabella</v>
      </c>
      <c r="I229" s="159" t="str">
        <f>IFERROR(__xludf.DUMMYFUNCTION("""COMPUTED_VALUE"""),"135g")</f>
        <v>135g</v>
      </c>
      <c r="J229" s="64" t="str">
        <f>IFERROR(__xludf.DUMMYFUNCTION("""COMPUTED_VALUE"""),"165g")</f>
        <v>165g</v>
      </c>
      <c r="K229" s="64" t="str">
        <f>IFERROR(__xludf.DUMMYFUNCTION("""COMPUTED_VALUE"""),"185g")</f>
        <v>185g</v>
      </c>
      <c r="L229" s="64">
        <f>IFERROR(__xludf.DUMMYFUNCTION("""COMPUTED_VALUE"""),185.0)</f>
        <v>185</v>
      </c>
      <c r="M229" s="64" t="str">
        <f>IFERROR(__xludf.DUMMYFUNCTION("""COMPUTED_VALUE"""),"95g")</f>
        <v>95g</v>
      </c>
      <c r="N229" s="64" t="str">
        <f>IFERROR(__xludf.DUMMYFUNCTION("""COMPUTED_VALUE"""),"115g")</f>
        <v>115g</v>
      </c>
      <c r="O229" s="64" t="str">
        <f>IFERROR(__xludf.DUMMYFUNCTION("""COMPUTED_VALUE"""),"125x")</f>
        <v>125x</v>
      </c>
      <c r="P229" s="64">
        <f>IFERROR(__xludf.DUMMYFUNCTION("""COMPUTED_VALUE"""),115.0)</f>
        <v>115</v>
      </c>
      <c r="Q229" s="64" t="str">
        <f>IFERROR(__xludf.DUMMYFUNCTION("""COMPUTED_VALUE"""),"250g")</f>
        <v>250g</v>
      </c>
      <c r="R229" s="64" t="str">
        <f>IFERROR(__xludf.DUMMYFUNCTION("""COMPUTED_VALUE"""),"285g")</f>
        <v>285g</v>
      </c>
      <c r="S229" s="64" t="str">
        <f>IFERROR(__xludf.DUMMYFUNCTION("""COMPUTED_VALUE"""),"305g")</f>
        <v>305g</v>
      </c>
      <c r="T229" s="64">
        <f>IFERROR(__xludf.DUMMYFUNCTION("""COMPUTED_VALUE"""),305.0)</f>
        <v>305</v>
      </c>
      <c r="U229" s="64">
        <f>IFERROR(__xludf.DUMMYFUNCTION("""COMPUTED_VALUE"""),605.0)</f>
        <v>605</v>
      </c>
      <c r="V229" s="182">
        <f>IFERROR(__xludf.DUMMYFUNCTION("""COMPUTED_VALUE"""),2.6167820069204155)</f>
        <v>2.616782007</v>
      </c>
      <c r="W229" s="57">
        <f>IFERROR(__xludf.DUMMYFUNCTION("""COMPUTED_VALUE"""),8.0)</f>
        <v>8</v>
      </c>
      <c r="X229" s="57"/>
      <c r="Y229" s="57"/>
    </row>
    <row r="230">
      <c r="B230" s="157" t="s">
        <v>124</v>
      </c>
      <c r="C230" s="157">
        <f>if(countif(F226:F229,F230)&gt;1,0,6)</f>
        <v>6</v>
      </c>
      <c r="D230" s="157" t="str">
        <f>IFERROR(__xludf.DUMMYFUNCTION("""COMPUTED_VALUE"""),"242 WJV")</f>
        <v>242 WJV</v>
      </c>
      <c r="E230" s="64" t="str">
        <f>IFERROR(__xludf.DUMMYFUNCTION("""COMPUTED_VALUE"""),"WJV")</f>
        <v>WJV</v>
      </c>
      <c r="F230" s="158" t="str">
        <f>IFERROR(__xludf.DUMMYFUNCTION("""COMPUTED_VALUE"""),"Lake Orion")</f>
        <v>Lake Orion</v>
      </c>
      <c r="G230" s="64">
        <f>IFERROR(__xludf.DUMMYFUNCTION("""COMPUTED_VALUE"""),229.6)</f>
        <v>229.6</v>
      </c>
      <c r="H230" s="158" t="str">
        <f>IFERROR(__xludf.DUMMYFUNCTION("""COMPUTED_VALUE"""),"Butcher, Veronica")</f>
        <v>Butcher, Veronica</v>
      </c>
      <c r="I230" s="159" t="str">
        <f>IFERROR(__xludf.DUMMYFUNCTION("""COMPUTED_VALUE"""),"210g")</f>
        <v>210g</v>
      </c>
      <c r="J230" s="64" t="str">
        <f>IFERROR(__xludf.DUMMYFUNCTION("""COMPUTED_VALUE"""),"220x")</f>
        <v>220x</v>
      </c>
      <c r="K230" s="64" t="str">
        <f>IFERROR(__xludf.DUMMYFUNCTION("""COMPUTED_VALUE"""),"225x")</f>
        <v>225x</v>
      </c>
      <c r="L230" s="64">
        <f>IFERROR(__xludf.DUMMYFUNCTION("""COMPUTED_VALUE"""),210.0)</f>
        <v>210</v>
      </c>
      <c r="M230" s="64" t="str">
        <f>IFERROR(__xludf.DUMMYFUNCTION("""COMPUTED_VALUE"""),"105g")</f>
        <v>105g</v>
      </c>
      <c r="N230" s="64" t="str">
        <f>IFERROR(__xludf.DUMMYFUNCTION("""COMPUTED_VALUE"""),"110g")</f>
        <v>110g</v>
      </c>
      <c r="O230" s="64" t="str">
        <f>IFERROR(__xludf.DUMMYFUNCTION("""COMPUTED_VALUE"""),"120x")</f>
        <v>120x</v>
      </c>
      <c r="P230" s="64">
        <f>IFERROR(__xludf.DUMMYFUNCTION("""COMPUTED_VALUE"""),110.0)</f>
        <v>110</v>
      </c>
      <c r="Q230" s="64" t="str">
        <f>IFERROR(__xludf.DUMMYFUNCTION("""COMPUTED_VALUE"""),"230g")</f>
        <v>230g</v>
      </c>
      <c r="R230" s="64" t="str">
        <f>IFERROR(__xludf.DUMMYFUNCTION("""COMPUTED_VALUE"""),"250g")</f>
        <v>250g</v>
      </c>
      <c r="S230" s="64" t="str">
        <f>IFERROR(__xludf.DUMMYFUNCTION("""COMPUTED_VALUE"""),"275g")</f>
        <v>275g</v>
      </c>
      <c r="T230" s="64">
        <f>IFERROR(__xludf.DUMMYFUNCTION("""COMPUTED_VALUE"""),275.0)</f>
        <v>275</v>
      </c>
      <c r="U230" s="64">
        <f>IFERROR(__xludf.DUMMYFUNCTION("""COMPUTED_VALUE"""),595.0)</f>
        <v>595</v>
      </c>
      <c r="V230" s="182">
        <f>IFERROR(__xludf.DUMMYFUNCTION("""COMPUTED_VALUE"""),2.591463414634146)</f>
        <v>2.591463415</v>
      </c>
      <c r="W230" s="57">
        <f>IFERROR(__xludf.DUMMYFUNCTION("""COMPUTED_VALUE"""),6.0)</f>
        <v>6</v>
      </c>
      <c r="X230" s="57"/>
      <c r="Y230" s="57"/>
    </row>
    <row r="231">
      <c r="B231" s="157" t="s">
        <v>125</v>
      </c>
      <c r="C231" s="157">
        <f>if(countif(F226:F230,F231)&gt;1,0,5)</f>
        <v>5</v>
      </c>
      <c r="D231" s="157" t="str">
        <f>IFERROR(__xludf.DUMMYFUNCTION("""COMPUTED_VALUE"""),"242 WJV")</f>
        <v>242 WJV</v>
      </c>
      <c r="E231" s="64" t="str">
        <f>IFERROR(__xludf.DUMMYFUNCTION("""COMPUTED_VALUE"""),"WJV")</f>
        <v>WJV</v>
      </c>
      <c r="F231" s="158" t="str">
        <f>IFERROR(__xludf.DUMMYFUNCTION("""COMPUTED_VALUE"""),"Birch Run")</f>
        <v>Birch Run</v>
      </c>
      <c r="G231" s="64">
        <f>IFERROR(__xludf.DUMMYFUNCTION("""COMPUTED_VALUE"""),222.0)</f>
        <v>222</v>
      </c>
      <c r="H231" s="158" t="str">
        <f>IFERROR(__xludf.DUMMYFUNCTION("""COMPUTED_VALUE"""),"Murlick, Lindsey")</f>
        <v>Murlick, Lindsey</v>
      </c>
      <c r="I231" s="159" t="str">
        <f>IFERROR(__xludf.DUMMYFUNCTION("""COMPUTED_VALUE"""),"205g")</f>
        <v>205g</v>
      </c>
      <c r="J231" s="64" t="str">
        <f>IFERROR(__xludf.DUMMYFUNCTION("""COMPUTED_VALUE"""),"220g")</f>
        <v>220g</v>
      </c>
      <c r="K231" s="64" t="str">
        <f>IFERROR(__xludf.DUMMYFUNCTION("""COMPUTED_VALUE"""),"225x")</f>
        <v>225x</v>
      </c>
      <c r="L231" s="64">
        <f>IFERROR(__xludf.DUMMYFUNCTION("""COMPUTED_VALUE"""),220.0)</f>
        <v>220</v>
      </c>
      <c r="M231" s="64" t="str">
        <f>IFERROR(__xludf.DUMMYFUNCTION("""COMPUTED_VALUE"""),"105g")</f>
        <v>105g</v>
      </c>
      <c r="N231" s="64" t="str">
        <f>IFERROR(__xludf.DUMMYFUNCTION("""COMPUTED_VALUE"""),"115x")</f>
        <v>115x</v>
      </c>
      <c r="O231" s="64" t="str">
        <f>IFERROR(__xludf.DUMMYFUNCTION("""COMPUTED_VALUE"""),"115x")</f>
        <v>115x</v>
      </c>
      <c r="P231" s="64">
        <f>IFERROR(__xludf.DUMMYFUNCTION("""COMPUTED_VALUE"""),105.0)</f>
        <v>105</v>
      </c>
      <c r="Q231" s="64" t="str">
        <f>IFERROR(__xludf.DUMMYFUNCTION("""COMPUTED_VALUE"""),"265g")</f>
        <v>265g</v>
      </c>
      <c r="R231" s="64" t="str">
        <f>IFERROR(__xludf.DUMMYFUNCTION("""COMPUTED_VALUE"""),"290x")</f>
        <v>290x</v>
      </c>
      <c r="S231" s="64" t="str">
        <f>IFERROR(__xludf.DUMMYFUNCTION("""COMPUTED_VALUE"""),"290x")</f>
        <v>290x</v>
      </c>
      <c r="T231" s="64">
        <f>IFERROR(__xludf.DUMMYFUNCTION("""COMPUTED_VALUE"""),265.0)</f>
        <v>265</v>
      </c>
      <c r="U231" s="64">
        <f>IFERROR(__xludf.DUMMYFUNCTION("""COMPUTED_VALUE"""),590.0)</f>
        <v>590</v>
      </c>
      <c r="V231" s="182">
        <f>IFERROR(__xludf.DUMMYFUNCTION("""COMPUTED_VALUE"""),2.6576576576576576)</f>
        <v>2.657657658</v>
      </c>
      <c r="W231" s="57">
        <f>IFERROR(__xludf.DUMMYFUNCTION("""COMPUTED_VALUE"""),4.0)</f>
        <v>4</v>
      </c>
      <c r="X231" s="57"/>
      <c r="Y231" s="57"/>
    </row>
    <row r="232">
      <c r="B232" s="157" t="s">
        <v>126</v>
      </c>
      <c r="C232" s="157">
        <f>if(countif(F226:F231,F232)&gt;1,0,4)</f>
        <v>4</v>
      </c>
      <c r="D232" s="157" t="str">
        <f>IFERROR(__xludf.DUMMYFUNCTION("""COMPUTED_VALUE"""),"242 WJV")</f>
        <v>242 WJV</v>
      </c>
      <c r="E232" s="64" t="str">
        <f>IFERROR(__xludf.DUMMYFUNCTION("""COMPUTED_VALUE"""),"WJV")</f>
        <v>WJV</v>
      </c>
      <c r="F232" s="158" t="str">
        <f>IFERROR(__xludf.DUMMYFUNCTION("""COMPUTED_VALUE"""),"Henry Ford II")</f>
        <v>Henry Ford II</v>
      </c>
      <c r="G232" s="64">
        <f>IFERROR(__xludf.DUMMYFUNCTION("""COMPUTED_VALUE"""),235.8)</f>
        <v>235.8</v>
      </c>
      <c r="H232" s="158" t="str">
        <f>IFERROR(__xludf.DUMMYFUNCTION("""COMPUTED_VALUE"""),"McIntosh, Hailee")</f>
        <v>McIntosh, Hailee</v>
      </c>
      <c r="I232" s="159" t="str">
        <f>IFERROR(__xludf.DUMMYFUNCTION("""COMPUTED_VALUE"""),"185x")</f>
        <v>185x</v>
      </c>
      <c r="J232" s="64" t="str">
        <f>IFERROR(__xludf.DUMMYFUNCTION("""COMPUTED_VALUE"""),"185g")</f>
        <v>185g</v>
      </c>
      <c r="K232" s="64" t="str">
        <f>IFERROR(__xludf.DUMMYFUNCTION("""COMPUTED_VALUE"""),"200g")</f>
        <v>200g</v>
      </c>
      <c r="L232" s="64">
        <f>IFERROR(__xludf.DUMMYFUNCTION("""COMPUTED_VALUE"""),200.0)</f>
        <v>200</v>
      </c>
      <c r="M232" s="64" t="str">
        <f>IFERROR(__xludf.DUMMYFUNCTION("""COMPUTED_VALUE"""),"115g")</f>
        <v>115g</v>
      </c>
      <c r="N232" s="64" t="str">
        <f>IFERROR(__xludf.DUMMYFUNCTION("""COMPUTED_VALUE"""),"125x")</f>
        <v>125x</v>
      </c>
      <c r="O232" s="64" t="str">
        <f>IFERROR(__xludf.DUMMYFUNCTION("""COMPUTED_VALUE"""),"125x")</f>
        <v>125x</v>
      </c>
      <c r="P232" s="64">
        <f>IFERROR(__xludf.DUMMYFUNCTION("""COMPUTED_VALUE"""),115.0)</f>
        <v>115</v>
      </c>
      <c r="Q232" s="64" t="str">
        <f>IFERROR(__xludf.DUMMYFUNCTION("""COMPUTED_VALUE"""),"200g")</f>
        <v>200g</v>
      </c>
      <c r="R232" s="64" t="str">
        <f>IFERROR(__xludf.DUMMYFUNCTION("""COMPUTED_VALUE"""),"210g")</f>
        <v>210g</v>
      </c>
      <c r="S232" s="64" t="str">
        <f>IFERROR(__xludf.DUMMYFUNCTION("""COMPUTED_VALUE"""),"225g")</f>
        <v>225g</v>
      </c>
      <c r="T232" s="64">
        <f>IFERROR(__xludf.DUMMYFUNCTION("""COMPUTED_VALUE"""),225.0)</f>
        <v>225</v>
      </c>
      <c r="U232" s="64">
        <f>IFERROR(__xludf.DUMMYFUNCTION("""COMPUTED_VALUE"""),540.0)</f>
        <v>540</v>
      </c>
      <c r="V232" s="182">
        <f>IFERROR(__xludf.DUMMYFUNCTION("""COMPUTED_VALUE"""),2.2900763358778624)</f>
        <v>2.290076336</v>
      </c>
      <c r="W232" s="57">
        <f>IFERROR(__xludf.DUMMYFUNCTION("""COMPUTED_VALUE"""),6.0)</f>
        <v>6</v>
      </c>
      <c r="X232" s="57"/>
      <c r="Y232" s="57"/>
    </row>
    <row r="233">
      <c r="B233" s="157" t="s">
        <v>127</v>
      </c>
      <c r="C233" s="157">
        <f>if(countif(F226:F232,F233)&gt;1,0,3)</f>
        <v>3</v>
      </c>
      <c r="D233" s="157"/>
      <c r="E233" s="64"/>
      <c r="F233" s="158"/>
      <c r="G233" s="64"/>
      <c r="H233" s="158"/>
      <c r="I233" s="159"/>
      <c r="J233" s="64"/>
      <c r="K233" s="64"/>
      <c r="L233" s="64"/>
      <c r="M233" s="64"/>
      <c r="N233" s="64"/>
      <c r="O233" s="64"/>
      <c r="P233" s="64"/>
      <c r="Q233" s="64"/>
      <c r="R233" s="64"/>
      <c r="S233" s="64"/>
      <c r="T233" s="64"/>
      <c r="U233" s="64"/>
      <c r="V233" s="64"/>
      <c r="W233" s="57"/>
      <c r="X233" s="57"/>
      <c r="Y233" s="57"/>
    </row>
    <row r="234">
      <c r="B234" s="157" t="s">
        <v>128</v>
      </c>
      <c r="C234" s="157">
        <f>if(countif(F226:F233,F234)&gt;1,0,2)</f>
        <v>2</v>
      </c>
      <c r="D234" s="157"/>
      <c r="E234" s="64"/>
      <c r="F234" s="158"/>
      <c r="G234" s="64"/>
      <c r="H234" s="158"/>
      <c r="I234" s="159"/>
      <c r="J234" s="64"/>
      <c r="K234" s="64"/>
      <c r="L234" s="64"/>
      <c r="M234" s="64"/>
      <c r="N234" s="64"/>
      <c r="O234" s="64"/>
      <c r="P234" s="64"/>
      <c r="Q234" s="64"/>
      <c r="R234" s="64"/>
      <c r="S234" s="64"/>
      <c r="T234" s="64"/>
      <c r="U234" s="64"/>
      <c r="V234" s="64"/>
      <c r="W234" s="57"/>
      <c r="X234" s="57"/>
      <c r="Y234" s="57"/>
    </row>
    <row r="235">
      <c r="B235" s="157" t="s">
        <v>129</v>
      </c>
      <c r="C235" s="157">
        <f>if(countif(F226:F234,F235)&gt;1,0,1)</f>
        <v>1</v>
      </c>
      <c r="D235" s="157"/>
      <c r="E235" s="64"/>
      <c r="F235" s="158"/>
      <c r="G235" s="64"/>
      <c r="H235" s="158"/>
      <c r="I235" s="159"/>
      <c r="J235" s="64"/>
      <c r="K235" s="64"/>
      <c r="L235" s="64"/>
      <c r="M235" s="64"/>
      <c r="N235" s="64"/>
      <c r="O235" s="64"/>
      <c r="P235" s="64"/>
      <c r="Q235" s="64"/>
      <c r="R235" s="64"/>
      <c r="S235" s="64"/>
      <c r="T235" s="64"/>
      <c r="U235" s="64"/>
      <c r="V235" s="64"/>
      <c r="W235" s="57"/>
      <c r="X235" s="57"/>
      <c r="Y235" s="57"/>
    </row>
    <row r="236">
      <c r="A236" s="67">
        <v>242.0</v>
      </c>
      <c r="B236" s="68" t="s">
        <v>542</v>
      </c>
      <c r="C236" s="68">
        <v>0.0</v>
      </c>
      <c r="D236" s="68"/>
      <c r="E236" s="69"/>
      <c r="F236" s="70"/>
      <c r="G236" s="69"/>
      <c r="H236" s="70"/>
      <c r="I236" s="71"/>
      <c r="J236" s="69"/>
      <c r="K236" s="69"/>
      <c r="L236" s="69"/>
      <c r="M236" s="69"/>
      <c r="N236" s="69"/>
      <c r="O236" s="69"/>
      <c r="P236" s="69"/>
      <c r="Q236" s="69"/>
      <c r="R236" s="69"/>
      <c r="S236" s="69"/>
      <c r="T236" s="69"/>
      <c r="U236" s="69"/>
      <c r="V236" s="69"/>
      <c r="W236" s="156"/>
      <c r="X236" s="156"/>
      <c r="Y236" s="156"/>
    </row>
    <row r="237">
      <c r="B237" s="68" t="s">
        <v>543</v>
      </c>
      <c r="C237" s="68">
        <v>0.0</v>
      </c>
      <c r="D237" s="68"/>
      <c r="E237" s="69"/>
      <c r="F237" s="70"/>
      <c r="G237" s="69"/>
      <c r="H237" s="70"/>
      <c r="I237" s="71"/>
      <c r="J237" s="69"/>
      <c r="K237" s="69"/>
      <c r="L237" s="69"/>
      <c r="M237" s="69"/>
      <c r="N237" s="69"/>
      <c r="O237" s="69"/>
      <c r="P237" s="69"/>
      <c r="Q237" s="69"/>
      <c r="R237" s="69"/>
      <c r="S237" s="69"/>
      <c r="T237" s="69"/>
      <c r="U237" s="69"/>
      <c r="V237" s="69"/>
      <c r="W237" s="156"/>
      <c r="X237" s="156"/>
      <c r="Y237" s="156"/>
    </row>
    <row r="238">
      <c r="B238" s="68" t="s">
        <v>544</v>
      </c>
      <c r="C238" s="68">
        <v>0.0</v>
      </c>
      <c r="D238" s="68"/>
      <c r="E238" s="69"/>
      <c r="F238" s="70"/>
      <c r="G238" s="69"/>
      <c r="H238" s="70"/>
      <c r="I238" s="71"/>
      <c r="J238" s="69"/>
      <c r="K238" s="69"/>
      <c r="L238" s="69"/>
      <c r="M238" s="69"/>
      <c r="N238" s="69"/>
      <c r="O238" s="69"/>
      <c r="P238" s="69"/>
      <c r="Q238" s="69"/>
      <c r="R238" s="69"/>
      <c r="S238" s="69"/>
      <c r="T238" s="69"/>
      <c r="U238" s="69"/>
      <c r="V238" s="69"/>
      <c r="W238" s="156"/>
      <c r="X238" s="156"/>
      <c r="Y238" s="156"/>
    </row>
    <row r="239">
      <c r="B239" s="68" t="s">
        <v>545</v>
      </c>
      <c r="C239" s="68">
        <v>0.0</v>
      </c>
      <c r="D239" s="68"/>
      <c r="E239" s="69"/>
      <c r="F239" s="70"/>
      <c r="G239" s="69"/>
      <c r="H239" s="70"/>
      <c r="I239" s="71"/>
      <c r="J239" s="69"/>
      <c r="K239" s="69"/>
      <c r="L239" s="69"/>
      <c r="M239" s="69"/>
      <c r="N239" s="69"/>
      <c r="O239" s="69"/>
      <c r="P239" s="69"/>
      <c r="Q239" s="69"/>
      <c r="R239" s="69"/>
      <c r="S239" s="69"/>
      <c r="T239" s="69"/>
      <c r="U239" s="69"/>
      <c r="V239" s="69"/>
      <c r="W239" s="156"/>
      <c r="X239" s="156"/>
      <c r="Y239" s="156"/>
    </row>
    <row r="240">
      <c r="B240" s="68" t="s">
        <v>546</v>
      </c>
      <c r="C240" s="68">
        <v>0.0</v>
      </c>
      <c r="D240" s="68"/>
      <c r="E240" s="69"/>
      <c r="F240" s="70"/>
      <c r="G240" s="69"/>
      <c r="H240" s="70"/>
      <c r="I240" s="71"/>
      <c r="J240" s="69"/>
      <c r="K240" s="69"/>
      <c r="L240" s="69"/>
      <c r="M240" s="69"/>
      <c r="N240" s="69"/>
      <c r="O240" s="69"/>
      <c r="P240" s="69"/>
      <c r="Q240" s="69"/>
      <c r="R240" s="69"/>
      <c r="S240" s="69"/>
      <c r="T240" s="69"/>
      <c r="U240" s="69"/>
      <c r="V240" s="69"/>
      <c r="W240" s="156"/>
      <c r="X240" s="156"/>
      <c r="Y240" s="156"/>
    </row>
    <row r="241">
      <c r="B241" s="68" t="s">
        <v>547</v>
      </c>
      <c r="C241" s="68">
        <v>0.0</v>
      </c>
      <c r="D241" s="68"/>
      <c r="E241" s="69"/>
      <c r="F241" s="70"/>
      <c r="G241" s="69"/>
      <c r="H241" s="70"/>
      <c r="I241" s="71"/>
      <c r="J241" s="69"/>
      <c r="K241" s="69"/>
      <c r="L241" s="69"/>
      <c r="M241" s="69"/>
      <c r="N241" s="69"/>
      <c r="O241" s="69"/>
      <c r="P241" s="69"/>
      <c r="Q241" s="69"/>
      <c r="R241" s="69"/>
      <c r="S241" s="69"/>
      <c r="T241" s="69"/>
      <c r="U241" s="69"/>
      <c r="V241" s="69"/>
      <c r="W241" s="156"/>
      <c r="X241" s="156"/>
      <c r="Y241" s="156"/>
    </row>
    <row r="242">
      <c r="B242" s="68" t="s">
        <v>548</v>
      </c>
      <c r="C242" s="68">
        <v>0.0</v>
      </c>
      <c r="D242" s="68"/>
      <c r="E242" s="69"/>
      <c r="F242" s="70"/>
      <c r="G242" s="69"/>
      <c r="H242" s="70"/>
      <c r="I242" s="71"/>
      <c r="J242" s="69"/>
      <c r="K242" s="69"/>
      <c r="L242" s="69"/>
      <c r="M242" s="69"/>
      <c r="N242" s="69"/>
      <c r="O242" s="69"/>
      <c r="P242" s="69"/>
      <c r="Q242" s="69"/>
      <c r="R242" s="69"/>
      <c r="S242" s="69"/>
      <c r="T242" s="69"/>
      <c r="U242" s="69"/>
      <c r="V242" s="69"/>
      <c r="W242" s="156"/>
      <c r="X242" s="156"/>
      <c r="Y242" s="156"/>
    </row>
    <row r="243">
      <c r="B243" s="68" t="s">
        <v>549</v>
      </c>
      <c r="C243" s="68">
        <v>0.0</v>
      </c>
      <c r="D243" s="68"/>
      <c r="E243" s="69"/>
      <c r="F243" s="70"/>
      <c r="G243" s="69"/>
      <c r="H243" s="70"/>
      <c r="I243" s="71"/>
      <c r="J243" s="69"/>
      <c r="K243" s="69"/>
      <c r="L243" s="69"/>
      <c r="M243" s="69"/>
      <c r="N243" s="69"/>
      <c r="O243" s="69"/>
      <c r="P243" s="69"/>
      <c r="Q243" s="69"/>
      <c r="R243" s="69"/>
      <c r="S243" s="69"/>
      <c r="T243" s="69"/>
      <c r="U243" s="69"/>
      <c r="V243" s="69"/>
      <c r="W243" s="156"/>
      <c r="X243" s="156"/>
      <c r="Y243" s="156"/>
    </row>
    <row r="244">
      <c r="B244" s="68" t="s">
        <v>550</v>
      </c>
      <c r="C244" s="68">
        <v>0.0</v>
      </c>
      <c r="D244" s="68"/>
      <c r="E244" s="69"/>
      <c r="F244" s="70"/>
      <c r="G244" s="69"/>
      <c r="H244" s="70"/>
      <c r="I244" s="71"/>
      <c r="J244" s="69"/>
      <c r="K244" s="69"/>
      <c r="L244" s="69"/>
      <c r="M244" s="69"/>
      <c r="N244" s="69"/>
      <c r="O244" s="69"/>
      <c r="P244" s="69"/>
      <c r="Q244" s="69"/>
      <c r="R244" s="69"/>
      <c r="S244" s="69"/>
      <c r="T244" s="69"/>
      <c r="U244" s="69"/>
      <c r="V244" s="69"/>
      <c r="W244" s="156"/>
      <c r="X244" s="156"/>
      <c r="Y244" s="156"/>
    </row>
    <row r="245">
      <c r="B245" s="68" t="s">
        <v>551</v>
      </c>
      <c r="C245" s="68">
        <v>0.0</v>
      </c>
      <c r="D245" s="68"/>
      <c r="E245" s="69"/>
      <c r="F245" s="70"/>
      <c r="G245" s="69"/>
      <c r="H245" s="70"/>
      <c r="I245" s="71"/>
      <c r="J245" s="69"/>
      <c r="K245" s="69"/>
      <c r="L245" s="69"/>
      <c r="M245" s="69"/>
      <c r="N245" s="69"/>
      <c r="O245" s="69"/>
      <c r="P245" s="69"/>
      <c r="Q245" s="69"/>
      <c r="R245" s="69"/>
      <c r="S245" s="69"/>
      <c r="T245" s="69"/>
      <c r="U245" s="69"/>
      <c r="V245" s="69"/>
      <c r="W245" s="156"/>
      <c r="X245" s="156"/>
      <c r="Y245" s="156"/>
    </row>
    <row r="246">
      <c r="A246" s="162" t="s">
        <v>130</v>
      </c>
      <c r="B246" s="163" t="s">
        <v>120</v>
      </c>
      <c r="C246" s="163">
        <v>12.0</v>
      </c>
      <c r="D246" s="163" t="str">
        <f>IFERROR(__xludf.DUMMYFUNCTION("ARRAY_CONSTRAIN(filter('All Platforms'!A3:T1802,'All Platforms'!A3:A1802=""SHW WJV""),20,20)"),"SHW WJV")</f>
        <v>SHW WJV</v>
      </c>
      <c r="E246" s="22" t="str">
        <f>IFERROR(__xludf.DUMMYFUNCTION("""COMPUTED_VALUE"""),"WJV")</f>
        <v>WJV</v>
      </c>
      <c r="F246" s="22" t="str">
        <f>IFERROR(__xludf.DUMMYFUNCTION("""COMPUTED_VALUE"""),"Shepherd")</f>
        <v>Shepherd</v>
      </c>
      <c r="G246" s="22">
        <f>IFERROR(__xludf.DUMMYFUNCTION("""COMPUTED_VALUE"""),270.4)</f>
        <v>270.4</v>
      </c>
      <c r="H246" s="164" t="str">
        <f>IFERROR(__xludf.DUMMYFUNCTION("""COMPUTED_VALUE"""),"Ryan, Hailey")</f>
        <v>Ryan, Hailey</v>
      </c>
      <c r="I246" s="22" t="str">
        <f>IFERROR(__xludf.DUMMYFUNCTION("""COMPUTED_VALUE"""),"275x")</f>
        <v>275x</v>
      </c>
      <c r="J246" s="22" t="str">
        <f>IFERROR(__xludf.DUMMYFUNCTION("""COMPUTED_VALUE"""),"275g")</f>
        <v>275g</v>
      </c>
      <c r="K246" s="22" t="str">
        <f>IFERROR(__xludf.DUMMYFUNCTION("""COMPUTED_VALUE"""),"335x")</f>
        <v>335x</v>
      </c>
      <c r="L246" s="22">
        <f>IFERROR(__xludf.DUMMYFUNCTION("""COMPUTED_VALUE"""),275.0)</f>
        <v>275</v>
      </c>
      <c r="M246" s="22" t="str">
        <f>IFERROR(__xludf.DUMMYFUNCTION("""COMPUTED_VALUE"""),"145g")</f>
        <v>145g</v>
      </c>
      <c r="N246" s="22" t="str">
        <f>IFERROR(__xludf.DUMMYFUNCTION("""COMPUTED_VALUE"""),"155g")</f>
        <v>155g</v>
      </c>
      <c r="O246" s="22" t="str">
        <f>IFERROR(__xludf.DUMMYFUNCTION("""COMPUTED_VALUE"""),"165x")</f>
        <v>165x</v>
      </c>
      <c r="P246" s="22">
        <f>IFERROR(__xludf.DUMMYFUNCTION("""COMPUTED_VALUE"""),155.0)</f>
        <v>155</v>
      </c>
      <c r="Q246" s="22" t="str">
        <f>IFERROR(__xludf.DUMMYFUNCTION("""COMPUTED_VALUE"""),"285g")</f>
        <v>285g</v>
      </c>
      <c r="R246" s="22" t="str">
        <f>IFERROR(__xludf.DUMMYFUNCTION("""COMPUTED_VALUE"""),"315g")</f>
        <v>315g</v>
      </c>
      <c r="S246" s="22" t="str">
        <f>IFERROR(__xludf.DUMMYFUNCTION("""COMPUTED_VALUE"""),"340g")</f>
        <v>340g</v>
      </c>
      <c r="T246" s="22">
        <f>IFERROR(__xludf.DUMMYFUNCTION("""COMPUTED_VALUE"""),340.0)</f>
        <v>340</v>
      </c>
      <c r="U246" s="22">
        <f>IFERROR(__xludf.DUMMYFUNCTION("""COMPUTED_VALUE"""),770.0)</f>
        <v>770</v>
      </c>
      <c r="V246" s="187">
        <f>IFERROR(__xludf.DUMMYFUNCTION("""COMPUTED_VALUE"""),2.8476331360946747)</f>
        <v>2.847633136</v>
      </c>
      <c r="W246" s="22">
        <f>IFERROR(__xludf.DUMMYFUNCTION("""COMPUTED_VALUE"""),6.0)</f>
        <v>6</v>
      </c>
      <c r="X246" s="22"/>
      <c r="Y246" s="22"/>
    </row>
    <row r="247">
      <c r="B247" s="163" t="s">
        <v>121</v>
      </c>
      <c r="C247" s="163">
        <v>9.0</v>
      </c>
      <c r="D247" s="99" t="str">
        <f>IFERROR(__xludf.DUMMYFUNCTION("""COMPUTED_VALUE"""),"SHW WJV")</f>
        <v>SHW WJV</v>
      </c>
      <c r="E247" s="22" t="str">
        <f>IFERROR(__xludf.DUMMYFUNCTION("""COMPUTED_VALUE"""),"WJV")</f>
        <v>WJV</v>
      </c>
      <c r="F247" s="22" t="str">
        <f>IFERROR(__xludf.DUMMYFUNCTION("""COMPUTED_VALUE"""),"Birch Run")</f>
        <v>Birch Run</v>
      </c>
      <c r="G247" s="22">
        <f>IFERROR(__xludf.DUMMYFUNCTION("""COMPUTED_VALUE"""),251.2)</f>
        <v>251.2</v>
      </c>
      <c r="H247" s="164" t="str">
        <f>IFERROR(__xludf.DUMMYFUNCTION("""COMPUTED_VALUE"""),"Gubbins, Tiffany")</f>
        <v>Gubbins, Tiffany</v>
      </c>
      <c r="I247" s="22" t="str">
        <f>IFERROR(__xludf.DUMMYFUNCTION("""COMPUTED_VALUE"""),"215g")</f>
        <v>215g</v>
      </c>
      <c r="J247" s="22" t="str">
        <f>IFERROR(__xludf.DUMMYFUNCTION("""COMPUTED_VALUE"""),"240g")</f>
        <v>240g</v>
      </c>
      <c r="K247" s="22" t="str">
        <f>IFERROR(__xludf.DUMMYFUNCTION("""COMPUTED_VALUE"""),"255x")</f>
        <v>255x</v>
      </c>
      <c r="L247" s="22">
        <f>IFERROR(__xludf.DUMMYFUNCTION("""COMPUTED_VALUE"""),240.0)</f>
        <v>240</v>
      </c>
      <c r="M247" s="22" t="str">
        <f>IFERROR(__xludf.DUMMYFUNCTION("""COMPUTED_VALUE"""),"125g")</f>
        <v>125g</v>
      </c>
      <c r="N247" s="22" t="str">
        <f>IFERROR(__xludf.DUMMYFUNCTION("""COMPUTED_VALUE"""),"135g")</f>
        <v>135g</v>
      </c>
      <c r="O247" s="22" t="str">
        <f>IFERROR(__xludf.DUMMYFUNCTION("""COMPUTED_VALUE"""),"145x")</f>
        <v>145x</v>
      </c>
      <c r="P247" s="22">
        <f>IFERROR(__xludf.DUMMYFUNCTION("""COMPUTED_VALUE"""),135.0)</f>
        <v>135</v>
      </c>
      <c r="Q247" s="22" t="str">
        <f>IFERROR(__xludf.DUMMYFUNCTION("""COMPUTED_VALUE"""),"265g")</f>
        <v>265g</v>
      </c>
      <c r="R247" s="22" t="str">
        <f>IFERROR(__xludf.DUMMYFUNCTION("""COMPUTED_VALUE"""),"285x")</f>
        <v>285x</v>
      </c>
      <c r="S247" s="22" t="str">
        <f>IFERROR(__xludf.DUMMYFUNCTION("""COMPUTED_VALUE"""),"285x")</f>
        <v>285x</v>
      </c>
      <c r="T247" s="22">
        <f>IFERROR(__xludf.DUMMYFUNCTION("""COMPUTED_VALUE"""),265.0)</f>
        <v>265</v>
      </c>
      <c r="U247" s="22">
        <f>IFERROR(__xludf.DUMMYFUNCTION("""COMPUTED_VALUE"""),640.0)</f>
        <v>640</v>
      </c>
      <c r="V247" s="187">
        <f>IFERROR(__xludf.DUMMYFUNCTION("""COMPUTED_VALUE"""),2.547770700636943)</f>
        <v>2.547770701</v>
      </c>
      <c r="W247" s="22">
        <f>IFERROR(__xludf.DUMMYFUNCTION("""COMPUTED_VALUE"""),5.0)</f>
        <v>5</v>
      </c>
      <c r="X247" s="22"/>
      <c r="Y247" s="22"/>
    </row>
    <row r="248">
      <c r="B248" s="163" t="s">
        <v>122</v>
      </c>
      <c r="C248" s="163">
        <f>if(countif(F246:F247,F248)&gt;1,0,8)</f>
        <v>8</v>
      </c>
      <c r="D248" s="99" t="str">
        <f>IFERROR(__xludf.DUMMYFUNCTION("""COMPUTED_VALUE"""),"SHW WJV")</f>
        <v>SHW WJV</v>
      </c>
      <c r="E248" s="22" t="str">
        <f>IFERROR(__xludf.DUMMYFUNCTION("""COMPUTED_VALUE"""),"WJV")</f>
        <v>WJV</v>
      </c>
      <c r="F248" s="22" t="str">
        <f>IFERROR(__xludf.DUMMYFUNCTION("""COMPUTED_VALUE"""),"Port Huron")</f>
        <v>Port Huron</v>
      </c>
      <c r="G248" s="22">
        <f>IFERROR(__xludf.DUMMYFUNCTION("""COMPUTED_VALUE"""),290.0)</f>
        <v>290</v>
      </c>
      <c r="H248" s="164" t="str">
        <f>IFERROR(__xludf.DUMMYFUNCTION("""COMPUTED_VALUE"""),"Bland, Cheyenne")</f>
        <v>Bland, Cheyenne</v>
      </c>
      <c r="I248" s="22" t="str">
        <f>IFERROR(__xludf.DUMMYFUNCTION("""COMPUTED_VALUE"""),"205g")</f>
        <v>205g</v>
      </c>
      <c r="J248" s="22" t="str">
        <f>IFERROR(__xludf.DUMMYFUNCTION("""COMPUTED_VALUE"""),"225x")</f>
        <v>225x</v>
      </c>
      <c r="K248" s="22" t="str">
        <f>IFERROR(__xludf.DUMMYFUNCTION("""COMPUTED_VALUE"""),"225g")</f>
        <v>225g</v>
      </c>
      <c r="L248" s="22">
        <f>IFERROR(__xludf.DUMMYFUNCTION("""COMPUTED_VALUE"""),225.0)</f>
        <v>225</v>
      </c>
      <c r="M248" s="22" t="str">
        <f>IFERROR(__xludf.DUMMYFUNCTION("""COMPUTED_VALUE"""),"105g")</f>
        <v>105g</v>
      </c>
      <c r="N248" s="22" t="str">
        <f>IFERROR(__xludf.DUMMYFUNCTION("""COMPUTED_VALUE"""),"110g")</f>
        <v>110g</v>
      </c>
      <c r="O248" s="22" t="str">
        <f>IFERROR(__xludf.DUMMYFUNCTION("""COMPUTED_VALUE"""),"115g")</f>
        <v>115g</v>
      </c>
      <c r="P248" s="22">
        <f>IFERROR(__xludf.DUMMYFUNCTION("""COMPUTED_VALUE"""),115.0)</f>
        <v>115</v>
      </c>
      <c r="Q248" s="22" t="str">
        <f>IFERROR(__xludf.DUMMYFUNCTION("""COMPUTED_VALUE"""),"280g")</f>
        <v>280g</v>
      </c>
      <c r="R248" s="22" t="str">
        <f>IFERROR(__xludf.DUMMYFUNCTION("""COMPUTED_VALUE"""),"295x")</f>
        <v>295x</v>
      </c>
      <c r="S248" s="22" t="str">
        <f>IFERROR(__xludf.DUMMYFUNCTION("""COMPUTED_VALUE"""),"295g")</f>
        <v>295g</v>
      </c>
      <c r="T248" s="22">
        <f>IFERROR(__xludf.DUMMYFUNCTION("""COMPUTED_VALUE"""),295.0)</f>
        <v>295</v>
      </c>
      <c r="U248" s="22">
        <f>IFERROR(__xludf.DUMMYFUNCTION("""COMPUTED_VALUE"""),635.0)</f>
        <v>635</v>
      </c>
      <c r="V248" s="187">
        <f>IFERROR(__xludf.DUMMYFUNCTION("""COMPUTED_VALUE"""),2.189655172413793)</f>
        <v>2.189655172</v>
      </c>
      <c r="W248" s="22">
        <f>IFERROR(__xludf.DUMMYFUNCTION("""COMPUTED_VALUE"""),7.0)</f>
        <v>7</v>
      </c>
      <c r="X248" s="22"/>
      <c r="Y248" s="22"/>
    </row>
    <row r="249">
      <c r="B249" s="163" t="s">
        <v>123</v>
      </c>
      <c r="C249" s="163">
        <f>if(countif(F246:F248,F249)&gt;1,0,7)</f>
        <v>7</v>
      </c>
      <c r="D249" s="99" t="str">
        <f>IFERROR(__xludf.DUMMYFUNCTION("""COMPUTED_VALUE"""),"SHW WJV")</f>
        <v>SHW WJV</v>
      </c>
      <c r="E249" s="22" t="str">
        <f>IFERROR(__xludf.DUMMYFUNCTION("""COMPUTED_VALUE"""),"WJV")</f>
        <v>WJV</v>
      </c>
      <c r="F249" s="22" t="str">
        <f>IFERROR(__xludf.DUMMYFUNCTION("""COMPUTED_VALUE"""),"Shepherd")</f>
        <v>Shepherd</v>
      </c>
      <c r="G249" s="22">
        <f>IFERROR(__xludf.DUMMYFUNCTION("""COMPUTED_VALUE"""),277.0)</f>
        <v>277</v>
      </c>
      <c r="H249" s="164" t="str">
        <f>IFERROR(__xludf.DUMMYFUNCTION("""COMPUTED_VALUE"""),"Ryan, Kelly")</f>
        <v>Ryan, Kelly</v>
      </c>
      <c r="I249" s="22" t="str">
        <f>IFERROR(__xludf.DUMMYFUNCTION("""COMPUTED_VALUE"""),"200x")</f>
        <v>200x</v>
      </c>
      <c r="J249" s="22" t="str">
        <f>IFERROR(__xludf.DUMMYFUNCTION("""COMPUTED_VALUE"""),"215g")</f>
        <v>215g</v>
      </c>
      <c r="K249" s="22" t="str">
        <f>IFERROR(__xludf.DUMMYFUNCTION("""COMPUTED_VALUE"""),"230x")</f>
        <v>230x</v>
      </c>
      <c r="L249" s="22">
        <f>IFERROR(__xludf.DUMMYFUNCTION("""COMPUTED_VALUE"""),215.0)</f>
        <v>215</v>
      </c>
      <c r="M249" s="22" t="str">
        <f>IFERROR(__xludf.DUMMYFUNCTION("""COMPUTED_VALUE"""),"125g")</f>
        <v>125g</v>
      </c>
      <c r="N249" s="22" t="str">
        <f>IFERROR(__xludf.DUMMYFUNCTION("""COMPUTED_VALUE"""),"140g")</f>
        <v>140g</v>
      </c>
      <c r="O249" s="22" t="str">
        <f>IFERROR(__xludf.DUMMYFUNCTION("""COMPUTED_VALUE"""),"145x")</f>
        <v>145x</v>
      </c>
      <c r="P249" s="22">
        <f>IFERROR(__xludf.DUMMYFUNCTION("""COMPUTED_VALUE"""),140.0)</f>
        <v>140</v>
      </c>
      <c r="Q249" s="22" t="str">
        <f>IFERROR(__xludf.DUMMYFUNCTION("""COMPUTED_VALUE"""),"215g")</f>
        <v>215g</v>
      </c>
      <c r="R249" s="22" t="str">
        <f>IFERROR(__xludf.DUMMYFUNCTION("""COMPUTED_VALUE"""),"245g")</f>
        <v>245g</v>
      </c>
      <c r="S249" s="22" t="str">
        <f>IFERROR(__xludf.DUMMYFUNCTION("""COMPUTED_VALUE"""),"260g")</f>
        <v>260g</v>
      </c>
      <c r="T249" s="22">
        <f>IFERROR(__xludf.DUMMYFUNCTION("""COMPUTED_VALUE"""),260.0)</f>
        <v>260</v>
      </c>
      <c r="U249" s="22">
        <f>IFERROR(__xludf.DUMMYFUNCTION("""COMPUTED_VALUE"""),615.0)</f>
        <v>615</v>
      </c>
      <c r="V249" s="187">
        <f>IFERROR(__xludf.DUMMYFUNCTION("""COMPUTED_VALUE"""),2.220216606498195)</f>
        <v>2.220216606</v>
      </c>
      <c r="W249" s="22">
        <f>IFERROR(__xludf.DUMMYFUNCTION("""COMPUTED_VALUE"""),6.0)</f>
        <v>6</v>
      </c>
      <c r="X249" s="22"/>
      <c r="Y249" s="22"/>
    </row>
    <row r="250">
      <c r="B250" s="163" t="s">
        <v>124</v>
      </c>
      <c r="C250" s="163">
        <f>if(countif(F246:F249,F250)&gt;1,0,6)</f>
        <v>6</v>
      </c>
      <c r="D250" s="99" t="str">
        <f>IFERROR(__xludf.DUMMYFUNCTION("""COMPUTED_VALUE"""),"SHW WJV")</f>
        <v>SHW WJV</v>
      </c>
      <c r="E250" s="22" t="str">
        <f>IFERROR(__xludf.DUMMYFUNCTION("""COMPUTED_VALUE"""),"WJV")</f>
        <v>WJV</v>
      </c>
      <c r="F250" s="22" t="str">
        <f>IFERROR(__xludf.DUMMYFUNCTION("""COMPUTED_VALUE"""),"North Branch")</f>
        <v>North Branch</v>
      </c>
      <c r="G250" s="22">
        <f>IFERROR(__xludf.DUMMYFUNCTION("""COMPUTED_VALUE"""),290.4)</f>
        <v>290.4</v>
      </c>
      <c r="H250" s="164" t="str">
        <f>IFERROR(__xludf.DUMMYFUNCTION("""COMPUTED_VALUE"""),"Trombley, Val")</f>
        <v>Trombley, Val</v>
      </c>
      <c r="I250" s="22" t="str">
        <f>IFERROR(__xludf.DUMMYFUNCTION("""COMPUTED_VALUE"""),"250x")</f>
        <v>250x</v>
      </c>
      <c r="J250" s="22" t="str">
        <f>IFERROR(__xludf.DUMMYFUNCTION("""COMPUTED_VALUE"""),"260g")</f>
        <v>260g</v>
      </c>
      <c r="K250" s="22" t="str">
        <f>IFERROR(__xludf.DUMMYFUNCTION("""COMPUTED_VALUE"""),"270x")</f>
        <v>270x</v>
      </c>
      <c r="L250" s="22">
        <f>IFERROR(__xludf.DUMMYFUNCTION("""COMPUTED_VALUE"""),260.0)</f>
        <v>260</v>
      </c>
      <c r="M250" s="22" t="str">
        <f>IFERROR(__xludf.DUMMYFUNCTION("""COMPUTED_VALUE"""),"110g")</f>
        <v>110g</v>
      </c>
      <c r="N250" s="22" t="str">
        <f>IFERROR(__xludf.DUMMYFUNCTION("""COMPUTED_VALUE"""),"120g")</f>
        <v>120g</v>
      </c>
      <c r="O250" s="22" t="str">
        <f>IFERROR(__xludf.DUMMYFUNCTION("""COMPUTED_VALUE"""),"130x")</f>
        <v>130x</v>
      </c>
      <c r="P250" s="22">
        <f>IFERROR(__xludf.DUMMYFUNCTION("""COMPUTED_VALUE"""),120.0)</f>
        <v>120</v>
      </c>
      <c r="Q250" s="22" t="str">
        <f>IFERROR(__xludf.DUMMYFUNCTION("""COMPUTED_VALUE"""),"230g")</f>
        <v>230g</v>
      </c>
      <c r="R250" s="22" t="str">
        <f>IFERROR(__xludf.DUMMYFUNCTION("""COMPUTED_VALUE"""),"240x")</f>
        <v>240x</v>
      </c>
      <c r="S250" s="22" t="str">
        <f>IFERROR(__xludf.DUMMYFUNCTION("""COMPUTED_VALUE"""),"245x")</f>
        <v>245x</v>
      </c>
      <c r="T250" s="22">
        <f>IFERROR(__xludf.DUMMYFUNCTION("""COMPUTED_VALUE"""),230.0)</f>
        <v>230</v>
      </c>
      <c r="U250" s="22">
        <f>IFERROR(__xludf.DUMMYFUNCTION("""COMPUTED_VALUE"""),610.0)</f>
        <v>610</v>
      </c>
      <c r="V250" s="187">
        <f>IFERROR(__xludf.DUMMYFUNCTION("""COMPUTED_VALUE"""),2.100550964187328)</f>
        <v>2.100550964</v>
      </c>
      <c r="W250" s="22">
        <f>IFERROR(__xludf.DUMMYFUNCTION("""COMPUTED_VALUE"""),4.0)</f>
        <v>4</v>
      </c>
      <c r="X250" s="22"/>
      <c r="Y250" s="22"/>
    </row>
    <row r="251">
      <c r="B251" s="163" t="s">
        <v>125</v>
      </c>
      <c r="C251" s="163">
        <f>if(countif(F246:F250,F251)&gt;1,0,5)</f>
        <v>5</v>
      </c>
      <c r="D251" s="99" t="str">
        <f>IFERROR(__xludf.DUMMYFUNCTION("""COMPUTED_VALUE"""),"SHW WJV")</f>
        <v>SHW WJV</v>
      </c>
      <c r="E251" s="22" t="str">
        <f>IFERROR(__xludf.DUMMYFUNCTION("""COMPUTED_VALUE"""),"WJV")</f>
        <v>WJV</v>
      </c>
      <c r="F251" s="22" t="str">
        <f>IFERROR(__xludf.DUMMYFUNCTION("""COMPUTED_VALUE"""),"Morenci")</f>
        <v>Morenci</v>
      </c>
      <c r="G251" s="22">
        <f>IFERROR(__xludf.DUMMYFUNCTION("""COMPUTED_VALUE"""),271.4)</f>
        <v>271.4</v>
      </c>
      <c r="H251" s="164" t="str">
        <f>IFERROR(__xludf.DUMMYFUNCTION("""COMPUTED_VALUE"""),"Corkle, Sophie")</f>
        <v>Corkle, Sophie</v>
      </c>
      <c r="I251" s="22" t="str">
        <f>IFERROR(__xludf.DUMMYFUNCTION("""COMPUTED_VALUE"""),"135g")</f>
        <v>135g</v>
      </c>
      <c r="J251" s="22" t="str">
        <f>IFERROR(__xludf.DUMMYFUNCTION("""COMPUTED_VALUE"""),"170g")</f>
        <v>170g</v>
      </c>
      <c r="K251" s="22" t="str">
        <f>IFERROR(__xludf.DUMMYFUNCTION("""COMPUTED_VALUE"""),"190x")</f>
        <v>190x</v>
      </c>
      <c r="L251" s="22">
        <f>IFERROR(__xludf.DUMMYFUNCTION("""COMPUTED_VALUE"""),170.0)</f>
        <v>170</v>
      </c>
      <c r="M251" s="22" t="str">
        <f>IFERROR(__xludf.DUMMYFUNCTION("""COMPUTED_VALUE"""),"115g")</f>
        <v>115g</v>
      </c>
      <c r="N251" s="22" t="str">
        <f>IFERROR(__xludf.DUMMYFUNCTION("""COMPUTED_VALUE"""),"125x")</f>
        <v>125x</v>
      </c>
      <c r="O251" s="22" t="str">
        <f>IFERROR(__xludf.DUMMYFUNCTION("""COMPUTED_VALUE"""),"125x")</f>
        <v>125x</v>
      </c>
      <c r="P251" s="22">
        <f>IFERROR(__xludf.DUMMYFUNCTION("""COMPUTED_VALUE"""),115.0)</f>
        <v>115</v>
      </c>
      <c r="Q251" s="22" t="str">
        <f>IFERROR(__xludf.DUMMYFUNCTION("""COMPUTED_VALUE"""),"240g")</f>
        <v>240g</v>
      </c>
      <c r="R251" s="22" t="str">
        <f>IFERROR(__xludf.DUMMYFUNCTION("""COMPUTED_VALUE"""),"265x")</f>
        <v>265x</v>
      </c>
      <c r="S251" s="22" t="str">
        <f>IFERROR(__xludf.DUMMYFUNCTION("""COMPUTED_VALUE"""),"265x")</f>
        <v>265x</v>
      </c>
      <c r="T251" s="22">
        <f>IFERROR(__xludf.DUMMYFUNCTION("""COMPUTED_VALUE"""),240.0)</f>
        <v>240</v>
      </c>
      <c r="U251" s="22">
        <f>IFERROR(__xludf.DUMMYFUNCTION("""COMPUTED_VALUE"""),525.0)</f>
        <v>525</v>
      </c>
      <c r="V251" s="187">
        <f>IFERROR(__xludf.DUMMYFUNCTION("""COMPUTED_VALUE"""),1.9344141488577746)</f>
        <v>1.934414149</v>
      </c>
      <c r="W251" s="22">
        <f>IFERROR(__xludf.DUMMYFUNCTION("""COMPUTED_VALUE"""),4.0)</f>
        <v>4</v>
      </c>
      <c r="X251" s="22"/>
      <c r="Y251" s="22"/>
    </row>
    <row r="252">
      <c r="B252" s="163" t="s">
        <v>126</v>
      </c>
      <c r="C252" s="163">
        <f>if(countif(F246:F251,F252)&gt;1,0,4)</f>
        <v>4</v>
      </c>
      <c r="D252" s="99" t="str">
        <f>IFERROR(__xludf.DUMMYFUNCTION("""COMPUTED_VALUE"""),"SHW WJV")</f>
        <v>SHW WJV</v>
      </c>
      <c r="E252" s="22" t="str">
        <f>IFERROR(__xludf.DUMMYFUNCTION("""COMPUTED_VALUE"""),"WJV")</f>
        <v>WJV</v>
      </c>
      <c r="F252" s="22" t="str">
        <f>IFERROR(__xludf.DUMMYFUNCTION("""COMPUTED_VALUE"""),"Montague")</f>
        <v>Montague</v>
      </c>
      <c r="G252" s="22">
        <f>IFERROR(__xludf.DUMMYFUNCTION("""COMPUTED_VALUE"""),313.2)</f>
        <v>313.2</v>
      </c>
      <c r="H252" s="164" t="str">
        <f>IFERROR(__xludf.DUMMYFUNCTION("""COMPUTED_VALUE"""),"Guerrero, Nikki")</f>
        <v>Guerrero, Nikki</v>
      </c>
      <c r="I252" s="22" t="str">
        <f>IFERROR(__xludf.DUMMYFUNCTION("""COMPUTED_VALUE"""),"180g")</f>
        <v>180g</v>
      </c>
      <c r="J252" s="22" t="str">
        <f>IFERROR(__xludf.DUMMYFUNCTION("""COMPUTED_VALUE"""),"200g")</f>
        <v>200g</v>
      </c>
      <c r="K252" s="22" t="str">
        <f>IFERROR(__xludf.DUMMYFUNCTION("""COMPUTED_VALUE"""),"210x")</f>
        <v>210x</v>
      </c>
      <c r="L252" s="22">
        <f>IFERROR(__xludf.DUMMYFUNCTION("""COMPUTED_VALUE"""),200.0)</f>
        <v>200</v>
      </c>
      <c r="M252" s="22" t="str">
        <f>IFERROR(__xludf.DUMMYFUNCTION("""COMPUTED_VALUE"""),"100g")</f>
        <v>100g</v>
      </c>
      <c r="N252" s="22" t="str">
        <f>IFERROR(__xludf.DUMMYFUNCTION("""COMPUTED_VALUE"""),"110x")</f>
        <v>110x</v>
      </c>
      <c r="O252" s="22" t="str">
        <f>IFERROR(__xludf.DUMMYFUNCTION("""COMPUTED_VALUE"""),"110g")</f>
        <v>110g</v>
      </c>
      <c r="P252" s="22">
        <f>IFERROR(__xludf.DUMMYFUNCTION("""COMPUTED_VALUE"""),110.0)</f>
        <v>110</v>
      </c>
      <c r="Q252" s="22" t="str">
        <f>IFERROR(__xludf.DUMMYFUNCTION("""COMPUTED_VALUE"""),"205g")</f>
        <v>205g</v>
      </c>
      <c r="R252" s="22" t="str">
        <f>IFERROR(__xludf.DUMMYFUNCTION("""COMPUTED_VALUE"""),"230x")</f>
        <v>230x</v>
      </c>
      <c r="S252" s="22" t="str">
        <f>IFERROR(__xludf.DUMMYFUNCTION("""COMPUTED_VALUE"""),"245x")</f>
        <v>245x</v>
      </c>
      <c r="T252" s="22">
        <f>IFERROR(__xludf.DUMMYFUNCTION("""COMPUTED_VALUE"""),205.0)</f>
        <v>205</v>
      </c>
      <c r="U252" s="22">
        <f>IFERROR(__xludf.DUMMYFUNCTION("""COMPUTED_VALUE"""),515.0)</f>
        <v>515</v>
      </c>
      <c r="V252" s="187">
        <f>IFERROR(__xludf.DUMMYFUNCTION("""COMPUTED_VALUE"""),1.644316730523627)</f>
        <v>1.644316731</v>
      </c>
      <c r="W252" s="22">
        <f>IFERROR(__xludf.DUMMYFUNCTION("""COMPUTED_VALUE"""),5.0)</f>
        <v>5</v>
      </c>
      <c r="X252" s="22"/>
      <c r="Y252" s="22"/>
    </row>
    <row r="253">
      <c r="B253" s="163" t="s">
        <v>127</v>
      </c>
      <c r="C253" s="163">
        <f>if(countif(F246:F252,F253)&gt;1,0,3)</f>
        <v>3</v>
      </c>
      <c r="D253" s="99" t="str">
        <f>IFERROR(__xludf.DUMMYFUNCTION("""COMPUTED_VALUE"""),"SHW WJV")</f>
        <v>SHW WJV</v>
      </c>
      <c r="E253" s="22" t="str">
        <f>IFERROR(__xludf.DUMMYFUNCTION("""COMPUTED_VALUE"""),"WJV")</f>
        <v>WJV</v>
      </c>
      <c r="F253" s="22" t="str">
        <f>IFERROR(__xludf.DUMMYFUNCTION("""COMPUTED_VALUE"""),"Port Huron")</f>
        <v>Port Huron</v>
      </c>
      <c r="G253" s="22">
        <f>IFERROR(__xludf.DUMMYFUNCTION("""COMPUTED_VALUE"""),250.2)</f>
        <v>250.2</v>
      </c>
      <c r="H253" s="164" t="str">
        <f>IFERROR(__xludf.DUMMYFUNCTION("""COMPUTED_VALUE"""),"Rome, Nakeya")</f>
        <v>Rome, Nakeya</v>
      </c>
      <c r="I253" s="22" t="str">
        <f>IFERROR(__xludf.DUMMYFUNCTION("""COMPUTED_VALUE"""),"135g")</f>
        <v>135g</v>
      </c>
      <c r="J253" s="22" t="str">
        <f>IFERROR(__xludf.DUMMYFUNCTION("""COMPUTED_VALUE"""),"145x")</f>
        <v>145x</v>
      </c>
      <c r="K253" s="22" t="str">
        <f>IFERROR(__xludf.DUMMYFUNCTION("""COMPUTED_VALUE"""),"145x")</f>
        <v>145x</v>
      </c>
      <c r="L253" s="22">
        <f>IFERROR(__xludf.DUMMYFUNCTION("""COMPUTED_VALUE"""),135.0)</f>
        <v>135</v>
      </c>
      <c r="M253" s="22" t="str">
        <f>IFERROR(__xludf.DUMMYFUNCTION("""COMPUTED_VALUE"""),"95g")</f>
        <v>95g</v>
      </c>
      <c r="N253" s="22" t="str">
        <f>IFERROR(__xludf.DUMMYFUNCTION("""COMPUTED_VALUE"""),"115g")</f>
        <v>115g</v>
      </c>
      <c r="O253" s="22" t="str">
        <f>IFERROR(__xludf.DUMMYFUNCTION("""COMPUTED_VALUE"""),"120x")</f>
        <v>120x</v>
      </c>
      <c r="P253" s="22">
        <f>IFERROR(__xludf.DUMMYFUNCTION("""COMPUTED_VALUE"""),115.0)</f>
        <v>115</v>
      </c>
      <c r="Q253" s="22" t="str">
        <f>IFERROR(__xludf.DUMMYFUNCTION("""COMPUTED_VALUE"""),"205g")</f>
        <v>205g</v>
      </c>
      <c r="R253" s="22" t="str">
        <f>IFERROR(__xludf.DUMMYFUNCTION("""COMPUTED_VALUE"""),"215g")</f>
        <v>215g</v>
      </c>
      <c r="S253" s="22" t="str">
        <f>IFERROR(__xludf.DUMMYFUNCTION("""COMPUTED_VALUE"""),"225g")</f>
        <v>225g</v>
      </c>
      <c r="T253" s="22">
        <f>IFERROR(__xludf.DUMMYFUNCTION("""COMPUTED_VALUE"""),225.0)</f>
        <v>225</v>
      </c>
      <c r="U253" s="22">
        <f>IFERROR(__xludf.DUMMYFUNCTION("""COMPUTED_VALUE"""),475.0)</f>
        <v>475</v>
      </c>
      <c r="V253" s="187">
        <f>IFERROR(__xludf.DUMMYFUNCTION("""COMPUTED_VALUE"""),1.8984812150279777)</f>
        <v>1.898481215</v>
      </c>
      <c r="W253" s="22">
        <f>IFERROR(__xludf.DUMMYFUNCTION("""COMPUTED_VALUE"""),6.0)</f>
        <v>6</v>
      </c>
      <c r="X253" s="22"/>
      <c r="Y253" s="22"/>
    </row>
    <row r="254">
      <c r="B254" s="163" t="s">
        <v>128</v>
      </c>
      <c r="C254" s="163">
        <f>if(countif(F246:F253,F254)&gt;1,0,2)</f>
        <v>2</v>
      </c>
      <c r="D254" s="99"/>
      <c r="E254" s="22"/>
      <c r="F254" s="22"/>
      <c r="G254" s="22"/>
      <c r="H254" s="164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</row>
    <row r="255">
      <c r="B255" s="163" t="s">
        <v>129</v>
      </c>
      <c r="C255" s="163">
        <f>if(countif(F246:F254,F255)&gt;1,0,1)</f>
        <v>1</v>
      </c>
      <c r="D255" s="99"/>
      <c r="E255" s="22"/>
      <c r="F255" s="22"/>
      <c r="G255" s="22"/>
      <c r="H255" s="164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</row>
    <row r="256">
      <c r="A256" s="176" t="s">
        <v>130</v>
      </c>
      <c r="B256" s="177" t="s">
        <v>542</v>
      </c>
      <c r="C256" s="177">
        <v>0.0</v>
      </c>
      <c r="D256" s="178"/>
      <c r="E256" s="179"/>
      <c r="F256" s="179"/>
      <c r="G256" s="179"/>
      <c r="H256" s="180"/>
      <c r="I256" s="179"/>
      <c r="J256" s="179"/>
      <c r="K256" s="179"/>
      <c r="L256" s="179"/>
      <c r="M256" s="179"/>
      <c r="N256" s="179"/>
      <c r="O256" s="179"/>
      <c r="P256" s="179"/>
      <c r="Q256" s="179"/>
      <c r="R256" s="179"/>
      <c r="S256" s="179"/>
      <c r="T256" s="179"/>
      <c r="U256" s="179"/>
      <c r="V256" s="179"/>
      <c r="W256" s="179"/>
      <c r="X256" s="179"/>
      <c r="Y256" s="179"/>
    </row>
    <row r="257">
      <c r="B257" s="177" t="s">
        <v>543</v>
      </c>
      <c r="C257" s="177">
        <v>0.0</v>
      </c>
      <c r="D257" s="178"/>
      <c r="E257" s="179"/>
      <c r="F257" s="179"/>
      <c r="G257" s="179"/>
      <c r="H257" s="180"/>
      <c r="I257" s="179"/>
      <c r="J257" s="179"/>
      <c r="K257" s="179"/>
      <c r="L257" s="179"/>
      <c r="M257" s="179"/>
      <c r="N257" s="179"/>
      <c r="O257" s="179"/>
      <c r="P257" s="179"/>
      <c r="Q257" s="179"/>
      <c r="R257" s="179"/>
      <c r="S257" s="179"/>
      <c r="T257" s="179"/>
      <c r="U257" s="179"/>
      <c r="V257" s="179"/>
      <c r="W257" s="179"/>
      <c r="X257" s="179"/>
      <c r="Y257" s="179"/>
    </row>
    <row r="258">
      <c r="B258" s="177" t="s">
        <v>544</v>
      </c>
      <c r="C258" s="177">
        <v>0.0</v>
      </c>
      <c r="D258" s="178"/>
      <c r="E258" s="179"/>
      <c r="F258" s="179"/>
      <c r="G258" s="179"/>
      <c r="H258" s="180"/>
      <c r="I258" s="179"/>
      <c r="J258" s="179"/>
      <c r="K258" s="179"/>
      <c r="L258" s="179"/>
      <c r="M258" s="179"/>
      <c r="N258" s="179"/>
      <c r="O258" s="179"/>
      <c r="P258" s="179"/>
      <c r="Q258" s="179"/>
      <c r="R258" s="179"/>
      <c r="S258" s="179"/>
      <c r="T258" s="179"/>
      <c r="U258" s="179"/>
      <c r="V258" s="179"/>
      <c r="W258" s="179"/>
      <c r="X258" s="179"/>
      <c r="Y258" s="179"/>
    </row>
    <row r="259">
      <c r="B259" s="177" t="s">
        <v>545</v>
      </c>
      <c r="C259" s="177">
        <v>0.0</v>
      </c>
      <c r="D259" s="178"/>
      <c r="E259" s="179"/>
      <c r="F259" s="179"/>
      <c r="G259" s="179"/>
      <c r="H259" s="180"/>
      <c r="I259" s="179"/>
      <c r="J259" s="179"/>
      <c r="K259" s="179"/>
      <c r="L259" s="179"/>
      <c r="M259" s="179"/>
      <c r="N259" s="179"/>
      <c r="O259" s="179"/>
      <c r="P259" s="179"/>
      <c r="Q259" s="179"/>
      <c r="R259" s="179"/>
      <c r="S259" s="179"/>
      <c r="T259" s="179"/>
      <c r="U259" s="179"/>
      <c r="V259" s="179"/>
      <c r="W259" s="179"/>
      <c r="X259" s="179"/>
      <c r="Y259" s="179"/>
    </row>
    <row r="260">
      <c r="B260" s="177" t="s">
        <v>546</v>
      </c>
      <c r="C260" s="177">
        <v>0.0</v>
      </c>
      <c r="D260" s="178"/>
      <c r="E260" s="179"/>
      <c r="F260" s="179"/>
      <c r="G260" s="179"/>
      <c r="H260" s="180"/>
      <c r="I260" s="179"/>
      <c r="J260" s="179"/>
      <c r="K260" s="179"/>
      <c r="L260" s="179"/>
      <c r="M260" s="179"/>
      <c r="N260" s="179"/>
      <c r="O260" s="179"/>
      <c r="P260" s="179"/>
      <c r="Q260" s="179"/>
      <c r="R260" s="179"/>
      <c r="S260" s="179"/>
      <c r="T260" s="179"/>
      <c r="U260" s="179"/>
      <c r="V260" s="179"/>
      <c r="W260" s="179"/>
      <c r="X260" s="179"/>
      <c r="Y260" s="179"/>
    </row>
    <row r="261">
      <c r="B261" s="177" t="s">
        <v>547</v>
      </c>
      <c r="C261" s="177">
        <v>0.0</v>
      </c>
      <c r="D261" s="178"/>
      <c r="E261" s="179"/>
      <c r="F261" s="179"/>
      <c r="G261" s="179"/>
      <c r="H261" s="180"/>
      <c r="I261" s="179"/>
      <c r="J261" s="179"/>
      <c r="K261" s="179"/>
      <c r="L261" s="179"/>
      <c r="M261" s="179"/>
      <c r="N261" s="179"/>
      <c r="O261" s="179"/>
      <c r="P261" s="179"/>
      <c r="Q261" s="179"/>
      <c r="R261" s="179"/>
      <c r="S261" s="179"/>
      <c r="T261" s="179"/>
      <c r="U261" s="179"/>
      <c r="V261" s="179"/>
      <c r="W261" s="179"/>
      <c r="X261" s="179"/>
      <c r="Y261" s="179"/>
    </row>
    <row r="262">
      <c r="B262" s="177" t="s">
        <v>548</v>
      </c>
      <c r="C262" s="177">
        <v>0.0</v>
      </c>
      <c r="D262" s="178"/>
      <c r="E262" s="179"/>
      <c r="F262" s="179"/>
      <c r="G262" s="179"/>
      <c r="H262" s="180"/>
      <c r="I262" s="179"/>
      <c r="J262" s="179"/>
      <c r="K262" s="179"/>
      <c r="L262" s="179"/>
      <c r="M262" s="179"/>
      <c r="N262" s="179"/>
      <c r="O262" s="179"/>
      <c r="P262" s="179"/>
      <c r="Q262" s="179"/>
      <c r="R262" s="179"/>
      <c r="S262" s="179"/>
      <c r="T262" s="179"/>
      <c r="U262" s="179"/>
      <c r="V262" s="179"/>
      <c r="W262" s="179"/>
      <c r="X262" s="179"/>
      <c r="Y262" s="179"/>
    </row>
    <row r="263">
      <c r="B263" s="177" t="s">
        <v>549</v>
      </c>
      <c r="C263" s="177">
        <v>0.0</v>
      </c>
      <c r="D263" s="178"/>
      <c r="E263" s="179"/>
      <c r="F263" s="179"/>
      <c r="G263" s="179"/>
      <c r="H263" s="180"/>
      <c r="I263" s="179"/>
      <c r="J263" s="179"/>
      <c r="K263" s="179"/>
      <c r="L263" s="179"/>
      <c r="M263" s="179"/>
      <c r="N263" s="179"/>
      <c r="O263" s="179"/>
      <c r="P263" s="179"/>
      <c r="Q263" s="179"/>
      <c r="R263" s="179"/>
      <c r="S263" s="179"/>
      <c r="T263" s="179"/>
      <c r="U263" s="179"/>
      <c r="V263" s="179"/>
      <c r="W263" s="179"/>
      <c r="X263" s="179"/>
      <c r="Y263" s="179"/>
    </row>
    <row r="264">
      <c r="B264" s="177" t="s">
        <v>550</v>
      </c>
      <c r="C264" s="177">
        <v>0.0</v>
      </c>
      <c r="D264" s="178"/>
      <c r="E264" s="179"/>
      <c r="F264" s="179"/>
      <c r="G264" s="179"/>
      <c r="H264" s="180"/>
      <c r="I264" s="179"/>
      <c r="J264" s="179"/>
      <c r="K264" s="179"/>
      <c r="L264" s="179"/>
      <c r="M264" s="179"/>
      <c r="N264" s="179"/>
      <c r="O264" s="179"/>
      <c r="P264" s="179"/>
      <c r="Q264" s="179"/>
      <c r="R264" s="179"/>
      <c r="S264" s="179"/>
      <c r="T264" s="179"/>
      <c r="U264" s="179"/>
      <c r="V264" s="179"/>
      <c r="W264" s="179"/>
      <c r="X264" s="179"/>
      <c r="Y264" s="179"/>
    </row>
    <row r="265">
      <c r="B265" s="177" t="s">
        <v>551</v>
      </c>
      <c r="C265" s="177">
        <v>0.0</v>
      </c>
      <c r="D265" s="178"/>
      <c r="E265" s="179"/>
      <c r="F265" s="179"/>
      <c r="G265" s="179"/>
      <c r="H265" s="180"/>
      <c r="I265" s="179"/>
      <c r="J265" s="179"/>
      <c r="K265" s="179"/>
      <c r="L265" s="179"/>
      <c r="M265" s="179"/>
      <c r="N265" s="179"/>
      <c r="O265" s="179"/>
      <c r="P265" s="179"/>
      <c r="Q265" s="179"/>
      <c r="R265" s="179"/>
      <c r="S265" s="179"/>
      <c r="T265" s="179"/>
      <c r="U265" s="179"/>
      <c r="V265" s="179"/>
      <c r="W265" s="179"/>
      <c r="X265" s="179"/>
      <c r="Y265" s="179"/>
    </row>
  </sheetData>
  <mergeCells count="31">
    <mergeCell ref="A106:A115"/>
    <mergeCell ref="A116:A125"/>
    <mergeCell ref="A236:A245"/>
    <mergeCell ref="A256:A265"/>
    <mergeCell ref="A246:A255"/>
    <mergeCell ref="A206:A215"/>
    <mergeCell ref="A216:A225"/>
    <mergeCell ref="A226:A235"/>
    <mergeCell ref="A136:A145"/>
    <mergeCell ref="A156:A165"/>
    <mergeCell ref="A146:A155"/>
    <mergeCell ref="A176:A185"/>
    <mergeCell ref="A186:A195"/>
    <mergeCell ref="A196:A205"/>
    <mergeCell ref="A166:A175"/>
    <mergeCell ref="A16:A25"/>
    <mergeCell ref="A6:A15"/>
    <mergeCell ref="A4:W4"/>
    <mergeCell ref="A1:W3"/>
    <mergeCell ref="Q5:S5"/>
    <mergeCell ref="M5:O5"/>
    <mergeCell ref="I5:K5"/>
    <mergeCell ref="A56:A65"/>
    <mergeCell ref="A46:A55"/>
    <mergeCell ref="A86:A95"/>
    <mergeCell ref="A76:A85"/>
    <mergeCell ref="A36:A45"/>
    <mergeCell ref="A26:A35"/>
    <mergeCell ref="A66:A75"/>
    <mergeCell ref="A126:A135"/>
    <mergeCell ref="A96:A105"/>
  </mergeCells>
  <conditionalFormatting sqref="U5">
    <cfRule type="containsText" dxfId="0" priority="1" operator="containsText" text="There are same totals">
      <formula>NOT(ISERROR(SEARCH(("There are same totals"),(U5))))</formula>
    </cfRule>
  </conditionalFormatting>
  <conditionalFormatting sqref="U6:U25">
    <cfRule type="expression" dxfId="1" priority="2">
      <formula>countif(U$6:U25,U6:U25)&gt;1</formula>
    </cfRule>
  </conditionalFormatting>
  <conditionalFormatting sqref="U26:U45">
    <cfRule type="expression" dxfId="1" priority="3">
      <formula>countif(U$26:U45,U26:U45)&gt;1</formula>
    </cfRule>
  </conditionalFormatting>
  <conditionalFormatting sqref="U46:U65">
    <cfRule type="expression" dxfId="1" priority="4">
      <formula>countif(U$46:U65,U46:U65)&gt;1</formula>
    </cfRule>
  </conditionalFormatting>
  <conditionalFormatting sqref="U66:U85">
    <cfRule type="expression" dxfId="1" priority="5">
      <formula>countif(U$66:U85,U66:U85)&gt;1</formula>
    </cfRule>
  </conditionalFormatting>
  <conditionalFormatting sqref="U86:U105">
    <cfRule type="expression" dxfId="1" priority="6">
      <formula>countif(U$86:U105,U86:U105)&gt;1</formula>
    </cfRule>
  </conditionalFormatting>
  <conditionalFormatting sqref="U106:U125">
    <cfRule type="expression" dxfId="1" priority="7">
      <formula>countif(U$106:U125,U106:U125)&gt;1</formula>
    </cfRule>
  </conditionalFormatting>
  <conditionalFormatting sqref="U126:U145">
    <cfRule type="expression" dxfId="1" priority="8">
      <formula>countif(U$126:U145,U126:U145)&gt;1</formula>
    </cfRule>
  </conditionalFormatting>
  <conditionalFormatting sqref="U146:U165">
    <cfRule type="expression" dxfId="1" priority="9">
      <formula>countif($U$146:$U$165,$U$146:$U$165)&gt;1</formula>
    </cfRule>
  </conditionalFormatting>
  <conditionalFormatting sqref="U166:U185">
    <cfRule type="expression" dxfId="1" priority="10">
      <formula>countif(U$166:U185,U166:U185)&gt;1</formula>
    </cfRule>
  </conditionalFormatting>
  <conditionalFormatting sqref="U186:U205">
    <cfRule type="expression" dxfId="1" priority="11">
      <formula>countif(U$186:U205,U186:U205)&gt;1</formula>
    </cfRule>
  </conditionalFormatting>
  <conditionalFormatting sqref="U206:U225">
    <cfRule type="expression" dxfId="1" priority="12">
      <formula>countif(U$206:U225,U206:U225)&gt;1</formula>
    </cfRule>
  </conditionalFormatting>
  <conditionalFormatting sqref="U226:U265">
    <cfRule type="expression" dxfId="1" priority="13">
      <formula>countif(U$226:U245,U226:U245)&gt;1</formula>
    </cfRule>
  </conditionalFormatting>
  <conditionalFormatting sqref="Q6:T265">
    <cfRule type="endsWith" dxfId="2" priority="14" operator="endsWith" text="g">
      <formula>RIGHT((Q6),LEN("g"))=("g")</formula>
    </cfRule>
  </conditionalFormatting>
  <conditionalFormatting sqref="Q6:T265">
    <cfRule type="endsWith" dxfId="1" priority="15" operator="endsWith" text="x">
      <formula>RIGHT((Q6),LEN("x"))=("x")</formula>
    </cfRule>
  </conditionalFormatting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75"/>
  <cols>
    <col customWidth="1" min="1" max="1" width="9.71"/>
    <col customWidth="1" min="2" max="2" width="7.71"/>
    <col customWidth="1" min="3" max="3" width="15.43"/>
    <col customWidth="1" min="4" max="4" width="10.71"/>
    <col customWidth="1" min="5" max="5" width="18.29"/>
    <col customWidth="1" min="6" max="20" width="6.14"/>
  </cols>
  <sheetData>
    <row r="1">
      <c r="A1" s="16">
        <v>1.0</v>
      </c>
      <c r="B1" s="16">
        <v>2.0</v>
      </c>
      <c r="C1" s="160">
        <v>3.0</v>
      </c>
      <c r="D1" s="160">
        <v>4.0</v>
      </c>
      <c r="E1" s="160">
        <v>5.0</v>
      </c>
      <c r="F1" s="160">
        <v>6.0</v>
      </c>
      <c r="G1" s="160">
        <v>7.0</v>
      </c>
      <c r="H1" s="160">
        <v>8.0</v>
      </c>
      <c r="I1" s="160">
        <v>9.0</v>
      </c>
      <c r="J1" s="160">
        <v>10.0</v>
      </c>
      <c r="K1" s="160">
        <v>11.0</v>
      </c>
      <c r="L1" s="160">
        <v>12.0</v>
      </c>
      <c r="M1" s="160">
        <v>13.0</v>
      </c>
      <c r="N1" s="160">
        <v>14.0</v>
      </c>
      <c r="O1" s="160">
        <v>15.0</v>
      </c>
      <c r="P1" s="160">
        <v>16.0</v>
      </c>
      <c r="Q1" s="160">
        <v>17.0</v>
      </c>
      <c r="R1" s="160">
        <v>18.0</v>
      </c>
      <c r="S1" s="160">
        <v>19.0</v>
      </c>
      <c r="T1" s="160">
        <v>20.0</v>
      </c>
    </row>
    <row r="2">
      <c r="A2" s="16" t="s">
        <v>19</v>
      </c>
      <c r="B2" s="16" t="s">
        <v>135</v>
      </c>
      <c r="C2" s="57" t="s">
        <v>22</v>
      </c>
      <c r="D2" s="57" t="s">
        <v>23</v>
      </c>
      <c r="E2" s="57" t="s">
        <v>25</v>
      </c>
      <c r="F2" s="160" t="s">
        <v>555</v>
      </c>
      <c r="G2" s="160" t="s">
        <v>556</v>
      </c>
      <c r="H2" s="160" t="s">
        <v>557</v>
      </c>
      <c r="I2" s="160" t="s">
        <v>558</v>
      </c>
      <c r="J2" s="160" t="s">
        <v>559</v>
      </c>
      <c r="K2" s="160" t="s">
        <v>560</v>
      </c>
      <c r="L2" s="160" t="s">
        <v>561</v>
      </c>
      <c r="M2" s="160" t="s">
        <v>562</v>
      </c>
      <c r="N2" s="160" t="s">
        <v>563</v>
      </c>
      <c r="O2" s="160" t="s">
        <v>564</v>
      </c>
      <c r="P2" s="160" t="s">
        <v>565</v>
      </c>
      <c r="Q2" s="160" t="s">
        <v>566</v>
      </c>
      <c r="R2" s="57" t="s">
        <v>118</v>
      </c>
      <c r="S2" s="57" t="s">
        <v>119</v>
      </c>
      <c r="T2" s="57"/>
    </row>
    <row r="3">
      <c r="A3" s="184" t="str">
        <f t="array" ref="A3:T1802">sort({'Platform 1'!B3:U77;'Platform 2'!B3:U77;'Platform 3'!B3:U77;'Platform 4'!B3:U77;'Platform 5'!B3:U77;'Platform 6'!B3:U77;'Platform 7'!B3:U77;'Platform 8'!B3:U77;'Platform 9'!B3:U77;'Platform 10'!B3:U77;'Platform 11'!B3:U77;'Platform 12'!B3:U77;'Platform 13'!B3:U77;'Platform 14'!B3:U77;'Platform 15'!B3:U77;'Platform 16'!B3:U77;'Platform 17'!B3:U77;'Platform 18'!B3:U77;'Platform 19'!B3:U77;'Platform 20'!B3:U77;'Platform 21'!B3:U77;'Platform 22'!B3:U77;'Platform 23'!B3:U77;'Platform 24'!B3:U77},1,true,18,false,4,true,20,false,21,true)</f>
        <v>105 WJV</v>
      </c>
      <c r="B3" s="184" t="s">
        <v>109</v>
      </c>
      <c r="C3" s="185" t="s">
        <v>148</v>
      </c>
      <c r="D3" s="184">
        <v>104.3</v>
      </c>
      <c r="E3" s="185" t="s">
        <v>149</v>
      </c>
      <c r="F3" s="184" t="s">
        <v>150</v>
      </c>
      <c r="G3" s="184" t="s">
        <v>151</v>
      </c>
      <c r="H3" s="184" t="s">
        <v>152</v>
      </c>
      <c r="I3" s="184">
        <v>185.0</v>
      </c>
      <c r="J3" s="184" t="s">
        <v>153</v>
      </c>
      <c r="K3" s="184" t="s">
        <v>154</v>
      </c>
      <c r="L3" s="184" t="s">
        <v>155</v>
      </c>
      <c r="M3" s="184">
        <v>110.0</v>
      </c>
      <c r="N3" s="184" t="s">
        <v>156</v>
      </c>
      <c r="O3" s="184" t="s">
        <v>157</v>
      </c>
      <c r="P3" s="184" t="s">
        <v>158</v>
      </c>
      <c r="Q3" s="184">
        <v>240.0</v>
      </c>
      <c r="R3" s="184">
        <v>535.0</v>
      </c>
      <c r="S3" s="186">
        <v>5.129434324065197</v>
      </c>
      <c r="T3" s="184">
        <v>6.0</v>
      </c>
    </row>
    <row r="4">
      <c r="A4" s="184" t="s">
        <v>41</v>
      </c>
      <c r="B4" s="184" t="s">
        <v>109</v>
      </c>
      <c r="C4" s="185" t="s">
        <v>159</v>
      </c>
      <c r="D4" s="184">
        <v>102.0</v>
      </c>
      <c r="E4" s="185" t="s">
        <v>160</v>
      </c>
      <c r="F4" s="184" t="s">
        <v>161</v>
      </c>
      <c r="G4" s="184" t="s">
        <v>150</v>
      </c>
      <c r="H4" s="184" t="s">
        <v>162</v>
      </c>
      <c r="I4" s="184">
        <v>175.0</v>
      </c>
      <c r="J4" s="184" t="s">
        <v>163</v>
      </c>
      <c r="K4" s="184" t="s">
        <v>164</v>
      </c>
      <c r="L4" s="184" t="s">
        <v>165</v>
      </c>
      <c r="M4" s="184">
        <v>100.0</v>
      </c>
      <c r="N4" s="184" t="s">
        <v>166</v>
      </c>
      <c r="O4" s="184" t="s">
        <v>156</v>
      </c>
      <c r="P4" s="184" t="s">
        <v>167</v>
      </c>
      <c r="Q4" s="184">
        <v>235.0</v>
      </c>
      <c r="R4" s="184">
        <v>510.0</v>
      </c>
      <c r="S4" s="186">
        <v>5.0</v>
      </c>
      <c r="T4" s="184">
        <v>7.0</v>
      </c>
    </row>
    <row r="5">
      <c r="A5" s="184" t="s">
        <v>41</v>
      </c>
      <c r="B5" s="184" t="s">
        <v>109</v>
      </c>
      <c r="C5" s="185" t="s">
        <v>168</v>
      </c>
      <c r="D5" s="184">
        <v>103.7</v>
      </c>
      <c r="E5" s="185" t="s">
        <v>169</v>
      </c>
      <c r="F5" s="184" t="s">
        <v>170</v>
      </c>
      <c r="G5" s="184" t="s">
        <v>171</v>
      </c>
      <c r="H5" s="184" t="s">
        <v>161</v>
      </c>
      <c r="I5" s="184">
        <v>160.0</v>
      </c>
      <c r="J5" s="184" t="s">
        <v>172</v>
      </c>
      <c r="K5" s="184" t="s">
        <v>173</v>
      </c>
      <c r="L5" s="184" t="s">
        <v>174</v>
      </c>
      <c r="M5" s="184">
        <v>85.0</v>
      </c>
      <c r="N5" s="184" t="s">
        <v>175</v>
      </c>
      <c r="O5" s="184" t="s">
        <v>156</v>
      </c>
      <c r="P5" s="184" t="s">
        <v>176</v>
      </c>
      <c r="Q5" s="184">
        <v>250.0</v>
      </c>
      <c r="R5" s="184">
        <v>495.0</v>
      </c>
      <c r="S5" s="186">
        <v>4.7733847637415625</v>
      </c>
      <c r="T5" s="184">
        <v>8.0</v>
      </c>
    </row>
    <row r="6">
      <c r="A6" s="184" t="s">
        <v>41</v>
      </c>
      <c r="B6" s="184" t="s">
        <v>109</v>
      </c>
      <c r="C6" s="185" t="s">
        <v>177</v>
      </c>
      <c r="D6" s="184">
        <v>102.9</v>
      </c>
      <c r="E6" s="185" t="s">
        <v>178</v>
      </c>
      <c r="F6" s="184" t="s">
        <v>179</v>
      </c>
      <c r="G6" s="184" t="s">
        <v>180</v>
      </c>
      <c r="H6" s="184" t="s">
        <v>170</v>
      </c>
      <c r="I6" s="184">
        <v>140.0</v>
      </c>
      <c r="J6" s="184" t="s">
        <v>172</v>
      </c>
      <c r="K6" s="184" t="s">
        <v>173</v>
      </c>
      <c r="L6" s="184" t="s">
        <v>174</v>
      </c>
      <c r="M6" s="184">
        <v>85.0</v>
      </c>
      <c r="N6" s="184" t="s">
        <v>181</v>
      </c>
      <c r="O6" s="184" t="s">
        <v>182</v>
      </c>
      <c r="P6" s="184" t="s">
        <v>183</v>
      </c>
      <c r="Q6" s="184">
        <v>220.0</v>
      </c>
      <c r="R6" s="184">
        <v>445.0</v>
      </c>
      <c r="S6" s="186">
        <v>4.3245869776482015</v>
      </c>
      <c r="T6" s="184">
        <v>7.0</v>
      </c>
    </row>
    <row r="7">
      <c r="A7" s="184" t="s">
        <v>41</v>
      </c>
      <c r="B7" s="184" t="s">
        <v>109</v>
      </c>
      <c r="C7" s="185" t="s">
        <v>184</v>
      </c>
      <c r="D7" s="184">
        <v>101.2</v>
      </c>
      <c r="E7" s="185" t="s">
        <v>185</v>
      </c>
      <c r="F7" s="184" t="s">
        <v>179</v>
      </c>
      <c r="G7" s="184" t="s">
        <v>186</v>
      </c>
      <c r="H7" s="184" t="s">
        <v>187</v>
      </c>
      <c r="I7" s="184">
        <v>135.0</v>
      </c>
      <c r="J7" s="184" t="s">
        <v>188</v>
      </c>
      <c r="K7" s="184" t="s">
        <v>172</v>
      </c>
      <c r="L7" s="184" t="s">
        <v>189</v>
      </c>
      <c r="M7" s="184">
        <v>75.0</v>
      </c>
      <c r="N7" s="184" t="s">
        <v>182</v>
      </c>
      <c r="O7" s="184" t="s">
        <v>190</v>
      </c>
      <c r="P7" s="184" t="s">
        <v>191</v>
      </c>
      <c r="Q7" s="184">
        <v>215.0</v>
      </c>
      <c r="R7" s="184">
        <v>425.0</v>
      </c>
      <c r="S7" s="186">
        <v>4.199604743083004</v>
      </c>
      <c r="T7" s="184">
        <v>6.0</v>
      </c>
    </row>
    <row r="8">
      <c r="A8" s="184" t="s">
        <v>41</v>
      </c>
      <c r="B8" s="184" t="s">
        <v>109</v>
      </c>
      <c r="C8" s="185" t="s">
        <v>168</v>
      </c>
      <c r="D8" s="184">
        <v>102.0</v>
      </c>
      <c r="E8" s="185" t="s">
        <v>192</v>
      </c>
      <c r="F8" s="184" t="s">
        <v>193</v>
      </c>
      <c r="G8" s="184" t="s">
        <v>179</v>
      </c>
      <c r="H8" s="184" t="s">
        <v>194</v>
      </c>
      <c r="I8" s="184">
        <v>125.0</v>
      </c>
      <c r="J8" s="184" t="s">
        <v>195</v>
      </c>
      <c r="K8" s="184" t="s">
        <v>173</v>
      </c>
      <c r="L8" s="184" t="s">
        <v>174</v>
      </c>
      <c r="M8" s="184">
        <v>85.0</v>
      </c>
      <c r="N8" s="184" t="s">
        <v>150</v>
      </c>
      <c r="O8" s="184" t="s">
        <v>151</v>
      </c>
      <c r="P8" s="184" t="s">
        <v>166</v>
      </c>
      <c r="Q8" s="184">
        <v>210.0</v>
      </c>
      <c r="R8" s="184">
        <v>420.0</v>
      </c>
      <c r="S8" s="186">
        <v>4.117647058823529</v>
      </c>
      <c r="T8" s="184">
        <v>7.0</v>
      </c>
    </row>
    <row r="9">
      <c r="A9" s="184" t="s">
        <v>41</v>
      </c>
      <c r="B9" s="184" t="s">
        <v>109</v>
      </c>
      <c r="C9" s="185" t="s">
        <v>168</v>
      </c>
      <c r="D9" s="184">
        <v>103.0</v>
      </c>
      <c r="E9" s="185" t="s">
        <v>196</v>
      </c>
      <c r="F9" s="184" t="s">
        <v>154</v>
      </c>
      <c r="G9" s="184" t="s">
        <v>197</v>
      </c>
      <c r="H9" s="184" t="s">
        <v>198</v>
      </c>
      <c r="I9" s="184">
        <v>120.0</v>
      </c>
      <c r="J9" s="184" t="s">
        <v>188</v>
      </c>
      <c r="K9" s="184" t="s">
        <v>172</v>
      </c>
      <c r="L9" s="184" t="s">
        <v>189</v>
      </c>
      <c r="M9" s="184">
        <v>75.0</v>
      </c>
      <c r="N9" s="184" t="s">
        <v>181</v>
      </c>
      <c r="O9" s="184" t="s">
        <v>182</v>
      </c>
      <c r="P9" s="184" t="s">
        <v>166</v>
      </c>
      <c r="Q9" s="184">
        <v>210.0</v>
      </c>
      <c r="R9" s="184">
        <v>405.0</v>
      </c>
      <c r="S9" s="186">
        <v>3.9320388349514563</v>
      </c>
      <c r="T9" s="184">
        <v>7.0</v>
      </c>
    </row>
    <row r="10">
      <c r="A10" s="184" t="s">
        <v>41</v>
      </c>
      <c r="B10" s="184" t="s">
        <v>109</v>
      </c>
      <c r="C10" s="185" t="s">
        <v>199</v>
      </c>
      <c r="D10" s="184">
        <v>101.0</v>
      </c>
      <c r="E10" s="185" t="s">
        <v>200</v>
      </c>
      <c r="F10" s="184" t="s">
        <v>186</v>
      </c>
      <c r="G10" s="184" t="s">
        <v>171</v>
      </c>
      <c r="H10" s="184" t="s">
        <v>201</v>
      </c>
      <c r="I10" s="184">
        <v>150.0</v>
      </c>
      <c r="J10" s="184" t="s">
        <v>188</v>
      </c>
      <c r="K10" s="184" t="s">
        <v>172</v>
      </c>
      <c r="L10" s="184" t="s">
        <v>189</v>
      </c>
      <c r="M10" s="184">
        <v>75.0</v>
      </c>
      <c r="N10" s="184" t="s">
        <v>202</v>
      </c>
      <c r="O10" s="184" t="s">
        <v>203</v>
      </c>
      <c r="P10" s="184" t="s">
        <v>162</v>
      </c>
      <c r="Q10" s="184">
        <v>170.0</v>
      </c>
      <c r="R10" s="184">
        <v>395.0</v>
      </c>
      <c r="S10" s="186">
        <v>3.910891089108911</v>
      </c>
      <c r="T10" s="184">
        <v>6.0</v>
      </c>
    </row>
    <row r="11">
      <c r="A11" s="184" t="s">
        <v>41</v>
      </c>
      <c r="B11" s="184" t="s">
        <v>109</v>
      </c>
      <c r="C11" s="185" t="s">
        <v>204</v>
      </c>
      <c r="D11" s="184">
        <v>102.1</v>
      </c>
      <c r="E11" s="185" t="s">
        <v>205</v>
      </c>
      <c r="F11" s="184" t="s">
        <v>193</v>
      </c>
      <c r="G11" s="184" t="s">
        <v>186</v>
      </c>
      <c r="H11" s="184" t="s">
        <v>187</v>
      </c>
      <c r="I11" s="184">
        <v>135.0</v>
      </c>
      <c r="J11" s="184" t="s">
        <v>172</v>
      </c>
      <c r="K11" s="184" t="s">
        <v>206</v>
      </c>
      <c r="L11" s="184" t="s">
        <v>207</v>
      </c>
      <c r="M11" s="184">
        <v>75.0</v>
      </c>
      <c r="N11" s="184" t="s">
        <v>202</v>
      </c>
      <c r="O11" s="184" t="s">
        <v>151</v>
      </c>
      <c r="P11" s="184" t="s">
        <v>208</v>
      </c>
      <c r="Q11" s="184">
        <v>185.0</v>
      </c>
      <c r="R11" s="184">
        <v>395.0</v>
      </c>
      <c r="S11" s="186">
        <v>3.8687561214495596</v>
      </c>
      <c r="T11" s="184">
        <v>5.0</v>
      </c>
    </row>
    <row r="12">
      <c r="A12" s="184" t="s">
        <v>41</v>
      </c>
      <c r="B12" s="184" t="s">
        <v>109</v>
      </c>
      <c r="C12" s="185" t="s">
        <v>168</v>
      </c>
      <c r="D12" s="184">
        <v>104.8</v>
      </c>
      <c r="E12" s="185" t="s">
        <v>209</v>
      </c>
      <c r="F12" s="184" t="s">
        <v>179</v>
      </c>
      <c r="G12" s="184" t="s">
        <v>194</v>
      </c>
      <c r="H12" s="184" t="s">
        <v>194</v>
      </c>
      <c r="I12" s="184">
        <v>125.0</v>
      </c>
      <c r="J12" s="184" t="s">
        <v>195</v>
      </c>
      <c r="K12" s="184" t="s">
        <v>210</v>
      </c>
      <c r="L12" s="184" t="s">
        <v>174</v>
      </c>
      <c r="M12" s="184">
        <v>80.0</v>
      </c>
      <c r="N12" s="184" t="s">
        <v>161</v>
      </c>
      <c r="O12" s="184" t="s">
        <v>151</v>
      </c>
      <c r="P12" s="184" t="s">
        <v>211</v>
      </c>
      <c r="Q12" s="184">
        <v>185.0</v>
      </c>
      <c r="R12" s="184">
        <v>390.0</v>
      </c>
      <c r="S12" s="186">
        <v>3.721374045801527</v>
      </c>
      <c r="T12" s="184">
        <v>5.0</v>
      </c>
    </row>
    <row r="13">
      <c r="A13" s="184" t="s">
        <v>41</v>
      </c>
      <c r="B13" s="184" t="s">
        <v>109</v>
      </c>
      <c r="C13" s="185" t="s">
        <v>212</v>
      </c>
      <c r="D13" s="184">
        <v>103.5</v>
      </c>
      <c r="E13" s="185" t="s">
        <v>213</v>
      </c>
      <c r="F13" s="184" t="s">
        <v>193</v>
      </c>
      <c r="G13" s="184" t="s">
        <v>179</v>
      </c>
      <c r="H13" s="184" t="s">
        <v>186</v>
      </c>
      <c r="I13" s="184">
        <v>135.0</v>
      </c>
      <c r="J13" s="184" t="s">
        <v>195</v>
      </c>
      <c r="K13" s="184" t="s">
        <v>172</v>
      </c>
      <c r="L13" s="184" t="s">
        <v>206</v>
      </c>
      <c r="M13" s="184">
        <v>75.0</v>
      </c>
      <c r="N13" s="184" t="s">
        <v>202</v>
      </c>
      <c r="O13" s="184" t="s">
        <v>150</v>
      </c>
      <c r="P13" s="184" t="s">
        <v>152</v>
      </c>
      <c r="Q13" s="184">
        <v>175.0</v>
      </c>
      <c r="R13" s="184">
        <v>385.0</v>
      </c>
      <c r="S13" s="186">
        <v>3.7198067632850242</v>
      </c>
      <c r="T13" s="184">
        <v>7.0</v>
      </c>
    </row>
    <row r="14">
      <c r="A14" s="184" t="s">
        <v>41</v>
      </c>
      <c r="B14" s="184" t="s">
        <v>109</v>
      </c>
      <c r="C14" s="185" t="s">
        <v>214</v>
      </c>
      <c r="D14" s="184">
        <v>102.6</v>
      </c>
      <c r="E14" s="185" t="s">
        <v>215</v>
      </c>
      <c r="F14" s="184" t="s">
        <v>216</v>
      </c>
      <c r="G14" s="184" t="s">
        <v>193</v>
      </c>
      <c r="H14" s="184" t="s">
        <v>179</v>
      </c>
      <c r="I14" s="184">
        <v>125.0</v>
      </c>
      <c r="J14" s="184" t="s">
        <v>217</v>
      </c>
      <c r="K14" s="184" t="s">
        <v>195</v>
      </c>
      <c r="L14" s="184" t="s">
        <v>189</v>
      </c>
      <c r="M14" s="184">
        <v>70.0</v>
      </c>
      <c r="N14" s="184" t="s">
        <v>186</v>
      </c>
      <c r="O14" s="184" t="s">
        <v>150</v>
      </c>
      <c r="P14" s="184" t="s">
        <v>151</v>
      </c>
      <c r="Q14" s="184">
        <v>185.0</v>
      </c>
      <c r="R14" s="184">
        <v>380.0</v>
      </c>
      <c r="S14" s="186">
        <v>3.7037037037037037</v>
      </c>
      <c r="T14" s="184">
        <v>8.0</v>
      </c>
    </row>
    <row r="15">
      <c r="A15" s="184" t="s">
        <v>41</v>
      </c>
      <c r="B15" s="184" t="s">
        <v>109</v>
      </c>
      <c r="C15" s="185" t="s">
        <v>218</v>
      </c>
      <c r="D15" s="184">
        <v>103.7</v>
      </c>
      <c r="E15" s="185" t="s">
        <v>219</v>
      </c>
      <c r="F15" s="184" t="s">
        <v>173</v>
      </c>
      <c r="G15" s="184" t="s">
        <v>153</v>
      </c>
      <c r="H15" s="184" t="s">
        <v>155</v>
      </c>
      <c r="I15" s="184">
        <v>105.0</v>
      </c>
      <c r="J15" s="184" t="s">
        <v>220</v>
      </c>
      <c r="K15" s="184" t="s">
        <v>172</v>
      </c>
      <c r="L15" s="184" t="s">
        <v>210</v>
      </c>
      <c r="M15" s="184">
        <v>80.0</v>
      </c>
      <c r="N15" s="184" t="s">
        <v>171</v>
      </c>
      <c r="O15" s="184" t="s">
        <v>150</v>
      </c>
      <c r="P15" s="184" t="s">
        <v>181</v>
      </c>
      <c r="Q15" s="184">
        <v>190.0</v>
      </c>
      <c r="R15" s="184">
        <v>375.0</v>
      </c>
      <c r="S15" s="186">
        <v>3.6162005785920925</v>
      </c>
      <c r="T15" s="184">
        <v>8.0</v>
      </c>
    </row>
    <row r="16">
      <c r="A16" s="184" t="s">
        <v>41</v>
      </c>
      <c r="B16" s="184" t="s">
        <v>109</v>
      </c>
      <c r="C16" s="185" t="s">
        <v>221</v>
      </c>
      <c r="D16" s="184">
        <v>103.7</v>
      </c>
      <c r="E16" s="185" t="s">
        <v>222</v>
      </c>
      <c r="F16" s="184" t="s">
        <v>153</v>
      </c>
      <c r="G16" s="184" t="s">
        <v>193</v>
      </c>
      <c r="H16" s="184" t="s">
        <v>197</v>
      </c>
      <c r="I16" s="184">
        <v>120.0</v>
      </c>
      <c r="J16" s="184" t="s">
        <v>223</v>
      </c>
      <c r="K16" s="184" t="s">
        <v>220</v>
      </c>
      <c r="L16" s="184" t="s">
        <v>188</v>
      </c>
      <c r="M16" s="184">
        <v>65.0</v>
      </c>
      <c r="N16" s="184" t="s">
        <v>171</v>
      </c>
      <c r="O16" s="184" t="s">
        <v>224</v>
      </c>
      <c r="P16" s="184" t="s">
        <v>225</v>
      </c>
      <c r="Q16" s="184">
        <v>165.0</v>
      </c>
      <c r="R16" s="184">
        <v>350.0</v>
      </c>
      <c r="S16" s="186">
        <v>3.3751205400192865</v>
      </c>
      <c r="T16" s="184">
        <v>8.0</v>
      </c>
    </row>
    <row r="17">
      <c r="A17" s="184" t="s">
        <v>41</v>
      </c>
      <c r="B17" s="184" t="s">
        <v>109</v>
      </c>
      <c r="C17" s="185" t="s">
        <v>204</v>
      </c>
      <c r="D17" s="184">
        <v>98.9</v>
      </c>
      <c r="E17" s="185" t="s">
        <v>226</v>
      </c>
      <c r="F17" s="184" t="s">
        <v>227</v>
      </c>
      <c r="G17" s="184" t="s">
        <v>227</v>
      </c>
      <c r="H17" s="184" t="s">
        <v>193</v>
      </c>
      <c r="I17" s="184">
        <v>115.0</v>
      </c>
      <c r="J17" s="184" t="s">
        <v>217</v>
      </c>
      <c r="K17" s="184" t="s">
        <v>220</v>
      </c>
      <c r="L17" s="184" t="s">
        <v>228</v>
      </c>
      <c r="M17" s="184">
        <v>60.0</v>
      </c>
      <c r="N17" s="184" t="s">
        <v>202</v>
      </c>
      <c r="O17" s="184" t="s">
        <v>203</v>
      </c>
      <c r="P17" s="184" t="s">
        <v>162</v>
      </c>
      <c r="Q17" s="184">
        <v>170.0</v>
      </c>
      <c r="R17" s="184">
        <v>345.0</v>
      </c>
      <c r="S17" s="186">
        <v>3.488372093023256</v>
      </c>
      <c r="T17" s="184">
        <v>5.0</v>
      </c>
    </row>
    <row r="18">
      <c r="A18" s="184" t="s">
        <v>41</v>
      </c>
      <c r="B18" s="184" t="s">
        <v>109</v>
      </c>
      <c r="C18" s="185" t="s">
        <v>168</v>
      </c>
      <c r="D18" s="184">
        <v>102.3</v>
      </c>
      <c r="E18" s="185" t="s">
        <v>230</v>
      </c>
      <c r="F18" s="184" t="s">
        <v>216</v>
      </c>
      <c r="G18" s="184" t="s">
        <v>165</v>
      </c>
      <c r="H18" s="184" t="s">
        <v>154</v>
      </c>
      <c r="I18" s="184">
        <v>110.0</v>
      </c>
      <c r="J18" s="184" t="s">
        <v>220</v>
      </c>
      <c r="K18" s="184" t="s">
        <v>188</v>
      </c>
      <c r="L18" s="184" t="s">
        <v>231</v>
      </c>
      <c r="M18" s="184">
        <v>65.0</v>
      </c>
      <c r="N18" s="184" t="s">
        <v>186</v>
      </c>
      <c r="O18" s="184" t="s">
        <v>202</v>
      </c>
      <c r="P18" s="184" t="s">
        <v>232</v>
      </c>
      <c r="Q18" s="184">
        <v>155.0</v>
      </c>
      <c r="R18" s="184">
        <v>330.0</v>
      </c>
      <c r="S18" s="186">
        <v>3.2258064516129035</v>
      </c>
      <c r="T18" s="184">
        <v>6.0</v>
      </c>
    </row>
    <row r="19">
      <c r="A19" s="184" t="s">
        <v>41</v>
      </c>
      <c r="B19" s="184" t="s">
        <v>109</v>
      </c>
      <c r="C19" s="185" t="s">
        <v>218</v>
      </c>
      <c r="D19" s="184">
        <v>104.1</v>
      </c>
      <c r="E19" s="185" t="s">
        <v>229</v>
      </c>
      <c r="F19" s="184" t="s">
        <v>173</v>
      </c>
      <c r="G19" s="184" t="s">
        <v>164</v>
      </c>
      <c r="H19" s="184" t="s">
        <v>165</v>
      </c>
      <c r="I19" s="184">
        <v>100.0</v>
      </c>
      <c r="J19" s="184" t="s">
        <v>217</v>
      </c>
      <c r="K19" s="184" t="s">
        <v>228</v>
      </c>
      <c r="L19" s="184" t="s">
        <v>228</v>
      </c>
      <c r="M19" s="184">
        <v>55.0</v>
      </c>
      <c r="N19" s="184" t="s">
        <v>186</v>
      </c>
      <c r="O19" s="184" t="s">
        <v>202</v>
      </c>
      <c r="P19" s="184" t="s">
        <v>150</v>
      </c>
      <c r="Q19" s="184">
        <v>175.0</v>
      </c>
      <c r="R19" s="184">
        <v>330.0</v>
      </c>
      <c r="S19" s="186">
        <v>3.336703741152679</v>
      </c>
      <c r="T19" s="184">
        <v>6.0</v>
      </c>
    </row>
    <row r="20">
      <c r="A20" s="184" t="s">
        <v>47</v>
      </c>
      <c r="B20" s="184" t="s">
        <v>109</v>
      </c>
      <c r="C20" s="185" t="s">
        <v>168</v>
      </c>
      <c r="D20" s="184">
        <v>111.1</v>
      </c>
      <c r="E20" s="185" t="s">
        <v>253</v>
      </c>
      <c r="F20" s="184" t="s">
        <v>235</v>
      </c>
      <c r="G20" s="184" t="s">
        <v>175</v>
      </c>
      <c r="H20" s="184" t="s">
        <v>254</v>
      </c>
      <c r="I20" s="184">
        <v>205.0</v>
      </c>
      <c r="J20" s="184" t="s">
        <v>216</v>
      </c>
      <c r="K20" s="184" t="s">
        <v>153</v>
      </c>
      <c r="L20" s="184" t="s">
        <v>165</v>
      </c>
      <c r="M20" s="184">
        <v>105.0</v>
      </c>
      <c r="N20" s="184" t="s">
        <v>156</v>
      </c>
      <c r="O20" s="184" t="s">
        <v>255</v>
      </c>
      <c r="P20" s="184" t="s">
        <v>256</v>
      </c>
      <c r="Q20" s="184">
        <v>245.0</v>
      </c>
      <c r="R20" s="184">
        <v>555.0</v>
      </c>
      <c r="S20" s="186">
        <v>4.995499549954996</v>
      </c>
      <c r="T20" s="184">
        <v>7.0</v>
      </c>
    </row>
    <row r="21">
      <c r="A21" s="184" t="s">
        <v>47</v>
      </c>
      <c r="B21" s="184" t="s">
        <v>109</v>
      </c>
      <c r="C21" s="185" t="s">
        <v>240</v>
      </c>
      <c r="D21" s="184">
        <v>109.0</v>
      </c>
      <c r="E21" s="185" t="s">
        <v>257</v>
      </c>
      <c r="F21" s="184" t="s">
        <v>224</v>
      </c>
      <c r="G21" s="184" t="s">
        <v>150</v>
      </c>
      <c r="H21" s="184" t="s">
        <v>235</v>
      </c>
      <c r="I21" s="184">
        <v>180.0</v>
      </c>
      <c r="J21" s="184" t="s">
        <v>172</v>
      </c>
      <c r="K21" s="184" t="s">
        <v>210</v>
      </c>
      <c r="L21" s="184" t="s">
        <v>206</v>
      </c>
      <c r="M21" s="184">
        <v>80.0</v>
      </c>
      <c r="N21" s="184" t="s">
        <v>190</v>
      </c>
      <c r="O21" s="184" t="s">
        <v>167</v>
      </c>
      <c r="P21" s="184" t="s">
        <v>255</v>
      </c>
      <c r="Q21" s="184">
        <v>245.0</v>
      </c>
      <c r="R21" s="184">
        <v>505.0</v>
      </c>
      <c r="S21" s="186">
        <v>4.63302752293578</v>
      </c>
      <c r="T21" s="184">
        <v>8.0</v>
      </c>
    </row>
    <row r="22">
      <c r="A22" s="184" t="s">
        <v>47</v>
      </c>
      <c r="B22" s="184" t="s">
        <v>109</v>
      </c>
      <c r="C22" s="185" t="s">
        <v>212</v>
      </c>
      <c r="D22" s="184">
        <v>113.2</v>
      </c>
      <c r="E22" s="185" t="s">
        <v>258</v>
      </c>
      <c r="F22" s="184" t="s">
        <v>170</v>
      </c>
      <c r="G22" s="184" t="s">
        <v>202</v>
      </c>
      <c r="H22" s="184" t="s">
        <v>201</v>
      </c>
      <c r="I22" s="184">
        <v>155.0</v>
      </c>
      <c r="J22" s="184" t="s">
        <v>173</v>
      </c>
      <c r="K22" s="184" t="s">
        <v>216</v>
      </c>
      <c r="L22" s="184" t="s">
        <v>207</v>
      </c>
      <c r="M22" s="184">
        <v>95.0</v>
      </c>
      <c r="N22" s="184" t="s">
        <v>166</v>
      </c>
      <c r="O22" s="184" t="s">
        <v>156</v>
      </c>
      <c r="P22" s="184" t="s">
        <v>167</v>
      </c>
      <c r="Q22" s="184">
        <v>235.0</v>
      </c>
      <c r="R22" s="184">
        <v>485.0</v>
      </c>
      <c r="S22" s="186">
        <v>4.284452296819788</v>
      </c>
      <c r="T22" s="184">
        <v>7.0</v>
      </c>
    </row>
    <row r="23">
      <c r="A23" s="184" t="s">
        <v>47</v>
      </c>
      <c r="B23" s="184" t="s">
        <v>109</v>
      </c>
      <c r="C23" s="185" t="s">
        <v>168</v>
      </c>
      <c r="D23" s="184">
        <v>110.9</v>
      </c>
      <c r="E23" s="185" t="s">
        <v>259</v>
      </c>
      <c r="F23" s="184" t="s">
        <v>197</v>
      </c>
      <c r="G23" s="184" t="s">
        <v>186</v>
      </c>
      <c r="H23" s="184" t="s">
        <v>245</v>
      </c>
      <c r="I23" s="184">
        <v>145.0</v>
      </c>
      <c r="J23" s="184" t="s">
        <v>210</v>
      </c>
      <c r="K23" s="184" t="s">
        <v>173</v>
      </c>
      <c r="L23" s="184" t="s">
        <v>174</v>
      </c>
      <c r="M23" s="184">
        <v>85.0</v>
      </c>
      <c r="N23" s="184" t="s">
        <v>182</v>
      </c>
      <c r="O23" s="184" t="s">
        <v>167</v>
      </c>
      <c r="P23" s="184" t="s">
        <v>255</v>
      </c>
      <c r="Q23" s="184">
        <v>245.0</v>
      </c>
      <c r="R23" s="184">
        <v>475.0</v>
      </c>
      <c r="S23" s="186">
        <v>4.283137962128043</v>
      </c>
      <c r="T23" s="184">
        <v>8.0</v>
      </c>
    </row>
    <row r="24">
      <c r="A24" s="184" t="s">
        <v>47</v>
      </c>
      <c r="B24" s="184" t="s">
        <v>109</v>
      </c>
      <c r="C24" s="185" t="s">
        <v>260</v>
      </c>
      <c r="D24" s="184">
        <v>110.2</v>
      </c>
      <c r="E24" s="185" t="s">
        <v>261</v>
      </c>
      <c r="F24" s="184" t="s">
        <v>245</v>
      </c>
      <c r="G24" s="184" t="s">
        <v>202</v>
      </c>
      <c r="H24" s="184" t="s">
        <v>201</v>
      </c>
      <c r="I24" s="184">
        <v>155.0</v>
      </c>
      <c r="J24" s="184" t="s">
        <v>163</v>
      </c>
      <c r="K24" s="184" t="s">
        <v>216</v>
      </c>
      <c r="L24" s="184" t="s">
        <v>262</v>
      </c>
      <c r="M24" s="184">
        <v>95.0</v>
      </c>
      <c r="N24" s="184" t="s">
        <v>263</v>
      </c>
      <c r="O24" s="184" t="s">
        <v>190</v>
      </c>
      <c r="P24" s="184" t="s">
        <v>183</v>
      </c>
      <c r="Q24" s="184">
        <v>220.0</v>
      </c>
      <c r="R24" s="184">
        <v>470.0</v>
      </c>
      <c r="S24" s="186">
        <v>4.26497277676951</v>
      </c>
      <c r="T24" s="184">
        <v>6.0</v>
      </c>
    </row>
    <row r="25">
      <c r="A25" s="184" t="s">
        <v>47</v>
      </c>
      <c r="B25" s="184" t="s">
        <v>109</v>
      </c>
      <c r="C25" s="185" t="s">
        <v>264</v>
      </c>
      <c r="D25" s="184">
        <v>113.6</v>
      </c>
      <c r="E25" s="185" t="s">
        <v>265</v>
      </c>
      <c r="F25" s="184" t="s">
        <v>266</v>
      </c>
      <c r="G25" s="184" t="s">
        <v>203</v>
      </c>
      <c r="H25" s="184" t="s">
        <v>150</v>
      </c>
      <c r="I25" s="184">
        <v>175.0</v>
      </c>
      <c r="J25" s="184" t="s">
        <v>154</v>
      </c>
      <c r="K25" s="184" t="s">
        <v>155</v>
      </c>
      <c r="L25" s="184" t="s">
        <v>155</v>
      </c>
      <c r="M25" s="184">
        <v>110.0</v>
      </c>
      <c r="N25" s="184" t="s">
        <v>202</v>
      </c>
      <c r="O25" s="184" t="s">
        <v>224</v>
      </c>
      <c r="P25" s="184" t="s">
        <v>150</v>
      </c>
      <c r="Q25" s="184">
        <v>175.0</v>
      </c>
      <c r="R25" s="184">
        <v>460.0</v>
      </c>
      <c r="S25" s="186">
        <v>4.049295774647888</v>
      </c>
      <c r="T25" s="184">
        <v>6.0</v>
      </c>
    </row>
    <row r="26">
      <c r="A26" s="184" t="s">
        <v>47</v>
      </c>
      <c r="B26" s="184" t="s">
        <v>109</v>
      </c>
      <c r="C26" s="185" t="s">
        <v>260</v>
      </c>
      <c r="D26" s="184">
        <v>108.2</v>
      </c>
      <c r="E26" s="185" t="s">
        <v>267</v>
      </c>
      <c r="F26" s="184" t="s">
        <v>245</v>
      </c>
      <c r="G26" s="184" t="s">
        <v>202</v>
      </c>
      <c r="H26" s="184" t="s">
        <v>224</v>
      </c>
      <c r="I26" s="184">
        <v>165.0</v>
      </c>
      <c r="J26" s="184" t="s">
        <v>188</v>
      </c>
      <c r="K26" s="184" t="s">
        <v>195</v>
      </c>
      <c r="L26" s="184" t="s">
        <v>244</v>
      </c>
      <c r="M26" s="184">
        <v>70.0</v>
      </c>
      <c r="N26" s="184" t="s">
        <v>175</v>
      </c>
      <c r="O26" s="184" t="s">
        <v>166</v>
      </c>
      <c r="P26" s="184" t="s">
        <v>183</v>
      </c>
      <c r="Q26" s="184">
        <v>220.0</v>
      </c>
      <c r="R26" s="184">
        <v>455.0</v>
      </c>
      <c r="S26" s="186">
        <v>4.205175600739372</v>
      </c>
      <c r="T26" s="184">
        <v>8.0</v>
      </c>
    </row>
    <row r="27">
      <c r="A27" s="184" t="s">
        <v>47</v>
      </c>
      <c r="B27" s="184" t="s">
        <v>109</v>
      </c>
      <c r="C27" s="185" t="s">
        <v>268</v>
      </c>
      <c r="D27" s="184">
        <v>113.8</v>
      </c>
      <c r="E27" s="185" t="s">
        <v>269</v>
      </c>
      <c r="F27" s="184" t="s">
        <v>234</v>
      </c>
      <c r="G27" s="184" t="s">
        <v>245</v>
      </c>
      <c r="H27" s="184" t="s">
        <v>171</v>
      </c>
      <c r="I27" s="184">
        <v>150.0</v>
      </c>
      <c r="J27" s="184" t="s">
        <v>195</v>
      </c>
      <c r="K27" s="184" t="s">
        <v>189</v>
      </c>
      <c r="L27" s="184" t="s">
        <v>189</v>
      </c>
      <c r="M27" s="184">
        <v>70.0</v>
      </c>
      <c r="N27" s="184" t="s">
        <v>182</v>
      </c>
      <c r="O27" s="184" t="s">
        <v>183</v>
      </c>
      <c r="P27" s="184" t="s">
        <v>167</v>
      </c>
      <c r="Q27" s="184">
        <v>235.0</v>
      </c>
      <c r="R27" s="184">
        <v>455.0</v>
      </c>
      <c r="S27" s="186">
        <v>3.9982425307557117</v>
      </c>
      <c r="T27" s="184">
        <v>7.0</v>
      </c>
    </row>
    <row r="28">
      <c r="A28" s="184" t="s">
        <v>47</v>
      </c>
      <c r="B28" s="184" t="s">
        <v>109</v>
      </c>
      <c r="C28" s="185" t="s">
        <v>148</v>
      </c>
      <c r="D28" s="184">
        <v>112.5</v>
      </c>
      <c r="E28" s="185" t="s">
        <v>272</v>
      </c>
      <c r="F28" s="184" t="s">
        <v>170</v>
      </c>
      <c r="G28" s="184" t="s">
        <v>171</v>
      </c>
      <c r="H28" s="184" t="s">
        <v>187</v>
      </c>
      <c r="I28" s="184">
        <v>150.0</v>
      </c>
      <c r="J28" s="184" t="s">
        <v>172</v>
      </c>
      <c r="K28" s="184" t="s">
        <v>210</v>
      </c>
      <c r="L28" s="184" t="s">
        <v>174</v>
      </c>
      <c r="M28" s="184">
        <v>80.0</v>
      </c>
      <c r="N28" s="184" t="s">
        <v>182</v>
      </c>
      <c r="O28" s="184" t="s">
        <v>183</v>
      </c>
      <c r="P28" s="184" t="s">
        <v>273</v>
      </c>
      <c r="Q28" s="184">
        <v>220.0</v>
      </c>
      <c r="R28" s="184">
        <v>450.0</v>
      </c>
      <c r="S28" s="186">
        <v>4.0</v>
      </c>
      <c r="T28" s="184">
        <v>6.0</v>
      </c>
    </row>
    <row r="29">
      <c r="A29" s="184" t="s">
        <v>47</v>
      </c>
      <c r="B29" s="184" t="s">
        <v>109</v>
      </c>
      <c r="C29" s="185" t="s">
        <v>260</v>
      </c>
      <c r="D29" s="184">
        <v>112.8</v>
      </c>
      <c r="E29" s="185" t="s">
        <v>270</v>
      </c>
      <c r="F29" s="184" t="s">
        <v>234</v>
      </c>
      <c r="G29" s="184" t="s">
        <v>170</v>
      </c>
      <c r="H29" s="184" t="s">
        <v>171</v>
      </c>
      <c r="I29" s="184">
        <v>150.0</v>
      </c>
      <c r="J29" s="184" t="s">
        <v>195</v>
      </c>
      <c r="K29" s="184" t="s">
        <v>210</v>
      </c>
      <c r="L29" s="184" t="s">
        <v>206</v>
      </c>
      <c r="M29" s="184">
        <v>80.0</v>
      </c>
      <c r="N29" s="184" t="s">
        <v>254</v>
      </c>
      <c r="O29" s="184" t="s">
        <v>183</v>
      </c>
      <c r="P29" s="184" t="s">
        <v>271</v>
      </c>
      <c r="Q29" s="184">
        <v>220.0</v>
      </c>
      <c r="R29" s="184">
        <v>450.0</v>
      </c>
      <c r="S29" s="186">
        <v>3.9893617021276597</v>
      </c>
      <c r="T29" s="184">
        <v>7.0</v>
      </c>
    </row>
    <row r="30">
      <c r="A30" s="184" t="s">
        <v>47</v>
      </c>
      <c r="B30" s="184" t="s">
        <v>109</v>
      </c>
      <c r="C30" s="185" t="s">
        <v>177</v>
      </c>
      <c r="D30" s="184">
        <v>107.8</v>
      </c>
      <c r="E30" s="185" t="s">
        <v>274</v>
      </c>
      <c r="F30" s="184" t="s">
        <v>197</v>
      </c>
      <c r="G30" s="184" t="s">
        <v>186</v>
      </c>
      <c r="H30" s="184" t="s">
        <v>245</v>
      </c>
      <c r="I30" s="184">
        <v>145.0</v>
      </c>
      <c r="J30" s="184" t="s">
        <v>172</v>
      </c>
      <c r="K30" s="184" t="s">
        <v>210</v>
      </c>
      <c r="L30" s="184" t="s">
        <v>174</v>
      </c>
      <c r="M30" s="184">
        <v>80.0</v>
      </c>
      <c r="N30" s="184" t="s">
        <v>151</v>
      </c>
      <c r="O30" s="184" t="s">
        <v>254</v>
      </c>
      <c r="P30" s="184" t="s">
        <v>183</v>
      </c>
      <c r="Q30" s="184">
        <v>220.0</v>
      </c>
      <c r="R30" s="184">
        <v>445.0</v>
      </c>
      <c r="S30" s="186">
        <v>4.128014842300557</v>
      </c>
      <c r="T30" s="184">
        <v>8.0</v>
      </c>
    </row>
    <row r="31">
      <c r="A31" s="184" t="s">
        <v>47</v>
      </c>
      <c r="B31" s="184" t="s">
        <v>109</v>
      </c>
      <c r="C31" s="185" t="s">
        <v>275</v>
      </c>
      <c r="D31" s="184">
        <v>113.1</v>
      </c>
      <c r="E31" s="185" t="s">
        <v>276</v>
      </c>
      <c r="F31" s="184" t="s">
        <v>170</v>
      </c>
      <c r="G31" s="184" t="s">
        <v>171</v>
      </c>
      <c r="H31" s="184" t="s">
        <v>187</v>
      </c>
      <c r="I31" s="184">
        <v>150.0</v>
      </c>
      <c r="J31" s="184" t="s">
        <v>173</v>
      </c>
      <c r="K31" s="184" t="s">
        <v>216</v>
      </c>
      <c r="L31" s="184" t="s">
        <v>207</v>
      </c>
      <c r="M31" s="184">
        <v>95.0</v>
      </c>
      <c r="N31" s="184" t="s">
        <v>151</v>
      </c>
      <c r="O31" s="184" t="s">
        <v>175</v>
      </c>
      <c r="P31" s="184" t="s">
        <v>211</v>
      </c>
      <c r="Q31" s="184">
        <v>195.0</v>
      </c>
      <c r="R31" s="184">
        <v>440.0</v>
      </c>
      <c r="S31" s="186">
        <v>3.8903625110521665</v>
      </c>
      <c r="T31" s="184">
        <v>6.0</v>
      </c>
    </row>
    <row r="32">
      <c r="A32" s="184" t="s">
        <v>47</v>
      </c>
      <c r="B32" s="184" t="s">
        <v>109</v>
      </c>
      <c r="C32" s="185" t="s">
        <v>168</v>
      </c>
      <c r="D32" s="184">
        <v>109.8</v>
      </c>
      <c r="E32" s="185" t="s">
        <v>277</v>
      </c>
      <c r="F32" s="184" t="s">
        <v>193</v>
      </c>
      <c r="G32" s="184" t="s">
        <v>234</v>
      </c>
      <c r="H32" s="184" t="s">
        <v>245</v>
      </c>
      <c r="I32" s="184">
        <v>145.0</v>
      </c>
      <c r="J32" s="184" t="s">
        <v>188</v>
      </c>
      <c r="K32" s="184" t="s">
        <v>195</v>
      </c>
      <c r="L32" s="184" t="s">
        <v>172</v>
      </c>
      <c r="M32" s="184">
        <v>75.0</v>
      </c>
      <c r="N32" s="184" t="s">
        <v>150</v>
      </c>
      <c r="O32" s="184" t="s">
        <v>182</v>
      </c>
      <c r="P32" s="184" t="s">
        <v>191</v>
      </c>
      <c r="Q32" s="184">
        <v>200.0</v>
      </c>
      <c r="R32" s="184">
        <v>420.0</v>
      </c>
      <c r="S32" s="186">
        <v>3.825136612021858</v>
      </c>
      <c r="T32" s="184">
        <v>8.0</v>
      </c>
    </row>
    <row r="33">
      <c r="A33" s="184" t="s">
        <v>47</v>
      </c>
      <c r="B33" s="184" t="s">
        <v>109</v>
      </c>
      <c r="C33" s="185" t="s">
        <v>278</v>
      </c>
      <c r="D33" s="184">
        <v>107.0</v>
      </c>
      <c r="E33" s="185" t="s">
        <v>279</v>
      </c>
      <c r="F33" s="184" t="s">
        <v>170</v>
      </c>
      <c r="G33" s="184" t="s">
        <v>171</v>
      </c>
      <c r="H33" s="184" t="s">
        <v>280</v>
      </c>
      <c r="I33" s="184">
        <v>150.0</v>
      </c>
      <c r="J33" s="184" t="s">
        <v>281</v>
      </c>
      <c r="K33" s="184" t="s">
        <v>195</v>
      </c>
      <c r="L33" s="184" t="s">
        <v>210</v>
      </c>
      <c r="M33" s="184">
        <v>80.0</v>
      </c>
      <c r="N33" s="184" t="s">
        <v>224</v>
      </c>
      <c r="O33" s="184" t="s">
        <v>150</v>
      </c>
      <c r="P33" s="184" t="s">
        <v>151</v>
      </c>
      <c r="Q33" s="184">
        <v>185.0</v>
      </c>
      <c r="R33" s="184">
        <v>415.0</v>
      </c>
      <c r="S33" s="186">
        <v>3.878504672897196</v>
      </c>
      <c r="T33" s="184">
        <v>7.0</v>
      </c>
    </row>
    <row r="34">
      <c r="A34" s="184" t="s">
        <v>47</v>
      </c>
      <c r="B34" s="184" t="s">
        <v>109</v>
      </c>
      <c r="C34" s="185" t="s">
        <v>251</v>
      </c>
      <c r="D34" s="184">
        <v>109.9</v>
      </c>
      <c r="E34" s="185" t="s">
        <v>282</v>
      </c>
      <c r="F34" s="184" t="s">
        <v>193</v>
      </c>
      <c r="G34" s="184" t="s">
        <v>179</v>
      </c>
      <c r="H34" s="184" t="s">
        <v>186</v>
      </c>
      <c r="I34" s="184">
        <v>135.0</v>
      </c>
      <c r="J34" s="184" t="s">
        <v>195</v>
      </c>
      <c r="K34" s="184" t="s">
        <v>172</v>
      </c>
      <c r="L34" s="184" t="s">
        <v>173</v>
      </c>
      <c r="M34" s="184">
        <v>85.0</v>
      </c>
      <c r="N34" s="184" t="s">
        <v>235</v>
      </c>
      <c r="O34" s="184" t="s">
        <v>236</v>
      </c>
      <c r="P34" s="184" t="s">
        <v>175</v>
      </c>
      <c r="Q34" s="184">
        <v>195.0</v>
      </c>
      <c r="R34" s="184">
        <v>415.0</v>
      </c>
      <c r="S34" s="186">
        <v>3.776160145586897</v>
      </c>
      <c r="T34" s="184">
        <v>8.0</v>
      </c>
    </row>
    <row r="35">
      <c r="A35" s="184" t="s">
        <v>47</v>
      </c>
      <c r="B35" s="184" t="s">
        <v>109</v>
      </c>
      <c r="C35" s="185" t="s">
        <v>251</v>
      </c>
      <c r="D35" s="184">
        <v>113.0</v>
      </c>
      <c r="E35" s="185" t="s">
        <v>283</v>
      </c>
      <c r="F35" s="184" t="s">
        <v>193</v>
      </c>
      <c r="G35" s="184" t="s">
        <v>234</v>
      </c>
      <c r="H35" s="184" t="s">
        <v>170</v>
      </c>
      <c r="I35" s="184">
        <v>140.0</v>
      </c>
      <c r="J35" s="184" t="s">
        <v>188</v>
      </c>
      <c r="K35" s="184" t="s">
        <v>244</v>
      </c>
      <c r="L35" s="184" t="s">
        <v>244</v>
      </c>
      <c r="M35" s="184">
        <v>65.0</v>
      </c>
      <c r="N35" s="184" t="s">
        <v>235</v>
      </c>
      <c r="O35" s="184" t="s">
        <v>175</v>
      </c>
      <c r="P35" s="184" t="s">
        <v>211</v>
      </c>
      <c r="Q35" s="184">
        <v>195.0</v>
      </c>
      <c r="R35" s="184">
        <v>400.0</v>
      </c>
      <c r="S35" s="186">
        <v>3.5398230088495577</v>
      </c>
      <c r="T35" s="184">
        <v>6.0</v>
      </c>
    </row>
    <row r="36">
      <c r="A36" s="184" t="s">
        <v>47</v>
      </c>
      <c r="B36" s="184" t="s">
        <v>109</v>
      </c>
      <c r="C36" s="185" t="s">
        <v>240</v>
      </c>
      <c r="D36" s="184">
        <v>109.6</v>
      </c>
      <c r="E36" s="185" t="s">
        <v>284</v>
      </c>
      <c r="F36" s="184" t="s">
        <v>179</v>
      </c>
      <c r="G36" s="184" t="s">
        <v>186</v>
      </c>
      <c r="H36" s="184" t="s">
        <v>245</v>
      </c>
      <c r="I36" s="184">
        <v>145.0</v>
      </c>
      <c r="J36" s="184" t="s">
        <v>223</v>
      </c>
      <c r="K36" s="184" t="s">
        <v>220</v>
      </c>
      <c r="L36" s="184" t="s">
        <v>231</v>
      </c>
      <c r="M36" s="184">
        <v>60.0</v>
      </c>
      <c r="N36" s="184" t="s">
        <v>171</v>
      </c>
      <c r="O36" s="184" t="s">
        <v>203</v>
      </c>
      <c r="P36" s="184" t="s">
        <v>181</v>
      </c>
      <c r="Q36" s="184">
        <v>190.0</v>
      </c>
      <c r="R36" s="184">
        <v>395.0</v>
      </c>
      <c r="S36" s="186">
        <v>3.604014598540146</v>
      </c>
      <c r="T36" s="184">
        <v>8.0</v>
      </c>
    </row>
    <row r="37">
      <c r="A37" s="184" t="s">
        <v>47</v>
      </c>
      <c r="B37" s="184" t="s">
        <v>109</v>
      </c>
      <c r="C37" s="185" t="s">
        <v>285</v>
      </c>
      <c r="D37" s="184">
        <v>111.6</v>
      </c>
      <c r="E37" s="185" t="s">
        <v>286</v>
      </c>
      <c r="F37" s="184" t="s">
        <v>210</v>
      </c>
      <c r="G37" s="184" t="s">
        <v>164</v>
      </c>
      <c r="H37" s="184" t="s">
        <v>179</v>
      </c>
      <c r="I37" s="184">
        <v>125.0</v>
      </c>
      <c r="J37" s="184" t="s">
        <v>220</v>
      </c>
      <c r="K37" s="184" t="s">
        <v>231</v>
      </c>
      <c r="L37" s="184" t="s">
        <v>231</v>
      </c>
      <c r="M37" s="184">
        <v>60.0</v>
      </c>
      <c r="N37" s="184" t="s">
        <v>224</v>
      </c>
      <c r="O37" s="184" t="s">
        <v>181</v>
      </c>
      <c r="P37" s="184" t="s">
        <v>254</v>
      </c>
      <c r="Q37" s="184">
        <v>205.0</v>
      </c>
      <c r="R37" s="184">
        <v>390.0</v>
      </c>
      <c r="S37" s="186">
        <v>3.4946236559139785</v>
      </c>
      <c r="T37" s="184">
        <v>7.0</v>
      </c>
    </row>
    <row r="38">
      <c r="A38" s="184" t="s">
        <v>47</v>
      </c>
      <c r="B38" s="184" t="s">
        <v>109</v>
      </c>
      <c r="C38" s="185" t="s">
        <v>287</v>
      </c>
      <c r="D38" s="184">
        <v>113.3</v>
      </c>
      <c r="E38" s="185" t="s">
        <v>288</v>
      </c>
      <c r="F38" s="184" t="s">
        <v>197</v>
      </c>
      <c r="G38" s="184" t="s">
        <v>198</v>
      </c>
      <c r="H38" s="184" t="s">
        <v>198</v>
      </c>
      <c r="I38" s="184">
        <v>120.0</v>
      </c>
      <c r="J38" s="184" t="s">
        <v>188</v>
      </c>
      <c r="K38" s="184" t="s">
        <v>195</v>
      </c>
      <c r="L38" s="184" t="s">
        <v>244</v>
      </c>
      <c r="M38" s="184">
        <v>70.0</v>
      </c>
      <c r="N38" s="184" t="s">
        <v>181</v>
      </c>
      <c r="O38" s="184" t="s">
        <v>182</v>
      </c>
      <c r="P38" s="184" t="s">
        <v>263</v>
      </c>
      <c r="Q38" s="184">
        <v>200.0</v>
      </c>
      <c r="R38" s="184">
        <v>390.0</v>
      </c>
      <c r="S38" s="186">
        <v>3.442188879082083</v>
      </c>
      <c r="T38" s="184">
        <v>5.0</v>
      </c>
    </row>
    <row r="39">
      <c r="A39" s="184" t="s">
        <v>47</v>
      </c>
      <c r="B39" s="184" t="s">
        <v>109</v>
      </c>
      <c r="C39" s="185" t="s">
        <v>212</v>
      </c>
      <c r="D39" s="184">
        <v>110.4</v>
      </c>
      <c r="E39" s="185" t="s">
        <v>289</v>
      </c>
      <c r="F39" s="184" t="s">
        <v>154</v>
      </c>
      <c r="G39" s="184" t="s">
        <v>179</v>
      </c>
      <c r="H39" s="184" t="s">
        <v>180</v>
      </c>
      <c r="I39" s="184">
        <v>125.0</v>
      </c>
      <c r="J39" s="184" t="s">
        <v>220</v>
      </c>
      <c r="K39" s="184" t="s">
        <v>172</v>
      </c>
      <c r="L39" s="184" t="s">
        <v>206</v>
      </c>
      <c r="M39" s="184">
        <v>75.0</v>
      </c>
      <c r="N39" s="184" t="s">
        <v>161</v>
      </c>
      <c r="O39" s="184" t="s">
        <v>235</v>
      </c>
      <c r="P39" s="184" t="s">
        <v>151</v>
      </c>
      <c r="Q39" s="184">
        <v>185.0</v>
      </c>
      <c r="R39" s="184">
        <v>385.0</v>
      </c>
      <c r="S39" s="186">
        <v>3.48731884057971</v>
      </c>
      <c r="T39" s="184">
        <v>7.0</v>
      </c>
    </row>
    <row r="40">
      <c r="A40" s="184" t="s">
        <v>47</v>
      </c>
      <c r="B40" s="184" t="s">
        <v>109</v>
      </c>
      <c r="C40" s="185" t="s">
        <v>204</v>
      </c>
      <c r="D40" s="184">
        <v>112.3</v>
      </c>
      <c r="E40" s="185" t="s">
        <v>290</v>
      </c>
      <c r="F40" s="184" t="s">
        <v>243</v>
      </c>
      <c r="G40" s="184" t="s">
        <v>179</v>
      </c>
      <c r="H40" s="184" t="s">
        <v>186</v>
      </c>
      <c r="I40" s="184">
        <v>135.0</v>
      </c>
      <c r="J40" s="184" t="s">
        <v>188</v>
      </c>
      <c r="K40" s="184" t="s">
        <v>231</v>
      </c>
      <c r="L40" s="184" t="s">
        <v>195</v>
      </c>
      <c r="M40" s="184">
        <v>70.0</v>
      </c>
      <c r="N40" s="184" t="s">
        <v>202</v>
      </c>
      <c r="O40" s="184" t="s">
        <v>203</v>
      </c>
      <c r="P40" s="184" t="s">
        <v>162</v>
      </c>
      <c r="Q40" s="184">
        <v>170.0</v>
      </c>
      <c r="R40" s="184">
        <v>375.0</v>
      </c>
      <c r="S40" s="186">
        <v>3.3392698130008904</v>
      </c>
      <c r="T40" s="184">
        <v>6.0</v>
      </c>
    </row>
    <row r="41">
      <c r="A41" s="184" t="s">
        <v>47</v>
      </c>
      <c r="B41" s="184" t="s">
        <v>109</v>
      </c>
      <c r="C41" s="185" t="s">
        <v>212</v>
      </c>
      <c r="D41" s="184">
        <v>113.6</v>
      </c>
      <c r="E41" s="185" t="s">
        <v>291</v>
      </c>
      <c r="F41" s="184" t="s">
        <v>197</v>
      </c>
      <c r="G41" s="184" t="s">
        <v>186</v>
      </c>
      <c r="H41" s="184" t="s">
        <v>194</v>
      </c>
      <c r="I41" s="184">
        <v>135.0</v>
      </c>
      <c r="J41" s="184" t="s">
        <v>244</v>
      </c>
      <c r="K41" s="184" t="s">
        <v>174</v>
      </c>
      <c r="L41" s="184" t="s">
        <v>207</v>
      </c>
      <c r="M41" s="184">
        <v>0.0</v>
      </c>
      <c r="N41" s="184" t="s">
        <v>245</v>
      </c>
      <c r="O41" s="184" t="s">
        <v>224</v>
      </c>
      <c r="P41" s="184" t="s">
        <v>151</v>
      </c>
      <c r="Q41" s="184">
        <v>185.0</v>
      </c>
      <c r="R41" s="184">
        <v>0.0</v>
      </c>
      <c r="S41" s="186">
        <v>0.0</v>
      </c>
      <c r="T41" s="184">
        <v>5.0</v>
      </c>
    </row>
    <row r="42">
      <c r="A42" s="184" t="s">
        <v>51</v>
      </c>
      <c r="B42" s="184" t="s">
        <v>109</v>
      </c>
      <c r="C42" s="185" t="s">
        <v>168</v>
      </c>
      <c r="D42" s="184">
        <v>118.8</v>
      </c>
      <c r="E42" s="185" t="s">
        <v>292</v>
      </c>
      <c r="F42" s="184" t="s">
        <v>175</v>
      </c>
      <c r="G42" s="184" t="s">
        <v>254</v>
      </c>
      <c r="H42" s="184" t="s">
        <v>263</v>
      </c>
      <c r="I42" s="184">
        <v>205.0</v>
      </c>
      <c r="J42" s="184" t="s">
        <v>216</v>
      </c>
      <c r="K42" s="184" t="s">
        <v>153</v>
      </c>
      <c r="L42" s="184" t="s">
        <v>154</v>
      </c>
      <c r="M42" s="184">
        <v>110.0</v>
      </c>
      <c r="N42" s="184" t="s">
        <v>156</v>
      </c>
      <c r="O42" s="184" t="s">
        <v>176</v>
      </c>
      <c r="P42" s="184" t="s">
        <v>293</v>
      </c>
      <c r="Q42" s="184">
        <v>265.0</v>
      </c>
      <c r="R42" s="184">
        <v>580.0</v>
      </c>
      <c r="S42" s="186">
        <v>4.882154882154882</v>
      </c>
      <c r="T42" s="184">
        <v>8.0</v>
      </c>
    </row>
    <row r="43">
      <c r="A43" s="184" t="s">
        <v>51</v>
      </c>
      <c r="B43" s="184" t="s">
        <v>109</v>
      </c>
      <c r="C43" s="185" t="s">
        <v>168</v>
      </c>
      <c r="D43" s="184">
        <v>115.3</v>
      </c>
      <c r="E43" s="185" t="s">
        <v>296</v>
      </c>
      <c r="F43" s="184" t="s">
        <v>151</v>
      </c>
      <c r="G43" s="184" t="s">
        <v>236</v>
      </c>
      <c r="H43" s="184" t="s">
        <v>208</v>
      </c>
      <c r="I43" s="184">
        <v>185.0</v>
      </c>
      <c r="J43" s="184" t="s">
        <v>173</v>
      </c>
      <c r="K43" s="184" t="s">
        <v>216</v>
      </c>
      <c r="L43" s="184" t="s">
        <v>207</v>
      </c>
      <c r="M43" s="184">
        <v>95.0</v>
      </c>
      <c r="N43" s="184" t="s">
        <v>156</v>
      </c>
      <c r="O43" s="184" t="s">
        <v>293</v>
      </c>
      <c r="P43" s="184" t="s">
        <v>297</v>
      </c>
      <c r="Q43" s="184">
        <v>265.0</v>
      </c>
      <c r="R43" s="184">
        <v>545.0</v>
      </c>
      <c r="S43" s="186">
        <v>4.726799653078925</v>
      </c>
      <c r="T43" s="184">
        <v>5.0</v>
      </c>
    </row>
    <row r="44">
      <c r="A44" s="184" t="s">
        <v>51</v>
      </c>
      <c r="B44" s="184" t="s">
        <v>109</v>
      </c>
      <c r="C44" s="185" t="s">
        <v>212</v>
      </c>
      <c r="D44" s="184">
        <v>120.6</v>
      </c>
      <c r="E44" s="185" t="s">
        <v>294</v>
      </c>
      <c r="F44" s="184" t="s">
        <v>151</v>
      </c>
      <c r="G44" s="184" t="s">
        <v>254</v>
      </c>
      <c r="H44" s="184" t="s">
        <v>263</v>
      </c>
      <c r="I44" s="184">
        <v>205.0</v>
      </c>
      <c r="J44" s="184" t="s">
        <v>227</v>
      </c>
      <c r="K44" s="184" t="s">
        <v>193</v>
      </c>
      <c r="L44" s="184" t="s">
        <v>243</v>
      </c>
      <c r="M44" s="184">
        <v>115.0</v>
      </c>
      <c r="N44" s="184" t="s">
        <v>190</v>
      </c>
      <c r="O44" s="184" t="s">
        <v>156</v>
      </c>
      <c r="P44" s="184" t="s">
        <v>295</v>
      </c>
      <c r="Q44" s="184">
        <v>225.0</v>
      </c>
      <c r="R44" s="184">
        <v>545.0</v>
      </c>
      <c r="S44" s="186">
        <v>4.519071310116087</v>
      </c>
      <c r="T44" s="184">
        <v>5.0</v>
      </c>
    </row>
    <row r="45">
      <c r="A45" s="184" t="s">
        <v>51</v>
      </c>
      <c r="B45" s="184" t="s">
        <v>109</v>
      </c>
      <c r="C45" s="185" t="s">
        <v>240</v>
      </c>
      <c r="D45" s="184">
        <v>119.6</v>
      </c>
      <c r="E45" s="185" t="s">
        <v>298</v>
      </c>
      <c r="F45" s="184" t="s">
        <v>203</v>
      </c>
      <c r="G45" s="184" t="s">
        <v>235</v>
      </c>
      <c r="H45" s="184" t="s">
        <v>181</v>
      </c>
      <c r="I45" s="184">
        <v>190.0</v>
      </c>
      <c r="J45" s="184" t="s">
        <v>163</v>
      </c>
      <c r="K45" s="184" t="s">
        <v>164</v>
      </c>
      <c r="L45" s="184" t="s">
        <v>153</v>
      </c>
      <c r="M45" s="184">
        <v>105.0</v>
      </c>
      <c r="N45" s="184" t="s">
        <v>175</v>
      </c>
      <c r="O45" s="184" t="s">
        <v>183</v>
      </c>
      <c r="P45" s="184" t="s">
        <v>167</v>
      </c>
      <c r="Q45" s="184">
        <v>235.0</v>
      </c>
      <c r="R45" s="184">
        <v>530.0</v>
      </c>
      <c r="S45" s="186">
        <v>4.431438127090301</v>
      </c>
      <c r="T45" s="184">
        <v>9.0</v>
      </c>
    </row>
    <row r="46">
      <c r="A46" s="184" t="s">
        <v>51</v>
      </c>
      <c r="B46" s="184" t="s">
        <v>109</v>
      </c>
      <c r="C46" s="185" t="s">
        <v>260</v>
      </c>
      <c r="D46" s="184">
        <v>120.4</v>
      </c>
      <c r="E46" s="185" t="s">
        <v>299</v>
      </c>
      <c r="F46" s="184" t="s">
        <v>150</v>
      </c>
      <c r="G46" s="184" t="s">
        <v>151</v>
      </c>
      <c r="H46" s="184" t="s">
        <v>175</v>
      </c>
      <c r="I46" s="184">
        <v>195.0</v>
      </c>
      <c r="J46" s="184" t="s">
        <v>163</v>
      </c>
      <c r="K46" s="184" t="s">
        <v>216</v>
      </c>
      <c r="L46" s="184" t="s">
        <v>207</v>
      </c>
      <c r="M46" s="184">
        <v>95.0</v>
      </c>
      <c r="N46" s="184" t="s">
        <v>190</v>
      </c>
      <c r="O46" s="184" t="s">
        <v>156</v>
      </c>
      <c r="P46" s="184" t="s">
        <v>167</v>
      </c>
      <c r="Q46" s="184">
        <v>235.0</v>
      </c>
      <c r="R46" s="184">
        <v>525.0</v>
      </c>
      <c r="S46" s="186">
        <v>4.3604651162790695</v>
      </c>
      <c r="T46" s="184">
        <v>8.0</v>
      </c>
    </row>
    <row r="47">
      <c r="A47" s="184" t="s">
        <v>51</v>
      </c>
      <c r="B47" s="184" t="s">
        <v>109</v>
      </c>
      <c r="C47" s="185" t="s">
        <v>221</v>
      </c>
      <c r="D47" s="184">
        <v>122.4</v>
      </c>
      <c r="E47" s="185" t="s">
        <v>300</v>
      </c>
      <c r="F47" s="184" t="s">
        <v>151</v>
      </c>
      <c r="G47" s="184" t="s">
        <v>182</v>
      </c>
      <c r="H47" s="184" t="s">
        <v>301</v>
      </c>
      <c r="I47" s="184">
        <v>200.0</v>
      </c>
      <c r="J47" s="184" t="s">
        <v>216</v>
      </c>
      <c r="K47" s="184" t="s">
        <v>153</v>
      </c>
      <c r="L47" s="184" t="s">
        <v>165</v>
      </c>
      <c r="M47" s="184">
        <v>105.0</v>
      </c>
      <c r="N47" s="184" t="s">
        <v>151</v>
      </c>
      <c r="O47" s="184" t="s">
        <v>182</v>
      </c>
      <c r="P47" s="184" t="s">
        <v>190</v>
      </c>
      <c r="Q47" s="184">
        <v>215.0</v>
      </c>
      <c r="R47" s="184">
        <v>520.0</v>
      </c>
      <c r="S47" s="186">
        <v>4.248366013071895</v>
      </c>
      <c r="T47" s="184">
        <v>7.0</v>
      </c>
    </row>
    <row r="48">
      <c r="A48" s="184" t="s">
        <v>51</v>
      </c>
      <c r="B48" s="184" t="s">
        <v>109</v>
      </c>
      <c r="C48" s="185" t="s">
        <v>264</v>
      </c>
      <c r="D48" s="184">
        <v>120.8</v>
      </c>
      <c r="E48" s="185" t="s">
        <v>302</v>
      </c>
      <c r="F48" s="184" t="s">
        <v>201</v>
      </c>
      <c r="G48" s="184" t="s">
        <v>224</v>
      </c>
      <c r="H48" s="184" t="s">
        <v>151</v>
      </c>
      <c r="I48" s="184">
        <v>185.0</v>
      </c>
      <c r="J48" s="184" t="s">
        <v>216</v>
      </c>
      <c r="K48" s="184" t="s">
        <v>262</v>
      </c>
      <c r="L48" s="184" t="s">
        <v>262</v>
      </c>
      <c r="M48" s="184">
        <v>95.0</v>
      </c>
      <c r="N48" s="184" t="s">
        <v>175</v>
      </c>
      <c r="O48" s="184" t="s">
        <v>156</v>
      </c>
      <c r="P48" s="184" t="s">
        <v>167</v>
      </c>
      <c r="Q48" s="184">
        <v>235.0</v>
      </c>
      <c r="R48" s="184">
        <v>515.0</v>
      </c>
      <c r="S48" s="186">
        <v>4.263245033112583</v>
      </c>
      <c r="T48" s="184">
        <v>6.0</v>
      </c>
    </row>
    <row r="49">
      <c r="A49" s="184" t="s">
        <v>51</v>
      </c>
      <c r="B49" s="184" t="s">
        <v>109</v>
      </c>
      <c r="C49" s="185" t="s">
        <v>303</v>
      </c>
      <c r="D49" s="184">
        <v>121.0</v>
      </c>
      <c r="E49" s="185" t="s">
        <v>304</v>
      </c>
      <c r="F49" s="184" t="s">
        <v>203</v>
      </c>
      <c r="G49" s="184" t="s">
        <v>151</v>
      </c>
      <c r="H49" s="184" t="s">
        <v>211</v>
      </c>
      <c r="I49" s="184">
        <v>185.0</v>
      </c>
      <c r="J49" s="184" t="s">
        <v>172</v>
      </c>
      <c r="K49" s="184" t="s">
        <v>173</v>
      </c>
      <c r="L49" s="184" t="s">
        <v>163</v>
      </c>
      <c r="M49" s="184">
        <v>90.0</v>
      </c>
      <c r="N49" s="184" t="s">
        <v>166</v>
      </c>
      <c r="O49" s="184" t="s">
        <v>183</v>
      </c>
      <c r="P49" s="184" t="s">
        <v>167</v>
      </c>
      <c r="Q49" s="184">
        <v>235.0</v>
      </c>
      <c r="R49" s="184">
        <v>510.0</v>
      </c>
      <c r="S49" s="186">
        <v>4.214876033057851</v>
      </c>
      <c r="T49" s="184">
        <v>8.0</v>
      </c>
    </row>
    <row r="50">
      <c r="A50" s="184" t="s">
        <v>51</v>
      </c>
      <c r="B50" s="184" t="s">
        <v>109</v>
      </c>
      <c r="C50" s="185" t="s">
        <v>214</v>
      </c>
      <c r="D50" s="184">
        <v>119.2</v>
      </c>
      <c r="E50" s="185" t="s">
        <v>305</v>
      </c>
      <c r="F50" s="184" t="s">
        <v>202</v>
      </c>
      <c r="G50" s="184" t="s">
        <v>151</v>
      </c>
      <c r="H50" s="184" t="s">
        <v>175</v>
      </c>
      <c r="I50" s="184">
        <v>195.0</v>
      </c>
      <c r="J50" s="184" t="s">
        <v>172</v>
      </c>
      <c r="K50" s="184" t="s">
        <v>173</v>
      </c>
      <c r="L50" s="184" t="s">
        <v>174</v>
      </c>
      <c r="M50" s="184">
        <v>85.0</v>
      </c>
      <c r="N50" s="184" t="s">
        <v>175</v>
      </c>
      <c r="O50" s="184" t="s">
        <v>190</v>
      </c>
      <c r="P50" s="184" t="s">
        <v>191</v>
      </c>
      <c r="Q50" s="184">
        <v>215.0</v>
      </c>
      <c r="R50" s="184">
        <v>495.0</v>
      </c>
      <c r="S50" s="186">
        <v>4.152684563758389</v>
      </c>
      <c r="T50" s="184">
        <v>7.0</v>
      </c>
    </row>
    <row r="51">
      <c r="A51" s="184" t="s">
        <v>51</v>
      </c>
      <c r="B51" s="184" t="s">
        <v>109</v>
      </c>
      <c r="C51" s="185" t="s">
        <v>212</v>
      </c>
      <c r="D51" s="184">
        <v>119.9</v>
      </c>
      <c r="E51" s="185" t="s">
        <v>307</v>
      </c>
      <c r="F51" s="184" t="s">
        <v>170</v>
      </c>
      <c r="G51" s="184" t="s">
        <v>202</v>
      </c>
      <c r="H51" s="184" t="s">
        <v>225</v>
      </c>
      <c r="I51" s="184">
        <v>155.0</v>
      </c>
      <c r="J51" s="184" t="s">
        <v>172</v>
      </c>
      <c r="K51" s="184" t="s">
        <v>173</v>
      </c>
      <c r="L51" s="184" t="s">
        <v>174</v>
      </c>
      <c r="M51" s="184">
        <v>85.0</v>
      </c>
      <c r="N51" s="184" t="s">
        <v>151</v>
      </c>
      <c r="O51" s="184" t="s">
        <v>182</v>
      </c>
      <c r="P51" s="184" t="s">
        <v>308</v>
      </c>
      <c r="Q51" s="184">
        <v>230.0</v>
      </c>
      <c r="R51" s="184">
        <v>470.0</v>
      </c>
      <c r="S51" s="186">
        <v>3.9199332777314426</v>
      </c>
      <c r="T51" s="184">
        <v>7.0</v>
      </c>
    </row>
    <row r="52">
      <c r="A52" s="184" t="s">
        <v>51</v>
      </c>
      <c r="B52" s="184" t="s">
        <v>109</v>
      </c>
      <c r="C52" s="185" t="s">
        <v>221</v>
      </c>
      <c r="D52" s="184">
        <v>120.2</v>
      </c>
      <c r="E52" s="185" t="s">
        <v>306</v>
      </c>
      <c r="F52" s="184" t="s">
        <v>170</v>
      </c>
      <c r="G52" s="184" t="s">
        <v>202</v>
      </c>
      <c r="H52" s="184" t="s">
        <v>224</v>
      </c>
      <c r="I52" s="184">
        <v>165.0</v>
      </c>
      <c r="J52" s="184" t="s">
        <v>195</v>
      </c>
      <c r="K52" s="184" t="s">
        <v>210</v>
      </c>
      <c r="L52" s="184" t="s">
        <v>206</v>
      </c>
      <c r="M52" s="184">
        <v>80.0</v>
      </c>
      <c r="N52" s="184" t="s">
        <v>181</v>
      </c>
      <c r="O52" s="184" t="s">
        <v>254</v>
      </c>
      <c r="P52" s="184" t="s">
        <v>156</v>
      </c>
      <c r="Q52" s="184">
        <v>225.0</v>
      </c>
      <c r="R52" s="184">
        <v>470.0</v>
      </c>
      <c r="S52" s="186">
        <v>3.9101497504159735</v>
      </c>
      <c r="T52" s="184">
        <v>8.0</v>
      </c>
    </row>
    <row r="53">
      <c r="A53" s="184" t="s">
        <v>51</v>
      </c>
      <c r="B53" s="184" t="s">
        <v>109</v>
      </c>
      <c r="C53" s="185" t="s">
        <v>204</v>
      </c>
      <c r="D53" s="184">
        <v>122.6</v>
      </c>
      <c r="E53" s="185" t="s">
        <v>309</v>
      </c>
      <c r="F53" s="184" t="s">
        <v>186</v>
      </c>
      <c r="G53" s="184" t="s">
        <v>187</v>
      </c>
      <c r="H53" s="184" t="s">
        <v>187</v>
      </c>
      <c r="I53" s="184">
        <v>135.0</v>
      </c>
      <c r="J53" s="184" t="s">
        <v>172</v>
      </c>
      <c r="K53" s="184" t="s">
        <v>163</v>
      </c>
      <c r="L53" s="184" t="s">
        <v>207</v>
      </c>
      <c r="M53" s="184">
        <v>90.0</v>
      </c>
      <c r="N53" s="184" t="s">
        <v>190</v>
      </c>
      <c r="O53" s="184" t="s">
        <v>308</v>
      </c>
      <c r="P53" s="184" t="s">
        <v>255</v>
      </c>
      <c r="Q53" s="184">
        <v>245.0</v>
      </c>
      <c r="R53" s="184">
        <v>470.0</v>
      </c>
      <c r="S53" s="186">
        <v>3.8336052202283852</v>
      </c>
      <c r="T53" s="184">
        <v>6.0</v>
      </c>
    </row>
    <row r="54">
      <c r="A54" s="184" t="s">
        <v>51</v>
      </c>
      <c r="B54" s="184" t="s">
        <v>109</v>
      </c>
      <c r="C54" s="185" t="s">
        <v>275</v>
      </c>
      <c r="D54" s="184">
        <v>120.6</v>
      </c>
      <c r="E54" s="185" t="s">
        <v>310</v>
      </c>
      <c r="F54" s="184" t="s">
        <v>245</v>
      </c>
      <c r="G54" s="184" t="s">
        <v>202</v>
      </c>
      <c r="H54" s="184" t="s">
        <v>224</v>
      </c>
      <c r="I54" s="184">
        <v>165.0</v>
      </c>
      <c r="J54" s="184" t="s">
        <v>173</v>
      </c>
      <c r="K54" s="184" t="s">
        <v>216</v>
      </c>
      <c r="L54" s="184" t="s">
        <v>262</v>
      </c>
      <c r="M54" s="184">
        <v>95.0</v>
      </c>
      <c r="N54" s="184" t="s">
        <v>224</v>
      </c>
      <c r="O54" s="184" t="s">
        <v>150</v>
      </c>
      <c r="P54" s="184" t="s">
        <v>181</v>
      </c>
      <c r="Q54" s="184">
        <v>190.0</v>
      </c>
      <c r="R54" s="184">
        <v>450.0</v>
      </c>
      <c r="S54" s="186">
        <v>3.7313432835820897</v>
      </c>
      <c r="T54" s="184">
        <v>8.0</v>
      </c>
    </row>
    <row r="55">
      <c r="A55" s="184" t="s">
        <v>51</v>
      </c>
      <c r="B55" s="184" t="s">
        <v>109</v>
      </c>
      <c r="C55" s="185" t="s">
        <v>212</v>
      </c>
      <c r="D55" s="184">
        <v>121.3</v>
      </c>
      <c r="E55" s="185" t="s">
        <v>311</v>
      </c>
      <c r="F55" s="184" t="s">
        <v>245</v>
      </c>
      <c r="G55" s="184" t="s">
        <v>161</v>
      </c>
      <c r="H55" s="184" t="s">
        <v>266</v>
      </c>
      <c r="I55" s="184">
        <v>160.0</v>
      </c>
      <c r="J55" s="184" t="s">
        <v>217</v>
      </c>
      <c r="K55" s="184" t="s">
        <v>188</v>
      </c>
      <c r="L55" s="184" t="s">
        <v>172</v>
      </c>
      <c r="M55" s="184">
        <v>75.0</v>
      </c>
      <c r="N55" s="184" t="s">
        <v>150</v>
      </c>
      <c r="O55" s="184" t="s">
        <v>151</v>
      </c>
      <c r="P55" s="184" t="s">
        <v>211</v>
      </c>
      <c r="Q55" s="184">
        <v>185.0</v>
      </c>
      <c r="R55" s="184">
        <v>420.0</v>
      </c>
      <c r="S55" s="186">
        <v>3.462489694971146</v>
      </c>
      <c r="T55" s="184">
        <v>7.0</v>
      </c>
    </row>
    <row r="56">
      <c r="A56" s="184" t="s">
        <v>51</v>
      </c>
      <c r="B56" s="184" t="s">
        <v>109</v>
      </c>
      <c r="C56" s="185" t="s">
        <v>251</v>
      </c>
      <c r="D56" s="184">
        <v>121.5</v>
      </c>
      <c r="E56" s="185" t="s">
        <v>312</v>
      </c>
      <c r="F56" s="184" t="s">
        <v>198</v>
      </c>
      <c r="G56" s="184" t="s">
        <v>234</v>
      </c>
      <c r="H56" s="184" t="s">
        <v>245</v>
      </c>
      <c r="I56" s="184">
        <v>145.0</v>
      </c>
      <c r="J56" s="184" t="s">
        <v>173</v>
      </c>
      <c r="K56" s="184" t="s">
        <v>174</v>
      </c>
      <c r="L56" s="184" t="s">
        <v>174</v>
      </c>
      <c r="M56" s="184">
        <v>85.0</v>
      </c>
      <c r="N56" s="184" t="s">
        <v>203</v>
      </c>
      <c r="O56" s="184" t="s">
        <v>181</v>
      </c>
      <c r="P56" s="184" t="s">
        <v>301</v>
      </c>
      <c r="Q56" s="184">
        <v>190.0</v>
      </c>
      <c r="R56" s="184">
        <v>420.0</v>
      </c>
      <c r="S56" s="186">
        <v>3.45679012345679</v>
      </c>
      <c r="T56" s="184">
        <v>5.0</v>
      </c>
    </row>
    <row r="57">
      <c r="A57" s="184" t="s">
        <v>51</v>
      </c>
      <c r="B57" s="184" t="s">
        <v>109</v>
      </c>
      <c r="C57" s="185" t="s">
        <v>184</v>
      </c>
      <c r="D57" s="184">
        <v>121.2</v>
      </c>
      <c r="E57" s="185" t="s">
        <v>313</v>
      </c>
      <c r="F57" s="184" t="s">
        <v>179</v>
      </c>
      <c r="G57" s="184" t="s">
        <v>180</v>
      </c>
      <c r="H57" s="184" t="s">
        <v>186</v>
      </c>
      <c r="I57" s="184">
        <v>135.0</v>
      </c>
      <c r="J57" s="184" t="s">
        <v>195</v>
      </c>
      <c r="K57" s="184" t="s">
        <v>172</v>
      </c>
      <c r="L57" s="184" t="s">
        <v>189</v>
      </c>
      <c r="M57" s="184">
        <v>75.0</v>
      </c>
      <c r="N57" s="184" t="s">
        <v>151</v>
      </c>
      <c r="O57" s="184" t="s">
        <v>211</v>
      </c>
      <c r="P57" s="184" t="s">
        <v>182</v>
      </c>
      <c r="Q57" s="184">
        <v>200.0</v>
      </c>
      <c r="R57" s="184">
        <v>410.0</v>
      </c>
      <c r="S57" s="186">
        <v>3.3828382838283826</v>
      </c>
      <c r="T57" s="184">
        <v>6.0</v>
      </c>
    </row>
    <row r="58">
      <c r="A58" s="184" t="s">
        <v>51</v>
      </c>
      <c r="B58" s="184" t="s">
        <v>109</v>
      </c>
      <c r="C58" s="185" t="s">
        <v>212</v>
      </c>
      <c r="D58" s="184">
        <v>118.9</v>
      </c>
      <c r="E58" s="185" t="s">
        <v>315</v>
      </c>
      <c r="F58" s="184" t="s">
        <v>186</v>
      </c>
      <c r="G58" s="184" t="s">
        <v>316</v>
      </c>
      <c r="H58" s="184" t="s">
        <v>245</v>
      </c>
      <c r="I58" s="184">
        <v>145.0</v>
      </c>
      <c r="J58" s="184" t="s">
        <v>195</v>
      </c>
      <c r="K58" s="184" t="s">
        <v>210</v>
      </c>
      <c r="L58" s="184" t="s">
        <v>206</v>
      </c>
      <c r="M58" s="184">
        <v>80.0</v>
      </c>
      <c r="N58" s="184" t="s">
        <v>203</v>
      </c>
      <c r="O58" s="184" t="s">
        <v>235</v>
      </c>
      <c r="P58" s="184" t="s">
        <v>232</v>
      </c>
      <c r="Q58" s="184">
        <v>180.0</v>
      </c>
      <c r="R58" s="184">
        <v>405.0</v>
      </c>
      <c r="S58" s="186">
        <v>3.4062237174095875</v>
      </c>
      <c r="T58" s="184">
        <v>6.0</v>
      </c>
    </row>
    <row r="59">
      <c r="A59" s="184" t="s">
        <v>51</v>
      </c>
      <c r="B59" s="184" t="s">
        <v>109</v>
      </c>
      <c r="C59" s="185" t="s">
        <v>285</v>
      </c>
      <c r="D59" s="184">
        <v>119.8</v>
      </c>
      <c r="E59" s="185" t="s">
        <v>317</v>
      </c>
      <c r="F59" s="184" t="s">
        <v>216</v>
      </c>
      <c r="G59" s="184" t="s">
        <v>193</v>
      </c>
      <c r="H59" s="184" t="s">
        <v>316</v>
      </c>
      <c r="I59" s="184">
        <v>115.0</v>
      </c>
      <c r="J59" s="184" t="s">
        <v>195</v>
      </c>
      <c r="K59" s="184" t="s">
        <v>244</v>
      </c>
      <c r="L59" s="184" t="s">
        <v>244</v>
      </c>
      <c r="M59" s="184">
        <v>70.0</v>
      </c>
      <c r="N59" s="184" t="s">
        <v>224</v>
      </c>
      <c r="O59" s="184" t="s">
        <v>175</v>
      </c>
      <c r="P59" s="184" t="s">
        <v>183</v>
      </c>
      <c r="Q59" s="184">
        <v>220.0</v>
      </c>
      <c r="R59" s="184">
        <v>405.0</v>
      </c>
      <c r="S59" s="186">
        <v>3.3806343906510854</v>
      </c>
      <c r="T59" s="184">
        <v>6.0</v>
      </c>
    </row>
    <row r="60">
      <c r="A60" s="184" t="s">
        <v>51</v>
      </c>
      <c r="B60" s="184" t="s">
        <v>109</v>
      </c>
      <c r="C60" s="185" t="s">
        <v>268</v>
      </c>
      <c r="D60" s="184">
        <v>121.4</v>
      </c>
      <c r="E60" s="185" t="s">
        <v>314</v>
      </c>
      <c r="F60" s="184" t="s">
        <v>234</v>
      </c>
      <c r="G60" s="184" t="s">
        <v>170</v>
      </c>
      <c r="H60" s="184" t="s">
        <v>239</v>
      </c>
      <c r="I60" s="184">
        <v>140.0</v>
      </c>
      <c r="J60" s="184" t="s">
        <v>163</v>
      </c>
      <c r="K60" s="184" t="s">
        <v>216</v>
      </c>
      <c r="L60" s="184" t="s">
        <v>207</v>
      </c>
      <c r="M60" s="184">
        <v>95.0</v>
      </c>
      <c r="N60" s="184" t="s">
        <v>170</v>
      </c>
      <c r="O60" s="184" t="s">
        <v>202</v>
      </c>
      <c r="P60" s="184" t="s">
        <v>203</v>
      </c>
      <c r="Q60" s="184">
        <v>170.0</v>
      </c>
      <c r="R60" s="184">
        <v>405.0</v>
      </c>
      <c r="S60" s="186">
        <v>3.3360790774299836</v>
      </c>
      <c r="T60" s="184">
        <v>7.0</v>
      </c>
    </row>
    <row r="61">
      <c r="A61" s="184" t="s">
        <v>51</v>
      </c>
      <c r="B61" s="184" t="s">
        <v>109</v>
      </c>
      <c r="C61" s="185" t="s">
        <v>204</v>
      </c>
      <c r="D61" s="184">
        <v>121.4</v>
      </c>
      <c r="E61" s="185" t="s">
        <v>318</v>
      </c>
      <c r="F61" s="184" t="s">
        <v>179</v>
      </c>
      <c r="G61" s="184" t="s">
        <v>180</v>
      </c>
      <c r="H61" s="184" t="s">
        <v>180</v>
      </c>
      <c r="I61" s="184">
        <v>125.0</v>
      </c>
      <c r="J61" s="184" t="s">
        <v>188</v>
      </c>
      <c r="K61" s="184" t="s">
        <v>172</v>
      </c>
      <c r="L61" s="184" t="s">
        <v>189</v>
      </c>
      <c r="M61" s="184">
        <v>75.0</v>
      </c>
      <c r="N61" s="184" t="s">
        <v>150</v>
      </c>
      <c r="O61" s="184" t="s">
        <v>175</v>
      </c>
      <c r="P61" s="184" t="s">
        <v>208</v>
      </c>
      <c r="Q61" s="184">
        <v>195.0</v>
      </c>
      <c r="R61" s="184">
        <v>395.0</v>
      </c>
      <c r="S61" s="186">
        <v>3.2537067545304774</v>
      </c>
      <c r="T61" s="184">
        <v>5.0</v>
      </c>
    </row>
    <row r="62">
      <c r="A62" s="184" t="s">
        <v>51</v>
      </c>
      <c r="B62" s="184" t="s">
        <v>109</v>
      </c>
      <c r="C62" s="185" t="s">
        <v>214</v>
      </c>
      <c r="D62" s="184">
        <v>118.7</v>
      </c>
      <c r="E62" s="185" t="s">
        <v>319</v>
      </c>
      <c r="F62" s="184" t="s">
        <v>165</v>
      </c>
      <c r="G62" s="184" t="s">
        <v>155</v>
      </c>
      <c r="H62" s="184" t="s">
        <v>197</v>
      </c>
      <c r="I62" s="184">
        <v>120.0</v>
      </c>
      <c r="J62" s="184" t="s">
        <v>188</v>
      </c>
      <c r="K62" s="184" t="s">
        <v>189</v>
      </c>
      <c r="L62" s="184" t="s">
        <v>189</v>
      </c>
      <c r="M62" s="184">
        <v>65.0</v>
      </c>
      <c r="N62" s="184" t="s">
        <v>203</v>
      </c>
      <c r="O62" s="184" t="s">
        <v>254</v>
      </c>
      <c r="P62" s="184" t="s">
        <v>320</v>
      </c>
      <c r="Q62" s="184">
        <v>205.0</v>
      </c>
      <c r="R62" s="184">
        <v>390.0</v>
      </c>
      <c r="S62" s="186">
        <v>3.285593934288121</v>
      </c>
      <c r="T62" s="184">
        <v>4.0</v>
      </c>
    </row>
    <row r="63">
      <c r="A63" s="184" t="s">
        <v>51</v>
      </c>
      <c r="B63" s="184" t="s">
        <v>109</v>
      </c>
      <c r="C63" s="185" t="s">
        <v>321</v>
      </c>
      <c r="D63" s="184">
        <v>119.5</v>
      </c>
      <c r="E63" s="185" t="s">
        <v>322</v>
      </c>
      <c r="F63" s="184" t="s">
        <v>187</v>
      </c>
      <c r="G63" s="184" t="s">
        <v>187</v>
      </c>
      <c r="H63" s="184" t="s">
        <v>187</v>
      </c>
      <c r="I63" s="184">
        <v>0.0</v>
      </c>
      <c r="J63" s="184" t="s">
        <v>188</v>
      </c>
      <c r="K63" s="184" t="s">
        <v>172</v>
      </c>
      <c r="L63" s="184" t="s">
        <v>206</v>
      </c>
      <c r="M63" s="184">
        <v>75.0</v>
      </c>
      <c r="N63" s="184" t="s">
        <v>203</v>
      </c>
      <c r="O63" s="184" t="s">
        <v>225</v>
      </c>
      <c r="P63" s="184" t="s">
        <v>225</v>
      </c>
      <c r="Q63" s="184">
        <v>170.0</v>
      </c>
      <c r="R63" s="184">
        <v>0.0</v>
      </c>
      <c r="S63" s="186">
        <v>0.0</v>
      </c>
      <c r="T63" s="184">
        <v>3.0</v>
      </c>
    </row>
    <row r="64">
      <c r="A64" s="184" t="s">
        <v>57</v>
      </c>
      <c r="B64" s="184" t="s">
        <v>109</v>
      </c>
      <c r="C64" s="185" t="s">
        <v>168</v>
      </c>
      <c r="D64" s="184">
        <v>130.8</v>
      </c>
      <c r="E64" s="185" t="s">
        <v>323</v>
      </c>
      <c r="F64" s="184" t="s">
        <v>175</v>
      </c>
      <c r="G64" s="184" t="s">
        <v>254</v>
      </c>
      <c r="H64" s="184" t="s">
        <v>263</v>
      </c>
      <c r="I64" s="184">
        <v>205.0</v>
      </c>
      <c r="J64" s="184" t="s">
        <v>216</v>
      </c>
      <c r="K64" s="184" t="s">
        <v>153</v>
      </c>
      <c r="L64" s="184" t="s">
        <v>154</v>
      </c>
      <c r="M64" s="184">
        <v>110.0</v>
      </c>
      <c r="N64" s="184" t="s">
        <v>156</v>
      </c>
      <c r="O64" s="184" t="s">
        <v>324</v>
      </c>
      <c r="P64" s="184" t="s">
        <v>325</v>
      </c>
      <c r="Q64" s="184">
        <v>275.0</v>
      </c>
      <c r="R64" s="184">
        <v>590.0</v>
      </c>
      <c r="S64" s="186">
        <v>4.510703363914373</v>
      </c>
      <c r="T64" s="184">
        <v>8.0</v>
      </c>
    </row>
    <row r="65">
      <c r="A65" s="184" t="s">
        <v>57</v>
      </c>
      <c r="B65" s="184" t="s">
        <v>109</v>
      </c>
      <c r="C65" s="185" t="s">
        <v>326</v>
      </c>
      <c r="D65" s="184">
        <v>128.1</v>
      </c>
      <c r="E65" s="185" t="s">
        <v>327</v>
      </c>
      <c r="F65" s="184" t="s">
        <v>232</v>
      </c>
      <c r="G65" s="184" t="s">
        <v>235</v>
      </c>
      <c r="H65" s="184" t="s">
        <v>182</v>
      </c>
      <c r="I65" s="184">
        <v>200.0</v>
      </c>
      <c r="J65" s="184" t="s">
        <v>163</v>
      </c>
      <c r="K65" s="184" t="s">
        <v>216</v>
      </c>
      <c r="L65" s="184" t="s">
        <v>153</v>
      </c>
      <c r="M65" s="184">
        <v>105.0</v>
      </c>
      <c r="N65" s="184" t="s">
        <v>176</v>
      </c>
      <c r="O65" s="184" t="s">
        <v>328</v>
      </c>
      <c r="P65" s="184" t="s">
        <v>329</v>
      </c>
      <c r="Q65" s="184">
        <v>270.0</v>
      </c>
      <c r="R65" s="184">
        <v>575.0</v>
      </c>
      <c r="S65" s="186">
        <v>4.488680718188915</v>
      </c>
      <c r="T65" s="184">
        <v>8.0</v>
      </c>
    </row>
    <row r="66">
      <c r="A66" s="184" t="s">
        <v>57</v>
      </c>
      <c r="B66" s="184" t="s">
        <v>109</v>
      </c>
      <c r="C66" s="185" t="s">
        <v>168</v>
      </c>
      <c r="D66" s="184">
        <v>124.7</v>
      </c>
      <c r="E66" s="185" t="s">
        <v>330</v>
      </c>
      <c r="F66" s="184" t="s">
        <v>150</v>
      </c>
      <c r="G66" s="184" t="s">
        <v>151</v>
      </c>
      <c r="H66" s="184" t="s">
        <v>181</v>
      </c>
      <c r="I66" s="184">
        <v>190.0</v>
      </c>
      <c r="J66" s="184" t="s">
        <v>153</v>
      </c>
      <c r="K66" s="184" t="s">
        <v>193</v>
      </c>
      <c r="L66" s="184" t="s">
        <v>155</v>
      </c>
      <c r="M66" s="184">
        <v>115.0</v>
      </c>
      <c r="N66" s="184" t="s">
        <v>190</v>
      </c>
      <c r="O66" s="184" t="s">
        <v>167</v>
      </c>
      <c r="P66" s="184" t="s">
        <v>176</v>
      </c>
      <c r="Q66" s="184">
        <v>250.0</v>
      </c>
      <c r="R66" s="184">
        <v>555.0</v>
      </c>
      <c r="S66" s="186">
        <v>4.450681635926223</v>
      </c>
      <c r="T66" s="184">
        <v>8.0</v>
      </c>
    </row>
    <row r="67">
      <c r="A67" s="184" t="s">
        <v>57</v>
      </c>
      <c r="B67" s="184" t="s">
        <v>109</v>
      </c>
      <c r="C67" s="185" t="s">
        <v>184</v>
      </c>
      <c r="D67" s="184">
        <v>127.3</v>
      </c>
      <c r="E67" s="185" t="s">
        <v>331</v>
      </c>
      <c r="F67" s="184" t="s">
        <v>235</v>
      </c>
      <c r="G67" s="184" t="s">
        <v>181</v>
      </c>
      <c r="H67" s="184" t="s">
        <v>211</v>
      </c>
      <c r="I67" s="184">
        <v>190.0</v>
      </c>
      <c r="J67" s="184" t="s">
        <v>197</v>
      </c>
      <c r="K67" s="184" t="s">
        <v>243</v>
      </c>
      <c r="L67" s="184" t="s">
        <v>243</v>
      </c>
      <c r="M67" s="184">
        <v>120.0</v>
      </c>
      <c r="N67" s="184" t="s">
        <v>158</v>
      </c>
      <c r="O67" s="184" t="s">
        <v>256</v>
      </c>
      <c r="P67" s="184" t="s">
        <v>256</v>
      </c>
      <c r="Q67" s="184">
        <v>240.0</v>
      </c>
      <c r="R67" s="184">
        <v>550.0</v>
      </c>
      <c r="S67" s="186">
        <v>4.32050274941084</v>
      </c>
      <c r="T67" s="184">
        <v>4.0</v>
      </c>
    </row>
    <row r="68">
      <c r="A68" s="184" t="s">
        <v>57</v>
      </c>
      <c r="B68" s="184" t="s">
        <v>109</v>
      </c>
      <c r="C68" s="185" t="s">
        <v>303</v>
      </c>
      <c r="D68" s="184">
        <v>130.4</v>
      </c>
      <c r="E68" s="185" t="s">
        <v>332</v>
      </c>
      <c r="F68" s="184" t="s">
        <v>235</v>
      </c>
      <c r="G68" s="184" t="s">
        <v>182</v>
      </c>
      <c r="H68" s="184" t="s">
        <v>263</v>
      </c>
      <c r="I68" s="184">
        <v>200.0</v>
      </c>
      <c r="J68" s="184" t="s">
        <v>173</v>
      </c>
      <c r="K68" s="184" t="s">
        <v>216</v>
      </c>
      <c r="L68" s="184" t="s">
        <v>164</v>
      </c>
      <c r="M68" s="184">
        <v>100.0</v>
      </c>
      <c r="N68" s="184" t="s">
        <v>182</v>
      </c>
      <c r="O68" s="184" t="s">
        <v>183</v>
      </c>
      <c r="P68" s="184" t="s">
        <v>167</v>
      </c>
      <c r="Q68" s="184">
        <v>235.0</v>
      </c>
      <c r="R68" s="184">
        <v>535.0</v>
      </c>
      <c r="S68" s="186">
        <v>4.102760736196319</v>
      </c>
      <c r="T68" s="184">
        <v>8.0</v>
      </c>
    </row>
    <row r="69">
      <c r="A69" s="184" t="s">
        <v>57</v>
      </c>
      <c r="B69" s="184" t="s">
        <v>109</v>
      </c>
      <c r="C69" s="185" t="s">
        <v>260</v>
      </c>
      <c r="D69" s="184">
        <v>131.3</v>
      </c>
      <c r="E69" s="185" t="s">
        <v>333</v>
      </c>
      <c r="F69" s="184" t="s">
        <v>170</v>
      </c>
      <c r="G69" s="184" t="s">
        <v>171</v>
      </c>
      <c r="H69" s="184" t="s">
        <v>161</v>
      </c>
      <c r="I69" s="184">
        <v>160.0</v>
      </c>
      <c r="J69" s="184" t="s">
        <v>216</v>
      </c>
      <c r="K69" s="184" t="s">
        <v>164</v>
      </c>
      <c r="L69" s="184" t="s">
        <v>262</v>
      </c>
      <c r="M69" s="184">
        <v>100.0</v>
      </c>
      <c r="N69" s="184" t="s">
        <v>328</v>
      </c>
      <c r="O69" s="184" t="s">
        <v>297</v>
      </c>
      <c r="P69" s="184" t="s">
        <v>297</v>
      </c>
      <c r="Q69" s="184">
        <v>260.0</v>
      </c>
      <c r="R69" s="184">
        <v>520.0</v>
      </c>
      <c r="S69" s="186">
        <v>3.96039603960396</v>
      </c>
      <c r="T69" s="184">
        <v>6.0</v>
      </c>
    </row>
    <row r="70">
      <c r="A70" s="184" t="s">
        <v>57</v>
      </c>
      <c r="B70" s="184" t="s">
        <v>109</v>
      </c>
      <c r="C70" s="185" t="s">
        <v>237</v>
      </c>
      <c r="D70" s="184">
        <v>126.6</v>
      </c>
      <c r="E70" s="185" t="s">
        <v>334</v>
      </c>
      <c r="F70" s="184" t="s">
        <v>170</v>
      </c>
      <c r="G70" s="184" t="s">
        <v>224</v>
      </c>
      <c r="H70" s="184" t="s">
        <v>232</v>
      </c>
      <c r="I70" s="184">
        <v>165.0</v>
      </c>
      <c r="J70" s="184" t="s">
        <v>210</v>
      </c>
      <c r="K70" s="184" t="s">
        <v>163</v>
      </c>
      <c r="L70" s="184" t="s">
        <v>216</v>
      </c>
      <c r="M70" s="184">
        <v>95.0</v>
      </c>
      <c r="N70" s="184" t="s">
        <v>190</v>
      </c>
      <c r="O70" s="184" t="s">
        <v>167</v>
      </c>
      <c r="P70" s="184" t="s">
        <v>176</v>
      </c>
      <c r="Q70" s="184">
        <v>250.0</v>
      </c>
      <c r="R70" s="184">
        <v>510.0</v>
      </c>
      <c r="S70" s="186">
        <v>4.028436018957346</v>
      </c>
      <c r="T70" s="184">
        <v>8.0</v>
      </c>
    </row>
    <row r="71">
      <c r="A71" s="184" t="s">
        <v>57</v>
      </c>
      <c r="B71" s="184" t="s">
        <v>109</v>
      </c>
      <c r="C71" s="185" t="s">
        <v>260</v>
      </c>
      <c r="D71" s="184">
        <v>127.2</v>
      </c>
      <c r="E71" s="185" t="s">
        <v>337</v>
      </c>
      <c r="F71" s="184" t="s">
        <v>180</v>
      </c>
      <c r="G71" s="184" t="s">
        <v>186</v>
      </c>
      <c r="H71" s="184" t="s">
        <v>202</v>
      </c>
      <c r="I71" s="184">
        <v>155.0</v>
      </c>
      <c r="J71" s="184" t="s">
        <v>173</v>
      </c>
      <c r="K71" s="184" t="s">
        <v>163</v>
      </c>
      <c r="L71" s="184" t="s">
        <v>216</v>
      </c>
      <c r="M71" s="184">
        <v>95.0</v>
      </c>
      <c r="N71" s="184" t="s">
        <v>156</v>
      </c>
      <c r="O71" s="184" t="s">
        <v>158</v>
      </c>
      <c r="P71" s="184" t="s">
        <v>324</v>
      </c>
      <c r="Q71" s="184">
        <v>255.0</v>
      </c>
      <c r="R71" s="184">
        <v>505.0</v>
      </c>
      <c r="S71" s="186">
        <v>3.9701257861635217</v>
      </c>
      <c r="T71" s="184">
        <v>8.0</v>
      </c>
    </row>
    <row r="72">
      <c r="A72" s="184" t="s">
        <v>57</v>
      </c>
      <c r="B72" s="184" t="s">
        <v>109</v>
      </c>
      <c r="C72" s="185" t="s">
        <v>335</v>
      </c>
      <c r="D72" s="184">
        <v>130.9</v>
      </c>
      <c r="E72" s="185" t="s">
        <v>336</v>
      </c>
      <c r="F72" s="184" t="s">
        <v>151</v>
      </c>
      <c r="G72" s="184" t="s">
        <v>301</v>
      </c>
      <c r="H72" s="184" t="s">
        <v>301</v>
      </c>
      <c r="I72" s="184">
        <v>185.0</v>
      </c>
      <c r="J72" s="184" t="s">
        <v>172</v>
      </c>
      <c r="K72" s="184" t="s">
        <v>173</v>
      </c>
      <c r="L72" s="184" t="s">
        <v>216</v>
      </c>
      <c r="M72" s="184">
        <v>95.0</v>
      </c>
      <c r="N72" s="184" t="s">
        <v>254</v>
      </c>
      <c r="O72" s="184" t="s">
        <v>156</v>
      </c>
      <c r="P72" s="184" t="s">
        <v>157</v>
      </c>
      <c r="Q72" s="184">
        <v>225.0</v>
      </c>
      <c r="R72" s="184">
        <v>505.0</v>
      </c>
      <c r="S72" s="186">
        <v>3.8579067990832696</v>
      </c>
      <c r="T72" s="184">
        <v>6.0</v>
      </c>
    </row>
    <row r="73">
      <c r="A73" s="184" t="s">
        <v>57</v>
      </c>
      <c r="B73" s="184" t="s">
        <v>109</v>
      </c>
      <c r="C73" s="185" t="s">
        <v>275</v>
      </c>
      <c r="D73" s="184">
        <v>128.2</v>
      </c>
      <c r="E73" s="185" t="s">
        <v>338</v>
      </c>
      <c r="F73" s="184" t="s">
        <v>150</v>
      </c>
      <c r="G73" s="184" t="s">
        <v>151</v>
      </c>
      <c r="H73" s="184" t="s">
        <v>175</v>
      </c>
      <c r="I73" s="184">
        <v>195.0</v>
      </c>
      <c r="J73" s="184" t="s">
        <v>210</v>
      </c>
      <c r="K73" s="184" t="s">
        <v>216</v>
      </c>
      <c r="L73" s="184" t="s">
        <v>262</v>
      </c>
      <c r="M73" s="184">
        <v>95.0</v>
      </c>
      <c r="N73" s="184" t="s">
        <v>151</v>
      </c>
      <c r="O73" s="184" t="s">
        <v>181</v>
      </c>
      <c r="P73" s="184" t="s">
        <v>254</v>
      </c>
      <c r="Q73" s="184">
        <v>205.0</v>
      </c>
      <c r="R73" s="184">
        <v>495.0</v>
      </c>
      <c r="S73" s="186">
        <v>3.8611544461778475</v>
      </c>
      <c r="T73" s="184">
        <v>8.0</v>
      </c>
    </row>
    <row r="74">
      <c r="A74" s="184" t="s">
        <v>57</v>
      </c>
      <c r="B74" s="184" t="s">
        <v>109</v>
      </c>
      <c r="C74" s="185" t="s">
        <v>326</v>
      </c>
      <c r="D74" s="184">
        <v>129.4</v>
      </c>
      <c r="E74" s="185" t="s">
        <v>339</v>
      </c>
      <c r="F74" s="184" t="s">
        <v>224</v>
      </c>
      <c r="G74" s="184" t="s">
        <v>225</v>
      </c>
      <c r="H74" s="184" t="s">
        <v>150</v>
      </c>
      <c r="I74" s="184">
        <v>175.0</v>
      </c>
      <c r="J74" s="184" t="s">
        <v>172</v>
      </c>
      <c r="K74" s="184" t="s">
        <v>173</v>
      </c>
      <c r="L74" s="184" t="s">
        <v>340</v>
      </c>
      <c r="M74" s="184">
        <v>85.0</v>
      </c>
      <c r="N74" s="184" t="s">
        <v>182</v>
      </c>
      <c r="O74" s="184" t="s">
        <v>156</v>
      </c>
      <c r="P74" s="184" t="s">
        <v>167</v>
      </c>
      <c r="Q74" s="184">
        <v>235.0</v>
      </c>
      <c r="R74" s="184">
        <v>495.0</v>
      </c>
      <c r="S74" s="186">
        <v>3.8253477588871716</v>
      </c>
      <c r="T74" s="184">
        <v>7.0</v>
      </c>
    </row>
    <row r="75">
      <c r="A75" s="184" t="s">
        <v>57</v>
      </c>
      <c r="B75" s="184" t="s">
        <v>109</v>
      </c>
      <c r="C75" s="185" t="s">
        <v>214</v>
      </c>
      <c r="D75" s="184">
        <v>128.2</v>
      </c>
      <c r="E75" s="185" t="s">
        <v>341</v>
      </c>
      <c r="F75" s="184" t="s">
        <v>186</v>
      </c>
      <c r="G75" s="184" t="s">
        <v>171</v>
      </c>
      <c r="H75" s="184" t="s">
        <v>203</v>
      </c>
      <c r="I75" s="184">
        <v>170.0</v>
      </c>
      <c r="J75" s="184" t="s">
        <v>172</v>
      </c>
      <c r="K75" s="184" t="s">
        <v>173</v>
      </c>
      <c r="L75" s="184" t="s">
        <v>340</v>
      </c>
      <c r="M75" s="184">
        <v>85.0</v>
      </c>
      <c r="N75" s="184" t="s">
        <v>224</v>
      </c>
      <c r="O75" s="184" t="s">
        <v>175</v>
      </c>
      <c r="P75" s="184" t="s">
        <v>156</v>
      </c>
      <c r="Q75" s="184">
        <v>225.0</v>
      </c>
      <c r="R75" s="184">
        <v>480.0</v>
      </c>
      <c r="S75" s="186">
        <v>3.74414976599064</v>
      </c>
      <c r="T75" s="184">
        <v>8.0</v>
      </c>
    </row>
    <row r="76">
      <c r="A76" s="184" t="s">
        <v>57</v>
      </c>
      <c r="B76" s="184" t="s">
        <v>109</v>
      </c>
      <c r="C76" s="185" t="s">
        <v>345</v>
      </c>
      <c r="D76" s="184">
        <v>123.4</v>
      </c>
      <c r="E76" s="185" t="s">
        <v>346</v>
      </c>
      <c r="F76" s="184" t="s">
        <v>197</v>
      </c>
      <c r="G76" s="184" t="s">
        <v>245</v>
      </c>
      <c r="H76" s="184" t="s">
        <v>280</v>
      </c>
      <c r="I76" s="184">
        <v>145.0</v>
      </c>
      <c r="J76" s="184" t="s">
        <v>163</v>
      </c>
      <c r="K76" s="184" t="s">
        <v>207</v>
      </c>
      <c r="L76" s="184" t="s">
        <v>207</v>
      </c>
      <c r="M76" s="184">
        <v>90.0</v>
      </c>
      <c r="N76" s="184" t="s">
        <v>182</v>
      </c>
      <c r="O76" s="184" t="s">
        <v>156</v>
      </c>
      <c r="P76" s="184" t="s">
        <v>167</v>
      </c>
      <c r="Q76" s="184">
        <v>235.0</v>
      </c>
      <c r="R76" s="184">
        <v>470.0</v>
      </c>
      <c r="S76" s="186">
        <v>3.8087520259319283</v>
      </c>
      <c r="T76" s="184">
        <v>6.0</v>
      </c>
    </row>
    <row r="77">
      <c r="A77" s="184" t="s">
        <v>57</v>
      </c>
      <c r="B77" s="184" t="s">
        <v>109</v>
      </c>
      <c r="C77" s="185" t="s">
        <v>218</v>
      </c>
      <c r="D77" s="184">
        <v>129.6</v>
      </c>
      <c r="E77" s="185" t="s">
        <v>344</v>
      </c>
      <c r="F77" s="184" t="s">
        <v>245</v>
      </c>
      <c r="G77" s="184" t="s">
        <v>201</v>
      </c>
      <c r="H77" s="184" t="s">
        <v>150</v>
      </c>
      <c r="I77" s="184">
        <v>175.0</v>
      </c>
      <c r="J77" s="184" t="s">
        <v>195</v>
      </c>
      <c r="K77" s="184" t="s">
        <v>210</v>
      </c>
      <c r="L77" s="184" t="s">
        <v>216</v>
      </c>
      <c r="M77" s="184">
        <v>95.0</v>
      </c>
      <c r="N77" s="184" t="s">
        <v>235</v>
      </c>
      <c r="O77" s="184" t="s">
        <v>182</v>
      </c>
      <c r="P77" s="184" t="s">
        <v>271</v>
      </c>
      <c r="Q77" s="184">
        <v>200.0</v>
      </c>
      <c r="R77" s="184">
        <v>470.0</v>
      </c>
      <c r="S77" s="186">
        <v>3.6265432098765435</v>
      </c>
      <c r="T77" s="184">
        <v>7.0</v>
      </c>
    </row>
    <row r="78">
      <c r="A78" s="184" t="s">
        <v>57</v>
      </c>
      <c r="B78" s="184" t="s">
        <v>109</v>
      </c>
      <c r="C78" s="184" t="s">
        <v>342</v>
      </c>
      <c r="D78" s="184">
        <v>131.2</v>
      </c>
      <c r="E78" s="184" t="s">
        <v>343</v>
      </c>
      <c r="F78" s="184" t="s">
        <v>186</v>
      </c>
      <c r="G78" s="184" t="s">
        <v>171</v>
      </c>
      <c r="H78" s="184" t="s">
        <v>203</v>
      </c>
      <c r="I78" s="184">
        <v>170.0</v>
      </c>
      <c r="J78" s="184" t="s">
        <v>195</v>
      </c>
      <c r="K78" s="184" t="s">
        <v>189</v>
      </c>
      <c r="L78" s="184" t="s">
        <v>163</v>
      </c>
      <c r="M78" s="184">
        <v>90.0</v>
      </c>
      <c r="N78" s="184" t="s">
        <v>181</v>
      </c>
      <c r="O78" s="184" t="s">
        <v>182</v>
      </c>
      <c r="P78" s="184" t="s">
        <v>166</v>
      </c>
      <c r="Q78" s="184">
        <v>210.0</v>
      </c>
      <c r="R78" s="184">
        <v>470.0</v>
      </c>
      <c r="S78" s="186">
        <v>3.582317073170732</v>
      </c>
      <c r="T78" s="184">
        <v>8.0</v>
      </c>
    </row>
    <row r="79">
      <c r="A79" s="184" t="s">
        <v>57</v>
      </c>
      <c r="B79" s="184" t="s">
        <v>109</v>
      </c>
      <c r="C79" s="184" t="s">
        <v>303</v>
      </c>
      <c r="D79" s="184">
        <v>130.8</v>
      </c>
      <c r="E79" s="184" t="s">
        <v>347</v>
      </c>
      <c r="F79" s="184" t="s">
        <v>203</v>
      </c>
      <c r="G79" s="184" t="s">
        <v>235</v>
      </c>
      <c r="H79" s="184" t="s">
        <v>162</v>
      </c>
      <c r="I79" s="184">
        <v>180.0</v>
      </c>
      <c r="J79" s="184" t="s">
        <v>231</v>
      </c>
      <c r="K79" s="184" t="s">
        <v>172</v>
      </c>
      <c r="L79" s="184" t="s">
        <v>173</v>
      </c>
      <c r="M79" s="184">
        <v>85.0</v>
      </c>
      <c r="N79" s="184" t="s">
        <v>175</v>
      </c>
      <c r="O79" s="184" t="s">
        <v>182</v>
      </c>
      <c r="P79" s="184" t="s">
        <v>208</v>
      </c>
      <c r="Q79" s="184">
        <v>200.0</v>
      </c>
      <c r="R79" s="184">
        <v>465.0</v>
      </c>
      <c r="S79" s="186">
        <v>3.5550458715596327</v>
      </c>
      <c r="T79" s="184">
        <v>6.0</v>
      </c>
    </row>
    <row r="80">
      <c r="A80" s="184" t="s">
        <v>57</v>
      </c>
      <c r="B80" s="184" t="s">
        <v>109</v>
      </c>
      <c r="C80" s="184" t="s">
        <v>218</v>
      </c>
      <c r="D80" s="184">
        <v>131.5</v>
      </c>
      <c r="E80" s="184" t="s">
        <v>348</v>
      </c>
      <c r="F80" s="184" t="s">
        <v>186</v>
      </c>
      <c r="G80" s="184" t="s">
        <v>171</v>
      </c>
      <c r="H80" s="184" t="s">
        <v>224</v>
      </c>
      <c r="I80" s="184">
        <v>165.0</v>
      </c>
      <c r="J80" s="184" t="s">
        <v>172</v>
      </c>
      <c r="K80" s="184" t="s">
        <v>173</v>
      </c>
      <c r="L80" s="184" t="s">
        <v>207</v>
      </c>
      <c r="M80" s="184">
        <v>85.0</v>
      </c>
      <c r="N80" s="184" t="s">
        <v>181</v>
      </c>
      <c r="O80" s="184" t="s">
        <v>166</v>
      </c>
      <c r="P80" s="184" t="s">
        <v>191</v>
      </c>
      <c r="Q80" s="184">
        <v>210.0</v>
      </c>
      <c r="R80" s="184">
        <v>460.0</v>
      </c>
      <c r="S80" s="186">
        <v>3.4980988593155895</v>
      </c>
      <c r="T80" s="184">
        <v>7.0</v>
      </c>
    </row>
    <row r="81">
      <c r="A81" s="184" t="s">
        <v>57</v>
      </c>
      <c r="B81" s="184" t="s">
        <v>109</v>
      </c>
      <c r="C81" s="184" t="s">
        <v>184</v>
      </c>
      <c r="D81" s="184">
        <v>126.7</v>
      </c>
      <c r="E81" s="184" t="s">
        <v>349</v>
      </c>
      <c r="F81" s="184" t="s">
        <v>186</v>
      </c>
      <c r="G81" s="184" t="s">
        <v>170</v>
      </c>
      <c r="H81" s="184" t="s">
        <v>316</v>
      </c>
      <c r="I81" s="184">
        <v>140.0</v>
      </c>
      <c r="J81" s="184" t="s">
        <v>210</v>
      </c>
      <c r="K81" s="184" t="s">
        <v>173</v>
      </c>
      <c r="L81" s="184" t="s">
        <v>340</v>
      </c>
      <c r="M81" s="184">
        <v>85.0</v>
      </c>
      <c r="N81" s="184" t="s">
        <v>182</v>
      </c>
      <c r="O81" s="184" t="s">
        <v>190</v>
      </c>
      <c r="P81" s="184" t="s">
        <v>308</v>
      </c>
      <c r="Q81" s="184">
        <v>230.0</v>
      </c>
      <c r="R81" s="184">
        <v>455.0</v>
      </c>
      <c r="S81" s="186">
        <v>3.591160220994475</v>
      </c>
      <c r="T81" s="184">
        <v>7.0</v>
      </c>
    </row>
    <row r="82">
      <c r="A82" s="184" t="s">
        <v>57</v>
      </c>
      <c r="B82" s="184" t="s">
        <v>109</v>
      </c>
      <c r="C82" s="184" t="s">
        <v>350</v>
      </c>
      <c r="D82" s="184">
        <v>127.4</v>
      </c>
      <c r="E82" s="184" t="s">
        <v>351</v>
      </c>
      <c r="F82" s="184" t="s">
        <v>201</v>
      </c>
      <c r="G82" s="184" t="s">
        <v>224</v>
      </c>
      <c r="H82" s="184" t="s">
        <v>181</v>
      </c>
      <c r="I82" s="184">
        <v>190.0</v>
      </c>
      <c r="J82" s="184" t="s">
        <v>231</v>
      </c>
      <c r="K82" s="184" t="s">
        <v>210</v>
      </c>
      <c r="L82" s="184" t="s">
        <v>173</v>
      </c>
      <c r="M82" s="184">
        <v>85.0</v>
      </c>
      <c r="N82" s="184" t="s">
        <v>202</v>
      </c>
      <c r="O82" s="184" t="s">
        <v>150</v>
      </c>
      <c r="P82" s="184" t="s">
        <v>236</v>
      </c>
      <c r="Q82" s="184">
        <v>175.0</v>
      </c>
      <c r="R82" s="184">
        <v>450.0</v>
      </c>
      <c r="S82" s="186">
        <v>3.532182103610675</v>
      </c>
      <c r="T82" s="184">
        <v>6.0</v>
      </c>
    </row>
    <row r="83">
      <c r="A83" s="184" t="s">
        <v>57</v>
      </c>
      <c r="B83" s="184" t="s">
        <v>109</v>
      </c>
      <c r="C83" s="184" t="s">
        <v>240</v>
      </c>
      <c r="D83" s="184">
        <v>129.5</v>
      </c>
      <c r="E83" s="184" t="s">
        <v>352</v>
      </c>
      <c r="F83" s="184" t="s">
        <v>245</v>
      </c>
      <c r="G83" s="184" t="s">
        <v>239</v>
      </c>
      <c r="H83" s="184" t="s">
        <v>187</v>
      </c>
      <c r="I83" s="184">
        <v>145.0</v>
      </c>
      <c r="J83" s="184" t="s">
        <v>173</v>
      </c>
      <c r="K83" s="184" t="s">
        <v>163</v>
      </c>
      <c r="L83" s="184" t="s">
        <v>216</v>
      </c>
      <c r="M83" s="184">
        <v>95.0</v>
      </c>
      <c r="N83" s="184" t="s">
        <v>151</v>
      </c>
      <c r="O83" s="184" t="s">
        <v>175</v>
      </c>
      <c r="P83" s="184" t="s">
        <v>254</v>
      </c>
      <c r="Q83" s="184">
        <v>205.0</v>
      </c>
      <c r="R83" s="184">
        <v>445.0</v>
      </c>
      <c r="S83" s="186">
        <v>3.436293436293436</v>
      </c>
      <c r="T83" s="184">
        <v>7.0</v>
      </c>
    </row>
    <row r="84">
      <c r="A84" s="184" t="s">
        <v>57</v>
      </c>
      <c r="B84" s="184" t="s">
        <v>109</v>
      </c>
      <c r="C84" s="184" t="s">
        <v>218</v>
      </c>
      <c r="D84" s="184">
        <v>126.8</v>
      </c>
      <c r="E84" s="184" t="s">
        <v>353</v>
      </c>
      <c r="F84" s="184" t="s">
        <v>186</v>
      </c>
      <c r="G84" s="184" t="s">
        <v>171</v>
      </c>
      <c r="H84" s="184" t="s">
        <v>280</v>
      </c>
      <c r="I84" s="184">
        <v>150.0</v>
      </c>
      <c r="J84" s="184" t="s">
        <v>195</v>
      </c>
      <c r="K84" s="184" t="s">
        <v>210</v>
      </c>
      <c r="L84" s="184" t="s">
        <v>174</v>
      </c>
      <c r="M84" s="184">
        <v>80.0</v>
      </c>
      <c r="N84" s="184" t="s">
        <v>150</v>
      </c>
      <c r="O84" s="184" t="s">
        <v>151</v>
      </c>
      <c r="P84" s="184" t="s">
        <v>301</v>
      </c>
      <c r="Q84" s="184">
        <v>185.0</v>
      </c>
      <c r="R84" s="184">
        <v>415.0</v>
      </c>
      <c r="S84" s="186">
        <v>3.272870662460568</v>
      </c>
      <c r="T84" s="184">
        <v>6.0</v>
      </c>
    </row>
    <row r="85">
      <c r="A85" s="184" t="s">
        <v>57</v>
      </c>
      <c r="B85" s="184" t="s">
        <v>109</v>
      </c>
      <c r="C85" s="184" t="s">
        <v>218</v>
      </c>
      <c r="D85" s="184">
        <v>128.8</v>
      </c>
      <c r="E85" s="184" t="s">
        <v>354</v>
      </c>
      <c r="F85" s="184" t="s">
        <v>197</v>
      </c>
      <c r="G85" s="184" t="s">
        <v>186</v>
      </c>
      <c r="H85" s="184" t="s">
        <v>239</v>
      </c>
      <c r="I85" s="184">
        <v>135.0</v>
      </c>
      <c r="J85" s="184" t="s">
        <v>172</v>
      </c>
      <c r="K85" s="184" t="s">
        <v>210</v>
      </c>
      <c r="L85" s="184" t="s">
        <v>206</v>
      </c>
      <c r="M85" s="184">
        <v>80.0</v>
      </c>
      <c r="N85" s="184" t="s">
        <v>161</v>
      </c>
      <c r="O85" s="184" t="s">
        <v>235</v>
      </c>
      <c r="P85" s="184" t="s">
        <v>208</v>
      </c>
      <c r="Q85" s="184">
        <v>180.0</v>
      </c>
      <c r="R85" s="184">
        <v>395.0</v>
      </c>
      <c r="S85" s="186">
        <v>3.0667701863354035</v>
      </c>
      <c r="T85" s="184">
        <v>6.0</v>
      </c>
    </row>
    <row r="86">
      <c r="A86" s="184" t="s">
        <v>57</v>
      </c>
      <c r="B86" s="184" t="s">
        <v>109</v>
      </c>
      <c r="C86" s="184" t="s">
        <v>278</v>
      </c>
      <c r="D86" s="184">
        <v>125.8</v>
      </c>
      <c r="E86" s="184" t="s">
        <v>355</v>
      </c>
      <c r="F86" s="184" t="s">
        <v>194</v>
      </c>
      <c r="G86" s="184" t="s">
        <v>194</v>
      </c>
      <c r="H86" s="184" t="s">
        <v>170</v>
      </c>
      <c r="I86" s="184">
        <v>140.0</v>
      </c>
      <c r="J86" s="184" t="s">
        <v>172</v>
      </c>
      <c r="K86" s="184" t="s">
        <v>210</v>
      </c>
      <c r="L86" s="184" t="s">
        <v>174</v>
      </c>
      <c r="M86" s="184">
        <v>80.0</v>
      </c>
      <c r="N86" s="184" t="s">
        <v>202</v>
      </c>
      <c r="O86" s="184" t="s">
        <v>224</v>
      </c>
      <c r="P86" s="184" t="s">
        <v>232</v>
      </c>
      <c r="Q86" s="184">
        <v>165.0</v>
      </c>
      <c r="R86" s="184">
        <v>385.0</v>
      </c>
      <c r="S86" s="186">
        <v>3.0604133545310015</v>
      </c>
      <c r="T86" s="184">
        <v>5.0</v>
      </c>
    </row>
    <row r="87">
      <c r="A87" s="184" t="s">
        <v>57</v>
      </c>
      <c r="B87" s="184" t="s">
        <v>109</v>
      </c>
      <c r="C87" s="184" t="s">
        <v>260</v>
      </c>
      <c r="D87" s="184">
        <v>130.0</v>
      </c>
      <c r="E87" s="184" t="s">
        <v>356</v>
      </c>
      <c r="F87" s="184" t="s">
        <v>245</v>
      </c>
      <c r="G87" s="184" t="s">
        <v>202</v>
      </c>
      <c r="H87" s="184" t="s">
        <v>201</v>
      </c>
      <c r="I87" s="184">
        <v>155.0</v>
      </c>
      <c r="J87" s="184" t="s">
        <v>340</v>
      </c>
      <c r="K87" s="184" t="s">
        <v>207</v>
      </c>
      <c r="L87" s="184" t="s">
        <v>207</v>
      </c>
      <c r="M87" s="184">
        <v>0.0</v>
      </c>
      <c r="N87" s="184">
        <v>185.0</v>
      </c>
      <c r="O87" s="184"/>
      <c r="P87" s="184"/>
      <c r="Q87" s="184">
        <v>0.0</v>
      </c>
      <c r="R87" s="184">
        <v>0.0</v>
      </c>
      <c r="S87" s="186">
        <v>0.0</v>
      </c>
      <c r="T87" s="184">
        <v>2.0</v>
      </c>
    </row>
    <row r="88">
      <c r="A88" s="184" t="s">
        <v>63</v>
      </c>
      <c r="B88" s="184" t="s">
        <v>109</v>
      </c>
      <c r="C88" s="184" t="s">
        <v>287</v>
      </c>
      <c r="D88" s="184">
        <v>138.0</v>
      </c>
      <c r="E88" s="184" t="s">
        <v>413</v>
      </c>
      <c r="F88" s="184" t="s">
        <v>208</v>
      </c>
      <c r="G88" s="184" t="s">
        <v>254</v>
      </c>
      <c r="H88" s="184" t="s">
        <v>308</v>
      </c>
      <c r="I88" s="184">
        <v>230.0</v>
      </c>
      <c r="J88" s="184" t="s">
        <v>193</v>
      </c>
      <c r="K88" s="184" t="s">
        <v>179</v>
      </c>
      <c r="L88" s="184" t="s">
        <v>180</v>
      </c>
      <c r="M88" s="184">
        <v>125.0</v>
      </c>
      <c r="N88" s="184" t="s">
        <v>414</v>
      </c>
      <c r="O88" s="184" t="s">
        <v>416</v>
      </c>
      <c r="P88" s="184" t="s">
        <v>417</v>
      </c>
      <c r="Q88" s="184">
        <v>355.0</v>
      </c>
      <c r="R88" s="184">
        <v>710.0</v>
      </c>
      <c r="S88" s="186">
        <v>5.144927536231884</v>
      </c>
      <c r="T88" s="184">
        <v>7.0</v>
      </c>
    </row>
    <row r="89">
      <c r="A89" s="184" t="s">
        <v>63</v>
      </c>
      <c r="B89" s="184" t="s">
        <v>109</v>
      </c>
      <c r="C89" s="184" t="s">
        <v>409</v>
      </c>
      <c r="D89" s="184">
        <v>134.8</v>
      </c>
      <c r="E89" s="184" t="s">
        <v>410</v>
      </c>
      <c r="F89" s="184" t="s">
        <v>156</v>
      </c>
      <c r="G89" s="184" t="s">
        <v>167</v>
      </c>
      <c r="H89" s="184" t="s">
        <v>295</v>
      </c>
      <c r="I89" s="184">
        <v>235.0</v>
      </c>
      <c r="J89" s="184" t="s">
        <v>164</v>
      </c>
      <c r="K89" s="184" t="s">
        <v>154</v>
      </c>
      <c r="L89" s="184" t="s">
        <v>193</v>
      </c>
      <c r="M89" s="184">
        <v>115.0</v>
      </c>
      <c r="N89" s="184" t="s">
        <v>325</v>
      </c>
      <c r="O89" s="184" t="s">
        <v>406</v>
      </c>
      <c r="P89" s="184" t="s">
        <v>407</v>
      </c>
      <c r="Q89" s="184">
        <v>315.0</v>
      </c>
      <c r="R89" s="184">
        <v>665.0</v>
      </c>
      <c r="S89" s="186">
        <v>4.933234421364984</v>
      </c>
      <c r="T89" s="184">
        <v>8.0</v>
      </c>
    </row>
    <row r="90">
      <c r="A90" s="184" t="s">
        <v>63</v>
      </c>
      <c r="B90" s="184"/>
      <c r="C90" s="184" t="s">
        <v>240</v>
      </c>
      <c r="D90" s="184">
        <v>137.2</v>
      </c>
      <c r="E90" s="184" t="s">
        <v>400</v>
      </c>
      <c r="F90" s="184" t="s">
        <v>182</v>
      </c>
      <c r="G90" s="184" t="s">
        <v>190</v>
      </c>
      <c r="H90" s="184" t="s">
        <v>156</v>
      </c>
      <c r="I90" s="184">
        <v>225.0</v>
      </c>
      <c r="J90" s="184" t="s">
        <v>163</v>
      </c>
      <c r="K90" s="184" t="s">
        <v>216</v>
      </c>
      <c r="L90" s="184" t="s">
        <v>164</v>
      </c>
      <c r="M90" s="184">
        <v>100.0</v>
      </c>
      <c r="N90" s="184" t="s">
        <v>308</v>
      </c>
      <c r="O90" s="184" t="s">
        <v>324</v>
      </c>
      <c r="P90" s="184" t="s">
        <v>325</v>
      </c>
      <c r="Q90" s="184">
        <v>275.0</v>
      </c>
      <c r="R90" s="184">
        <v>600.0</v>
      </c>
      <c r="S90" s="186">
        <v>4.373177842565598</v>
      </c>
      <c r="T90" s="184">
        <v>9.0</v>
      </c>
    </row>
    <row r="91">
      <c r="A91" s="184" t="s">
        <v>63</v>
      </c>
      <c r="B91" s="184" t="s">
        <v>109</v>
      </c>
      <c r="C91" s="184" t="s">
        <v>260</v>
      </c>
      <c r="D91" s="184">
        <v>137.2</v>
      </c>
      <c r="E91" s="184" t="s">
        <v>404</v>
      </c>
      <c r="F91" s="184" t="s">
        <v>150</v>
      </c>
      <c r="G91" s="184" t="s">
        <v>182</v>
      </c>
      <c r="H91" s="184" t="s">
        <v>183</v>
      </c>
      <c r="I91" s="184">
        <v>220.0</v>
      </c>
      <c r="J91" s="184" t="s">
        <v>173</v>
      </c>
      <c r="K91" s="184" t="s">
        <v>163</v>
      </c>
      <c r="L91" s="184" t="s">
        <v>207</v>
      </c>
      <c r="M91" s="184">
        <v>90.0</v>
      </c>
      <c r="N91" s="184" t="s">
        <v>324</v>
      </c>
      <c r="O91" s="184" t="s">
        <v>325</v>
      </c>
      <c r="P91" s="184" t="s">
        <v>399</v>
      </c>
      <c r="Q91" s="184">
        <v>285.0</v>
      </c>
      <c r="R91" s="184">
        <v>595.0</v>
      </c>
      <c r="S91" s="186">
        <v>4.336734693877552</v>
      </c>
      <c r="T91" s="184">
        <v>8.0</v>
      </c>
    </row>
    <row r="92">
      <c r="A92" s="184" t="s">
        <v>63</v>
      </c>
      <c r="B92" s="184" t="s">
        <v>109</v>
      </c>
      <c r="C92" s="184" t="s">
        <v>199</v>
      </c>
      <c r="D92" s="184">
        <v>137.8</v>
      </c>
      <c r="E92" s="184" t="s">
        <v>384</v>
      </c>
      <c r="F92" s="184" t="s">
        <v>254</v>
      </c>
      <c r="G92" s="184" t="s">
        <v>320</v>
      </c>
      <c r="H92" s="184" t="s">
        <v>183</v>
      </c>
      <c r="I92" s="184">
        <v>220.0</v>
      </c>
      <c r="J92" s="184" t="s">
        <v>216</v>
      </c>
      <c r="K92" s="184" t="s">
        <v>153</v>
      </c>
      <c r="L92" s="184" t="s">
        <v>165</v>
      </c>
      <c r="M92" s="184">
        <v>105.0</v>
      </c>
      <c r="N92" s="184" t="s">
        <v>156</v>
      </c>
      <c r="O92" s="184" t="s">
        <v>158</v>
      </c>
      <c r="P92" s="184" t="s">
        <v>295</v>
      </c>
      <c r="Q92" s="184">
        <v>240.0</v>
      </c>
      <c r="R92" s="184">
        <v>565.0</v>
      </c>
      <c r="S92" s="186">
        <v>4.100145137880987</v>
      </c>
      <c r="T92" s="184">
        <v>6.0</v>
      </c>
    </row>
    <row r="93">
      <c r="A93" s="184" t="s">
        <v>63</v>
      </c>
      <c r="B93" s="184" t="s">
        <v>109</v>
      </c>
      <c r="C93" s="184" t="s">
        <v>184</v>
      </c>
      <c r="D93" s="184">
        <v>144.8</v>
      </c>
      <c r="E93" s="184" t="s">
        <v>393</v>
      </c>
      <c r="F93" s="184" t="s">
        <v>151</v>
      </c>
      <c r="G93" s="184" t="s">
        <v>175</v>
      </c>
      <c r="H93" s="184" t="s">
        <v>166</v>
      </c>
      <c r="I93" s="184">
        <v>210.0</v>
      </c>
      <c r="J93" s="184" t="s">
        <v>173</v>
      </c>
      <c r="K93" s="184" t="s">
        <v>163</v>
      </c>
      <c r="L93" s="184" t="s">
        <v>340</v>
      </c>
      <c r="M93" s="184">
        <v>90.0</v>
      </c>
      <c r="N93" s="184" t="s">
        <v>167</v>
      </c>
      <c r="O93" s="184" t="s">
        <v>176</v>
      </c>
      <c r="P93" s="184" t="s">
        <v>293</v>
      </c>
      <c r="Q93" s="184">
        <v>265.0</v>
      </c>
      <c r="R93" s="184">
        <v>565.0</v>
      </c>
      <c r="S93" s="186">
        <v>3.9019337016574585</v>
      </c>
      <c r="T93" s="184">
        <v>8.0</v>
      </c>
    </row>
    <row r="94">
      <c r="A94" s="184" t="s">
        <v>63</v>
      </c>
      <c r="B94" s="184" t="s">
        <v>109</v>
      </c>
      <c r="C94" s="184" t="s">
        <v>159</v>
      </c>
      <c r="D94" s="184">
        <v>143.2</v>
      </c>
      <c r="E94" s="184" t="s">
        <v>381</v>
      </c>
      <c r="F94" s="184" t="s">
        <v>190</v>
      </c>
      <c r="G94" s="184" t="s">
        <v>191</v>
      </c>
      <c r="H94" s="184" t="s">
        <v>308</v>
      </c>
      <c r="I94" s="184">
        <v>230.0</v>
      </c>
      <c r="J94" s="184" t="s">
        <v>210</v>
      </c>
      <c r="K94" s="184" t="s">
        <v>163</v>
      </c>
      <c r="L94" s="184" t="s">
        <v>340</v>
      </c>
      <c r="M94" s="184">
        <v>90.0</v>
      </c>
      <c r="N94" s="184" t="s">
        <v>156</v>
      </c>
      <c r="O94" s="184" t="s">
        <v>158</v>
      </c>
      <c r="P94" s="184" t="s">
        <v>295</v>
      </c>
      <c r="Q94" s="184">
        <v>240.0</v>
      </c>
      <c r="R94" s="184">
        <v>560.0</v>
      </c>
      <c r="S94" s="186">
        <v>3.910614525139665</v>
      </c>
      <c r="T94" s="184">
        <v>6.0</v>
      </c>
    </row>
    <row r="95">
      <c r="A95" s="184" t="s">
        <v>63</v>
      </c>
      <c r="B95" s="184" t="s">
        <v>109</v>
      </c>
      <c r="C95" s="184" t="s">
        <v>378</v>
      </c>
      <c r="D95" s="184">
        <v>140.8</v>
      </c>
      <c r="E95" s="184" t="s">
        <v>379</v>
      </c>
      <c r="F95" s="184" t="s">
        <v>175</v>
      </c>
      <c r="G95" s="184" t="s">
        <v>301</v>
      </c>
      <c r="H95" s="184" t="s">
        <v>166</v>
      </c>
      <c r="I95" s="184">
        <v>210.0</v>
      </c>
      <c r="J95" s="184" t="s">
        <v>173</v>
      </c>
      <c r="K95" s="184" t="s">
        <v>216</v>
      </c>
      <c r="L95" s="184" t="s">
        <v>262</v>
      </c>
      <c r="M95" s="184">
        <v>95.0</v>
      </c>
      <c r="N95" s="184" t="s">
        <v>190</v>
      </c>
      <c r="O95" s="184" t="s">
        <v>167</v>
      </c>
      <c r="P95" s="184" t="s">
        <v>176</v>
      </c>
      <c r="Q95" s="184">
        <v>250.0</v>
      </c>
      <c r="R95" s="184">
        <v>555.0</v>
      </c>
      <c r="S95" s="186">
        <v>3.9417613636363633</v>
      </c>
      <c r="T95" s="184">
        <v>7.0</v>
      </c>
    </row>
    <row r="96">
      <c r="A96" s="184" t="s">
        <v>63</v>
      </c>
      <c r="B96" s="184" t="s">
        <v>109</v>
      </c>
      <c r="C96" s="184" t="s">
        <v>199</v>
      </c>
      <c r="D96" s="184">
        <v>142.2</v>
      </c>
      <c r="E96" s="184" t="s">
        <v>397</v>
      </c>
      <c r="F96" s="184" t="s">
        <v>151</v>
      </c>
      <c r="G96" s="184" t="s">
        <v>175</v>
      </c>
      <c r="H96" s="184" t="s">
        <v>254</v>
      </c>
      <c r="I96" s="184">
        <v>205.0</v>
      </c>
      <c r="J96" s="184" t="s">
        <v>172</v>
      </c>
      <c r="K96" s="184" t="s">
        <v>206</v>
      </c>
      <c r="L96" s="184" t="s">
        <v>206</v>
      </c>
      <c r="M96" s="184">
        <v>75.0</v>
      </c>
      <c r="N96" s="184" t="s">
        <v>156</v>
      </c>
      <c r="O96" s="184" t="s">
        <v>176</v>
      </c>
      <c r="P96" s="184" t="s">
        <v>329</v>
      </c>
      <c r="Q96" s="184">
        <v>270.0</v>
      </c>
      <c r="R96" s="184">
        <v>550.0</v>
      </c>
      <c r="S96" s="186">
        <v>3.867791842475387</v>
      </c>
      <c r="T96" s="184">
        <v>7.0</v>
      </c>
    </row>
    <row r="97">
      <c r="A97" s="184" t="s">
        <v>63</v>
      </c>
      <c r="B97" s="184" t="s">
        <v>109</v>
      </c>
      <c r="C97" s="184" t="s">
        <v>375</v>
      </c>
      <c r="D97" s="184">
        <v>136.2</v>
      </c>
      <c r="E97" s="184" t="s">
        <v>376</v>
      </c>
      <c r="F97" s="184" t="s">
        <v>202</v>
      </c>
      <c r="G97" s="184" t="s">
        <v>235</v>
      </c>
      <c r="H97" s="184" t="s">
        <v>175</v>
      </c>
      <c r="I97" s="184">
        <v>195.0</v>
      </c>
      <c r="J97" s="184" t="s">
        <v>216</v>
      </c>
      <c r="K97" s="184" t="s">
        <v>153</v>
      </c>
      <c r="L97" s="184" t="s">
        <v>227</v>
      </c>
      <c r="M97" s="184">
        <v>105.0</v>
      </c>
      <c r="N97" s="184" t="s">
        <v>182</v>
      </c>
      <c r="O97" s="184" t="s">
        <v>156</v>
      </c>
      <c r="P97" s="184" t="s">
        <v>255</v>
      </c>
      <c r="Q97" s="184">
        <v>245.0</v>
      </c>
      <c r="R97" s="184">
        <v>545.0</v>
      </c>
      <c r="S97" s="186">
        <v>4.001468428781204</v>
      </c>
      <c r="T97" s="184">
        <v>8.0</v>
      </c>
    </row>
    <row r="98">
      <c r="A98" s="184" t="s">
        <v>63</v>
      </c>
      <c r="B98" s="184" t="s">
        <v>109</v>
      </c>
      <c r="C98" s="184" t="s">
        <v>350</v>
      </c>
      <c r="D98" s="184">
        <v>142.0</v>
      </c>
      <c r="E98" s="184" t="s">
        <v>377</v>
      </c>
      <c r="F98" s="184" t="s">
        <v>186</v>
      </c>
      <c r="G98" s="184" t="s">
        <v>202</v>
      </c>
      <c r="H98" s="184" t="s">
        <v>203</v>
      </c>
      <c r="I98" s="184">
        <v>170.0</v>
      </c>
      <c r="J98" s="184" t="s">
        <v>154</v>
      </c>
      <c r="K98" s="184" t="s">
        <v>179</v>
      </c>
      <c r="L98" s="184" t="s">
        <v>194</v>
      </c>
      <c r="M98" s="184">
        <v>125.0</v>
      </c>
      <c r="N98" s="184" t="s">
        <v>182</v>
      </c>
      <c r="O98" s="184" t="s">
        <v>156</v>
      </c>
      <c r="P98" s="184" t="s">
        <v>176</v>
      </c>
      <c r="Q98" s="184">
        <v>250.0</v>
      </c>
      <c r="R98" s="184">
        <v>545.0</v>
      </c>
      <c r="S98" s="186">
        <v>3.8380281690140845</v>
      </c>
      <c r="T98" s="184">
        <v>8.0</v>
      </c>
    </row>
    <row r="99">
      <c r="A99" s="184" t="s">
        <v>63</v>
      </c>
      <c r="B99" s="184" t="s">
        <v>109</v>
      </c>
      <c r="C99" s="184" t="s">
        <v>168</v>
      </c>
      <c r="D99" s="184">
        <v>134.4</v>
      </c>
      <c r="E99" s="184" t="s">
        <v>391</v>
      </c>
      <c r="F99" s="184" t="s">
        <v>245</v>
      </c>
      <c r="G99" s="184" t="s">
        <v>202</v>
      </c>
      <c r="H99" s="184" t="s">
        <v>161</v>
      </c>
      <c r="I99" s="184">
        <v>160.0</v>
      </c>
      <c r="J99" s="184" t="s">
        <v>164</v>
      </c>
      <c r="K99" s="184" t="s">
        <v>153</v>
      </c>
      <c r="L99" s="184" t="s">
        <v>154</v>
      </c>
      <c r="M99" s="184">
        <v>110.0</v>
      </c>
      <c r="N99" s="184" t="s">
        <v>167</v>
      </c>
      <c r="O99" s="184" t="s">
        <v>255</v>
      </c>
      <c r="P99" s="184" t="s">
        <v>328</v>
      </c>
      <c r="Q99" s="184">
        <v>260.0</v>
      </c>
      <c r="R99" s="184">
        <v>530.0</v>
      </c>
      <c r="S99" s="186">
        <v>3.943452380952381</v>
      </c>
      <c r="T99" s="184">
        <v>9.0</v>
      </c>
    </row>
    <row r="100">
      <c r="A100" s="184" t="s">
        <v>63</v>
      </c>
      <c r="B100" s="184" t="s">
        <v>109</v>
      </c>
      <c r="C100" s="184" t="s">
        <v>168</v>
      </c>
      <c r="D100" s="184">
        <v>139.4</v>
      </c>
      <c r="E100" s="184" t="s">
        <v>374</v>
      </c>
      <c r="F100" s="184" t="s">
        <v>224</v>
      </c>
      <c r="G100" s="184" t="s">
        <v>150</v>
      </c>
      <c r="H100" s="184" t="s">
        <v>235</v>
      </c>
      <c r="I100" s="184">
        <v>180.0</v>
      </c>
      <c r="J100" s="184" t="s">
        <v>173</v>
      </c>
      <c r="K100" s="184" t="s">
        <v>216</v>
      </c>
      <c r="L100" s="184" t="s">
        <v>153</v>
      </c>
      <c r="M100" s="184">
        <v>105.0</v>
      </c>
      <c r="N100" s="184" t="s">
        <v>190</v>
      </c>
      <c r="O100" s="184" t="s">
        <v>167</v>
      </c>
      <c r="P100" s="184" t="s">
        <v>158</v>
      </c>
      <c r="Q100" s="184">
        <v>240.0</v>
      </c>
      <c r="R100" s="184">
        <v>525.0</v>
      </c>
      <c r="S100" s="186">
        <v>3.7661406025824964</v>
      </c>
      <c r="T100" s="184">
        <v>9.0</v>
      </c>
    </row>
    <row r="101">
      <c r="A101" s="184" t="s">
        <v>63</v>
      </c>
      <c r="B101" s="184" t="s">
        <v>109</v>
      </c>
      <c r="C101" s="184" t="s">
        <v>387</v>
      </c>
      <c r="D101" s="184">
        <v>135.2</v>
      </c>
      <c r="E101" s="184" t="s">
        <v>388</v>
      </c>
      <c r="F101" s="184" t="s">
        <v>202</v>
      </c>
      <c r="G101" s="184" t="s">
        <v>150</v>
      </c>
      <c r="H101" s="184" t="s">
        <v>236</v>
      </c>
      <c r="I101" s="184">
        <v>175.0</v>
      </c>
      <c r="J101" s="184" t="s">
        <v>173</v>
      </c>
      <c r="K101" s="184" t="s">
        <v>340</v>
      </c>
      <c r="L101" s="184" t="s">
        <v>340</v>
      </c>
      <c r="M101" s="184">
        <v>85.0</v>
      </c>
      <c r="N101" s="184" t="s">
        <v>156</v>
      </c>
      <c r="O101" s="184" t="s">
        <v>158</v>
      </c>
      <c r="P101" s="184" t="s">
        <v>328</v>
      </c>
      <c r="Q101" s="184">
        <v>260.0</v>
      </c>
      <c r="R101" s="184">
        <v>520.0</v>
      </c>
      <c r="S101" s="186">
        <v>3.8461538461538463</v>
      </c>
      <c r="T101" s="184">
        <v>6.0</v>
      </c>
    </row>
    <row r="102">
      <c r="A102" s="184" t="s">
        <v>63</v>
      </c>
      <c r="B102" s="184" t="s">
        <v>109</v>
      </c>
      <c r="C102" s="184" t="s">
        <v>275</v>
      </c>
      <c r="D102" s="184">
        <v>138.8</v>
      </c>
      <c r="E102" s="184" t="s">
        <v>362</v>
      </c>
      <c r="F102" s="184" t="s">
        <v>162</v>
      </c>
      <c r="G102" s="184" t="s">
        <v>181</v>
      </c>
      <c r="H102" s="184" t="s">
        <v>182</v>
      </c>
      <c r="I102" s="184">
        <v>200.0</v>
      </c>
      <c r="J102" s="184" t="s">
        <v>173</v>
      </c>
      <c r="K102" s="184" t="s">
        <v>163</v>
      </c>
      <c r="L102" s="184" t="s">
        <v>340</v>
      </c>
      <c r="M102" s="184">
        <v>90.0</v>
      </c>
      <c r="N102" s="184" t="s">
        <v>181</v>
      </c>
      <c r="O102" s="184" t="s">
        <v>182</v>
      </c>
      <c r="P102" s="184" t="s">
        <v>166</v>
      </c>
      <c r="Q102" s="184">
        <v>210.0</v>
      </c>
      <c r="R102" s="184">
        <v>500.0</v>
      </c>
      <c r="S102" s="186">
        <v>3.6023054755043225</v>
      </c>
      <c r="T102" s="184">
        <v>7.0</v>
      </c>
    </row>
    <row r="103">
      <c r="A103" s="184" t="s">
        <v>63</v>
      </c>
      <c r="B103" s="184" t="s">
        <v>109</v>
      </c>
      <c r="C103" s="184" t="s">
        <v>363</v>
      </c>
      <c r="D103" s="184">
        <v>139.4</v>
      </c>
      <c r="E103" s="184" t="s">
        <v>364</v>
      </c>
      <c r="F103" s="184" t="s">
        <v>186</v>
      </c>
      <c r="G103" s="184" t="s">
        <v>202</v>
      </c>
      <c r="H103" s="184" t="s">
        <v>224</v>
      </c>
      <c r="I103" s="184">
        <v>165.0</v>
      </c>
      <c r="J103" s="184" t="s">
        <v>216</v>
      </c>
      <c r="K103" s="184" t="s">
        <v>153</v>
      </c>
      <c r="L103" s="184" t="s">
        <v>193</v>
      </c>
      <c r="M103" s="184">
        <v>115.0</v>
      </c>
      <c r="N103" s="184" t="s">
        <v>151</v>
      </c>
      <c r="O103" s="184" t="s">
        <v>254</v>
      </c>
      <c r="P103" s="184" t="s">
        <v>190</v>
      </c>
      <c r="Q103" s="184">
        <v>215.0</v>
      </c>
      <c r="R103" s="184">
        <v>495.0</v>
      </c>
      <c r="S103" s="186">
        <v>3.5509325681492108</v>
      </c>
      <c r="T103" s="184">
        <v>9.0</v>
      </c>
    </row>
    <row r="104">
      <c r="A104" s="184" t="s">
        <v>63</v>
      </c>
      <c r="B104" s="184" t="s">
        <v>109</v>
      </c>
      <c r="C104" s="184" t="s">
        <v>359</v>
      </c>
      <c r="D104" s="184">
        <v>141.6</v>
      </c>
      <c r="E104" s="184" t="s">
        <v>360</v>
      </c>
      <c r="F104" s="184" t="s">
        <v>224</v>
      </c>
      <c r="G104" s="184" t="s">
        <v>151</v>
      </c>
      <c r="H104" s="184" t="s">
        <v>208</v>
      </c>
      <c r="I104" s="184">
        <v>185.0</v>
      </c>
      <c r="J104" s="184" t="s">
        <v>216</v>
      </c>
      <c r="K104" s="184" t="s">
        <v>164</v>
      </c>
      <c r="L104" s="184" t="s">
        <v>153</v>
      </c>
      <c r="M104" s="184">
        <v>105.0</v>
      </c>
      <c r="N104" s="184" t="s">
        <v>151</v>
      </c>
      <c r="O104" s="184" t="s">
        <v>175</v>
      </c>
      <c r="P104" s="184" t="s">
        <v>254</v>
      </c>
      <c r="Q104" s="184">
        <v>205.0</v>
      </c>
      <c r="R104" s="184">
        <v>495.0</v>
      </c>
      <c r="S104" s="186">
        <v>3.495762711864407</v>
      </c>
      <c r="T104" s="184">
        <v>8.0</v>
      </c>
    </row>
    <row r="105">
      <c r="A105" s="184" t="s">
        <v>63</v>
      </c>
      <c r="B105" s="184" t="s">
        <v>109</v>
      </c>
      <c r="C105" s="184" t="s">
        <v>368</v>
      </c>
      <c r="D105" s="184">
        <v>140.5</v>
      </c>
      <c r="E105" s="184" t="s">
        <v>369</v>
      </c>
      <c r="F105" s="184" t="s">
        <v>224</v>
      </c>
      <c r="G105" s="184" t="s">
        <v>235</v>
      </c>
      <c r="H105" s="184" t="s">
        <v>211</v>
      </c>
      <c r="I105" s="184">
        <v>180.0</v>
      </c>
      <c r="J105" s="184" t="s">
        <v>172</v>
      </c>
      <c r="K105" s="184" t="s">
        <v>206</v>
      </c>
      <c r="L105" s="184" t="s">
        <v>173</v>
      </c>
      <c r="M105" s="184">
        <v>85.0</v>
      </c>
      <c r="N105" s="184" t="s">
        <v>254</v>
      </c>
      <c r="O105" s="184" t="s">
        <v>190</v>
      </c>
      <c r="P105" s="184" t="s">
        <v>156</v>
      </c>
      <c r="Q105" s="184">
        <v>225.0</v>
      </c>
      <c r="R105" s="184">
        <v>490.0</v>
      </c>
      <c r="S105" s="186">
        <v>3.487544483985765</v>
      </c>
      <c r="T105" s="184">
        <v>7.0</v>
      </c>
    </row>
    <row r="106">
      <c r="A106" s="184" t="s">
        <v>63</v>
      </c>
      <c r="B106" s="184" t="s">
        <v>109</v>
      </c>
      <c r="C106" s="184" t="s">
        <v>204</v>
      </c>
      <c r="D106" s="184">
        <v>138.8</v>
      </c>
      <c r="E106" s="184" t="s">
        <v>361</v>
      </c>
      <c r="F106" s="184" t="s">
        <v>202</v>
      </c>
      <c r="G106" s="184" t="s">
        <v>150</v>
      </c>
      <c r="H106" s="184" t="s">
        <v>236</v>
      </c>
      <c r="I106" s="184">
        <v>175.0</v>
      </c>
      <c r="J106" s="184" t="s">
        <v>216</v>
      </c>
      <c r="K106" s="184" t="s">
        <v>153</v>
      </c>
      <c r="L106" s="184" t="s">
        <v>165</v>
      </c>
      <c r="M106" s="184">
        <v>105.0</v>
      </c>
      <c r="N106" s="184" t="s">
        <v>175</v>
      </c>
      <c r="O106" s="184" t="s">
        <v>208</v>
      </c>
      <c r="P106" s="184" t="s">
        <v>208</v>
      </c>
      <c r="Q106" s="184">
        <v>195.0</v>
      </c>
      <c r="R106" s="184">
        <v>475.0</v>
      </c>
      <c r="S106" s="186">
        <v>3.4221902017291064</v>
      </c>
      <c r="T106" s="184">
        <v>5.0</v>
      </c>
    </row>
    <row r="107">
      <c r="A107" s="184" t="s">
        <v>63</v>
      </c>
      <c r="B107" s="184" t="s">
        <v>109</v>
      </c>
      <c r="C107" s="184" t="s">
        <v>260</v>
      </c>
      <c r="D107" s="184">
        <v>141.4</v>
      </c>
      <c r="E107" s="184" t="s">
        <v>372</v>
      </c>
      <c r="F107" s="184" t="s">
        <v>179</v>
      </c>
      <c r="G107" s="184" t="s">
        <v>186</v>
      </c>
      <c r="H107" s="184" t="s">
        <v>245</v>
      </c>
      <c r="I107" s="184">
        <v>145.0</v>
      </c>
      <c r="J107" s="184" t="s">
        <v>173</v>
      </c>
      <c r="K107" s="184" t="s">
        <v>216</v>
      </c>
      <c r="L107" s="184" t="s">
        <v>262</v>
      </c>
      <c r="M107" s="184">
        <v>95.0</v>
      </c>
      <c r="N107" s="184" t="s">
        <v>190</v>
      </c>
      <c r="O107" s="184" t="s">
        <v>156</v>
      </c>
      <c r="P107" s="184" t="s">
        <v>273</v>
      </c>
      <c r="Q107" s="184">
        <v>225.0</v>
      </c>
      <c r="R107" s="184">
        <v>465.0</v>
      </c>
      <c r="S107" s="186">
        <v>3.2885431400282883</v>
      </c>
      <c r="T107" s="184">
        <v>7.0</v>
      </c>
    </row>
    <row r="108">
      <c r="A108" s="184" t="s">
        <v>63</v>
      </c>
      <c r="B108" s="184" t="s">
        <v>109</v>
      </c>
      <c r="C108" s="184" t="s">
        <v>287</v>
      </c>
      <c r="D108" s="184">
        <v>138.8</v>
      </c>
      <c r="E108" s="184" t="s">
        <v>357</v>
      </c>
      <c r="F108" s="184" t="s">
        <v>170</v>
      </c>
      <c r="G108" s="184" t="s">
        <v>171</v>
      </c>
      <c r="H108" s="184" t="s">
        <v>224</v>
      </c>
      <c r="I108" s="184">
        <v>165.0</v>
      </c>
      <c r="J108" s="184" t="s">
        <v>195</v>
      </c>
      <c r="K108" s="184" t="s">
        <v>173</v>
      </c>
      <c r="L108" s="184" t="s">
        <v>207</v>
      </c>
      <c r="M108" s="184">
        <v>85.0</v>
      </c>
      <c r="N108" s="184" t="s">
        <v>203</v>
      </c>
      <c r="O108" s="184" t="s">
        <v>181</v>
      </c>
      <c r="P108" s="184" t="s">
        <v>254</v>
      </c>
      <c r="Q108" s="184">
        <v>205.0</v>
      </c>
      <c r="R108" s="184">
        <v>455.0</v>
      </c>
      <c r="S108" s="186">
        <v>3.2780979827089336</v>
      </c>
      <c r="T108" s="184">
        <v>8.0</v>
      </c>
    </row>
    <row r="109">
      <c r="A109" s="184" t="s">
        <v>63</v>
      </c>
      <c r="B109" s="184" t="s">
        <v>109</v>
      </c>
      <c r="C109" s="184" t="s">
        <v>221</v>
      </c>
      <c r="D109" s="184">
        <v>143.0</v>
      </c>
      <c r="E109" s="184" t="s">
        <v>365</v>
      </c>
      <c r="F109" s="184" t="s">
        <v>161</v>
      </c>
      <c r="G109" s="184" t="s">
        <v>266</v>
      </c>
      <c r="H109" s="184" t="s">
        <v>203</v>
      </c>
      <c r="I109" s="184">
        <v>170.0</v>
      </c>
      <c r="J109" s="184" t="s">
        <v>195</v>
      </c>
      <c r="K109" s="184" t="s">
        <v>210</v>
      </c>
      <c r="L109" s="184" t="s">
        <v>206</v>
      </c>
      <c r="M109" s="184">
        <v>80.0</v>
      </c>
      <c r="N109" s="184" t="s">
        <v>181</v>
      </c>
      <c r="O109" s="184" t="s">
        <v>254</v>
      </c>
      <c r="P109" s="184" t="s">
        <v>263</v>
      </c>
      <c r="Q109" s="184">
        <v>205.0</v>
      </c>
      <c r="R109" s="184">
        <v>455.0</v>
      </c>
      <c r="S109" s="186">
        <v>3.1818181818181817</v>
      </c>
      <c r="T109" s="184">
        <v>6.0</v>
      </c>
    </row>
    <row r="110">
      <c r="A110" s="184" t="s">
        <v>63</v>
      </c>
      <c r="B110" s="184" t="s">
        <v>109</v>
      </c>
      <c r="C110" s="184" t="s">
        <v>221</v>
      </c>
      <c r="D110" s="184">
        <v>137.8</v>
      </c>
      <c r="E110" s="184" t="s">
        <v>358</v>
      </c>
      <c r="F110" s="184" t="s">
        <v>171</v>
      </c>
      <c r="G110" s="184" t="s">
        <v>161</v>
      </c>
      <c r="H110" s="184" t="s">
        <v>203</v>
      </c>
      <c r="I110" s="184">
        <v>170.0</v>
      </c>
      <c r="J110" s="184" t="s">
        <v>220</v>
      </c>
      <c r="K110" s="184" t="s">
        <v>195</v>
      </c>
      <c r="L110" s="184" t="s">
        <v>172</v>
      </c>
      <c r="M110" s="184">
        <v>75.0</v>
      </c>
      <c r="N110" s="184" t="s">
        <v>235</v>
      </c>
      <c r="O110" s="184" t="s">
        <v>175</v>
      </c>
      <c r="P110" s="184" t="s">
        <v>254</v>
      </c>
      <c r="Q110" s="184">
        <v>205.0</v>
      </c>
      <c r="R110" s="184">
        <v>450.0</v>
      </c>
      <c r="S110" s="186">
        <v>3.2656023222060955</v>
      </c>
      <c r="T110" s="184">
        <v>9.0</v>
      </c>
    </row>
    <row r="111">
      <c r="A111" s="184" t="s">
        <v>63</v>
      </c>
      <c r="B111" s="184" t="s">
        <v>109</v>
      </c>
      <c r="C111" s="184" t="s">
        <v>370</v>
      </c>
      <c r="D111" s="184">
        <v>143.4</v>
      </c>
      <c r="E111" s="184" t="s">
        <v>371</v>
      </c>
      <c r="F111" s="184" t="s">
        <v>197</v>
      </c>
      <c r="G111" s="184" t="s">
        <v>234</v>
      </c>
      <c r="H111" s="184" t="s">
        <v>316</v>
      </c>
      <c r="I111" s="184">
        <v>130.0</v>
      </c>
      <c r="J111" s="184" t="s">
        <v>163</v>
      </c>
      <c r="K111" s="184" t="s">
        <v>207</v>
      </c>
      <c r="L111" s="184" t="s">
        <v>207</v>
      </c>
      <c r="M111" s="184">
        <v>90.0</v>
      </c>
      <c r="N111" s="184" t="s">
        <v>183</v>
      </c>
      <c r="O111" s="184" t="s">
        <v>271</v>
      </c>
      <c r="P111" s="184" t="s">
        <v>308</v>
      </c>
      <c r="Q111" s="184">
        <v>230.0</v>
      </c>
      <c r="R111" s="184">
        <v>450.0</v>
      </c>
      <c r="S111" s="186">
        <v>3.1380753138075312</v>
      </c>
      <c r="T111" s="184">
        <v>5.0</v>
      </c>
    </row>
    <row r="112">
      <c r="A112" s="184" t="s">
        <v>63</v>
      </c>
      <c r="B112" s="184" t="s">
        <v>109</v>
      </c>
      <c r="C112" s="184" t="s">
        <v>366</v>
      </c>
      <c r="D112" s="184">
        <v>142.2</v>
      </c>
      <c r="E112" s="184" t="s">
        <v>367</v>
      </c>
      <c r="F112" s="184" t="s">
        <v>197</v>
      </c>
      <c r="G112" s="184" t="s">
        <v>186</v>
      </c>
      <c r="H112" s="184" t="s">
        <v>171</v>
      </c>
      <c r="I112" s="184">
        <v>150.0</v>
      </c>
      <c r="J112" s="184" t="s">
        <v>172</v>
      </c>
      <c r="K112" s="184" t="s">
        <v>173</v>
      </c>
      <c r="L112" s="184" t="s">
        <v>340</v>
      </c>
      <c r="M112" s="184">
        <v>85.0</v>
      </c>
      <c r="N112" s="184" t="s">
        <v>235</v>
      </c>
      <c r="O112" s="184" t="s">
        <v>182</v>
      </c>
      <c r="P112" s="184" t="s">
        <v>320</v>
      </c>
      <c r="Q112" s="184">
        <v>200.0</v>
      </c>
      <c r="R112" s="184">
        <v>435.0</v>
      </c>
      <c r="S112" s="186">
        <v>3.059071729957806</v>
      </c>
      <c r="T112" s="184">
        <v>7.0</v>
      </c>
    </row>
    <row r="113">
      <c r="A113" s="184" t="s">
        <v>68</v>
      </c>
      <c r="B113" s="184" t="s">
        <v>109</v>
      </c>
      <c r="C113" s="184" t="s">
        <v>402</v>
      </c>
      <c r="D113" s="184">
        <v>148.2</v>
      </c>
      <c r="E113" s="184" t="s">
        <v>403</v>
      </c>
      <c r="F113" s="184" t="s">
        <v>183</v>
      </c>
      <c r="G113" s="184" t="s">
        <v>255</v>
      </c>
      <c r="H113" s="184" t="s">
        <v>295</v>
      </c>
      <c r="I113" s="184">
        <v>245.0</v>
      </c>
      <c r="J113" s="184" t="s">
        <v>153</v>
      </c>
      <c r="K113" s="184" t="s">
        <v>197</v>
      </c>
      <c r="L113" s="184" t="s">
        <v>179</v>
      </c>
      <c r="M113" s="184">
        <v>125.0</v>
      </c>
      <c r="N113" s="184" t="s">
        <v>405</v>
      </c>
      <c r="O113" s="184" t="s">
        <v>406</v>
      </c>
      <c r="P113" s="184" t="s">
        <v>407</v>
      </c>
      <c r="Q113" s="184">
        <v>315.0</v>
      </c>
      <c r="R113" s="184">
        <v>685.0</v>
      </c>
      <c r="S113" s="186">
        <v>4.622132253711201</v>
      </c>
      <c r="T113" s="184">
        <v>7.0</v>
      </c>
    </row>
    <row r="114">
      <c r="A114" s="184" t="s">
        <v>68</v>
      </c>
      <c r="B114" s="184" t="s">
        <v>109</v>
      </c>
      <c r="C114" s="184" t="s">
        <v>177</v>
      </c>
      <c r="D114" s="184">
        <v>151.4</v>
      </c>
      <c r="E114" s="184" t="s">
        <v>398</v>
      </c>
      <c r="F114" s="184" t="s">
        <v>151</v>
      </c>
      <c r="G114" s="184" t="s">
        <v>208</v>
      </c>
      <c r="H114" s="184" t="s">
        <v>208</v>
      </c>
      <c r="I114" s="184">
        <v>185.0</v>
      </c>
      <c r="J114" s="184" t="s">
        <v>193</v>
      </c>
      <c r="K114" s="184" t="s">
        <v>179</v>
      </c>
      <c r="L114" s="184" t="s">
        <v>186</v>
      </c>
      <c r="M114" s="184">
        <v>135.0</v>
      </c>
      <c r="N114" s="184" t="s">
        <v>156</v>
      </c>
      <c r="O114" s="184" t="s">
        <v>324</v>
      </c>
      <c r="P114" s="184" t="s">
        <v>399</v>
      </c>
      <c r="Q114" s="184">
        <v>285.0</v>
      </c>
      <c r="R114" s="184">
        <v>605.0</v>
      </c>
      <c r="S114" s="186">
        <v>3.9960369881109643</v>
      </c>
      <c r="T114" s="184">
        <v>7.0</v>
      </c>
    </row>
    <row r="115">
      <c r="A115" s="184" t="s">
        <v>68</v>
      </c>
      <c r="B115" s="184" t="s">
        <v>109</v>
      </c>
      <c r="C115" s="184" t="s">
        <v>212</v>
      </c>
      <c r="D115" s="184">
        <v>153.6</v>
      </c>
      <c r="E115" s="184" t="s">
        <v>401</v>
      </c>
      <c r="F115" s="184" t="s">
        <v>151</v>
      </c>
      <c r="G115" s="184" t="s">
        <v>175</v>
      </c>
      <c r="H115" s="184" t="s">
        <v>166</v>
      </c>
      <c r="I115" s="184">
        <v>210.0</v>
      </c>
      <c r="J115" s="184" t="s">
        <v>173</v>
      </c>
      <c r="K115" s="184" t="s">
        <v>164</v>
      </c>
      <c r="L115" s="184" t="s">
        <v>154</v>
      </c>
      <c r="M115" s="184">
        <v>110.0</v>
      </c>
      <c r="N115" s="184" t="s">
        <v>324</v>
      </c>
      <c r="O115" s="184" t="s">
        <v>293</v>
      </c>
      <c r="P115" s="184" t="s">
        <v>399</v>
      </c>
      <c r="Q115" s="184">
        <v>285.0</v>
      </c>
      <c r="R115" s="184">
        <v>605.0</v>
      </c>
      <c r="S115" s="186">
        <v>3.9388020833333335</v>
      </c>
      <c r="T115" s="184">
        <v>9.0</v>
      </c>
    </row>
    <row r="116">
      <c r="A116" s="184" t="s">
        <v>68</v>
      </c>
      <c r="B116" s="184" t="s">
        <v>109</v>
      </c>
      <c r="C116" s="184" t="s">
        <v>212</v>
      </c>
      <c r="D116" s="184">
        <v>154.4</v>
      </c>
      <c r="E116" s="184" t="s">
        <v>396</v>
      </c>
      <c r="F116" s="184" t="s">
        <v>151</v>
      </c>
      <c r="G116" s="184" t="s">
        <v>175</v>
      </c>
      <c r="H116" s="184" t="s">
        <v>166</v>
      </c>
      <c r="I116" s="184">
        <v>210.0</v>
      </c>
      <c r="J116" s="184" t="s">
        <v>153</v>
      </c>
      <c r="K116" s="184" t="s">
        <v>193</v>
      </c>
      <c r="L116" s="184" t="s">
        <v>197</v>
      </c>
      <c r="M116" s="184">
        <v>120.0</v>
      </c>
      <c r="N116" s="184" t="s">
        <v>167</v>
      </c>
      <c r="O116" s="184" t="s">
        <v>324</v>
      </c>
      <c r="P116" s="184" t="s">
        <v>293</v>
      </c>
      <c r="Q116" s="184">
        <v>265.0</v>
      </c>
      <c r="R116" s="184">
        <v>595.0</v>
      </c>
      <c r="S116" s="186">
        <v>3.8536269430051813</v>
      </c>
      <c r="T116" s="184">
        <v>9.0</v>
      </c>
    </row>
    <row r="117">
      <c r="A117" s="184" t="s">
        <v>68</v>
      </c>
      <c r="B117" s="184" t="s">
        <v>109</v>
      </c>
      <c r="C117" s="184" t="s">
        <v>359</v>
      </c>
      <c r="D117" s="184">
        <v>152.2</v>
      </c>
      <c r="E117" s="184" t="s">
        <v>382</v>
      </c>
      <c r="F117" s="184" t="s">
        <v>175</v>
      </c>
      <c r="G117" s="184" t="s">
        <v>156</v>
      </c>
      <c r="H117" s="184" t="s">
        <v>295</v>
      </c>
      <c r="I117" s="184">
        <v>225.0</v>
      </c>
      <c r="J117" s="184" t="s">
        <v>153</v>
      </c>
      <c r="K117" s="184" t="s">
        <v>154</v>
      </c>
      <c r="L117" s="184" t="s">
        <v>193</v>
      </c>
      <c r="M117" s="184">
        <v>115.0</v>
      </c>
      <c r="N117" s="184" t="s">
        <v>254</v>
      </c>
      <c r="O117" s="184" t="s">
        <v>156</v>
      </c>
      <c r="P117" s="184" t="s">
        <v>158</v>
      </c>
      <c r="Q117" s="184">
        <v>240.0</v>
      </c>
      <c r="R117" s="184">
        <v>580.0</v>
      </c>
      <c r="S117" s="186">
        <v>3.8107752956636007</v>
      </c>
      <c r="T117" s="184">
        <v>8.0</v>
      </c>
    </row>
    <row r="118">
      <c r="A118" s="184" t="s">
        <v>68</v>
      </c>
      <c r="B118" s="184" t="s">
        <v>109</v>
      </c>
      <c r="C118" s="184" t="s">
        <v>275</v>
      </c>
      <c r="D118" s="184">
        <v>152.4</v>
      </c>
      <c r="E118" s="184" t="s">
        <v>380</v>
      </c>
      <c r="F118" s="184" t="s">
        <v>166</v>
      </c>
      <c r="G118" s="184" t="s">
        <v>183</v>
      </c>
      <c r="H118" s="184" t="s">
        <v>156</v>
      </c>
      <c r="I118" s="184">
        <v>225.0</v>
      </c>
      <c r="J118" s="184" t="s">
        <v>164</v>
      </c>
      <c r="K118" s="184" t="s">
        <v>153</v>
      </c>
      <c r="L118" s="184" t="s">
        <v>227</v>
      </c>
      <c r="M118" s="184">
        <v>105.0</v>
      </c>
      <c r="N118" s="184" t="s">
        <v>156</v>
      </c>
      <c r="O118" s="184" t="s">
        <v>273</v>
      </c>
      <c r="P118" s="184" t="s">
        <v>273</v>
      </c>
      <c r="Q118" s="184">
        <v>225.0</v>
      </c>
      <c r="R118" s="184">
        <v>555.0</v>
      </c>
      <c r="S118" s="186">
        <v>3.6417322834645667</v>
      </c>
      <c r="T118" s="184">
        <v>6.0</v>
      </c>
    </row>
    <row r="119">
      <c r="A119" s="184" t="s">
        <v>68</v>
      </c>
      <c r="B119" s="184" t="s">
        <v>109</v>
      </c>
      <c r="C119" s="184" t="s">
        <v>394</v>
      </c>
      <c r="D119" s="184">
        <v>154.8</v>
      </c>
      <c r="E119" s="184" t="s">
        <v>395</v>
      </c>
      <c r="F119" s="184" t="s">
        <v>202</v>
      </c>
      <c r="G119" s="184" t="s">
        <v>224</v>
      </c>
      <c r="H119" s="184" t="s">
        <v>235</v>
      </c>
      <c r="I119" s="184">
        <v>180.0</v>
      </c>
      <c r="J119" s="184" t="s">
        <v>173</v>
      </c>
      <c r="K119" s="184" t="s">
        <v>216</v>
      </c>
      <c r="L119" s="184" t="s">
        <v>207</v>
      </c>
      <c r="M119" s="184">
        <v>95.0</v>
      </c>
      <c r="N119" s="184" t="s">
        <v>156</v>
      </c>
      <c r="O119" s="184" t="s">
        <v>176</v>
      </c>
      <c r="P119" s="184" t="s">
        <v>293</v>
      </c>
      <c r="Q119" s="184">
        <v>265.0</v>
      </c>
      <c r="R119" s="184">
        <v>540.0</v>
      </c>
      <c r="S119" s="186">
        <v>3.4883720930232553</v>
      </c>
      <c r="T119" s="184">
        <v>8.0</v>
      </c>
    </row>
    <row r="120">
      <c r="A120" s="184" t="s">
        <v>68</v>
      </c>
      <c r="B120" s="184" t="s">
        <v>109</v>
      </c>
      <c r="C120" s="184" t="s">
        <v>342</v>
      </c>
      <c r="D120" s="184">
        <v>149.4</v>
      </c>
      <c r="E120" s="184" t="s">
        <v>392</v>
      </c>
      <c r="F120" s="184" t="s">
        <v>202</v>
      </c>
      <c r="G120" s="184" t="s">
        <v>224</v>
      </c>
      <c r="H120" s="184" t="s">
        <v>235</v>
      </c>
      <c r="I120" s="184">
        <v>180.0</v>
      </c>
      <c r="J120" s="184" t="s">
        <v>153</v>
      </c>
      <c r="K120" s="184" t="s">
        <v>165</v>
      </c>
      <c r="L120" s="184" t="s">
        <v>165</v>
      </c>
      <c r="M120" s="184">
        <v>105.0</v>
      </c>
      <c r="N120" s="184" t="s">
        <v>295</v>
      </c>
      <c r="O120" s="184" t="s">
        <v>176</v>
      </c>
      <c r="P120" s="184" t="s">
        <v>256</v>
      </c>
      <c r="Q120" s="184">
        <v>250.0</v>
      </c>
      <c r="R120" s="184">
        <v>535.0</v>
      </c>
      <c r="S120" s="186">
        <v>3.5809906291834</v>
      </c>
      <c r="T120" s="184">
        <v>5.0</v>
      </c>
    </row>
    <row r="121">
      <c r="A121" s="184" t="s">
        <v>68</v>
      </c>
      <c r="B121" s="184" t="s">
        <v>109</v>
      </c>
      <c r="C121" s="184" t="s">
        <v>240</v>
      </c>
      <c r="D121" s="184">
        <v>150.6</v>
      </c>
      <c r="E121" s="184" t="s">
        <v>385</v>
      </c>
      <c r="F121" s="184" t="s">
        <v>151</v>
      </c>
      <c r="G121" s="184" t="s">
        <v>182</v>
      </c>
      <c r="H121" s="184" t="s">
        <v>263</v>
      </c>
      <c r="I121" s="184">
        <v>200.0</v>
      </c>
      <c r="J121" s="184" t="s">
        <v>153</v>
      </c>
      <c r="K121" s="184" t="s">
        <v>165</v>
      </c>
      <c r="L121" s="184" t="s">
        <v>165</v>
      </c>
      <c r="M121" s="184">
        <v>105.0</v>
      </c>
      <c r="N121" s="184" t="s">
        <v>166</v>
      </c>
      <c r="O121" s="184" t="s">
        <v>308</v>
      </c>
      <c r="P121" s="184" t="s">
        <v>157</v>
      </c>
      <c r="Q121" s="184">
        <v>230.0</v>
      </c>
      <c r="R121" s="184">
        <v>535.0</v>
      </c>
      <c r="S121" s="186">
        <v>3.552456839309429</v>
      </c>
      <c r="T121" s="184">
        <v>5.0</v>
      </c>
    </row>
    <row r="122">
      <c r="A122" s="184" t="s">
        <v>68</v>
      </c>
      <c r="B122" s="184" t="s">
        <v>109</v>
      </c>
      <c r="C122" s="184" t="s">
        <v>204</v>
      </c>
      <c r="D122" s="184">
        <v>149.0</v>
      </c>
      <c r="E122" s="184" t="s">
        <v>383</v>
      </c>
      <c r="F122" s="184" t="s">
        <v>151</v>
      </c>
      <c r="G122" s="184" t="s">
        <v>208</v>
      </c>
      <c r="H122" s="184" t="s">
        <v>254</v>
      </c>
      <c r="I122" s="184">
        <v>205.0</v>
      </c>
      <c r="J122" s="184" t="s">
        <v>173</v>
      </c>
      <c r="K122" s="184" t="s">
        <v>340</v>
      </c>
      <c r="L122" s="184" t="s">
        <v>340</v>
      </c>
      <c r="M122" s="184">
        <v>85.0</v>
      </c>
      <c r="N122" s="184" t="s">
        <v>156</v>
      </c>
      <c r="O122" s="184" t="s">
        <v>157</v>
      </c>
      <c r="P122" s="184" t="s">
        <v>158</v>
      </c>
      <c r="Q122" s="184">
        <v>240.0</v>
      </c>
      <c r="R122" s="184">
        <v>530.0</v>
      </c>
      <c r="S122" s="186">
        <v>3.557046979865772</v>
      </c>
      <c r="T122" s="184">
        <v>5.0</v>
      </c>
    </row>
    <row r="123">
      <c r="A123" s="184" t="s">
        <v>68</v>
      </c>
      <c r="B123" s="184" t="s">
        <v>109</v>
      </c>
      <c r="C123" s="184" t="s">
        <v>204</v>
      </c>
      <c r="D123" s="184">
        <v>147.0</v>
      </c>
      <c r="E123" s="184" t="s">
        <v>418</v>
      </c>
      <c r="F123" s="184" t="s">
        <v>151</v>
      </c>
      <c r="G123" s="184" t="s">
        <v>208</v>
      </c>
      <c r="H123" s="184" t="s">
        <v>208</v>
      </c>
      <c r="I123" s="184">
        <v>185.0</v>
      </c>
      <c r="J123" s="184" t="s">
        <v>153</v>
      </c>
      <c r="K123" s="184" t="s">
        <v>154</v>
      </c>
      <c r="L123" s="184" t="s">
        <v>193</v>
      </c>
      <c r="M123" s="184">
        <v>115.0</v>
      </c>
      <c r="N123" s="184" t="s">
        <v>151</v>
      </c>
      <c r="O123" s="184" t="s">
        <v>175</v>
      </c>
      <c r="P123" s="184" t="s">
        <v>254</v>
      </c>
      <c r="Q123" s="184">
        <v>205.0</v>
      </c>
      <c r="R123" s="184">
        <v>505.0</v>
      </c>
      <c r="S123" s="186">
        <v>3.435374149659864</v>
      </c>
      <c r="T123" s="184">
        <v>7.0</v>
      </c>
    </row>
    <row r="124">
      <c r="A124" s="184" t="s">
        <v>68</v>
      </c>
      <c r="B124" s="184" t="s">
        <v>109</v>
      </c>
      <c r="C124" s="184" t="s">
        <v>420</v>
      </c>
      <c r="D124" s="184">
        <v>154.0</v>
      </c>
      <c r="E124" s="184" t="s">
        <v>421</v>
      </c>
      <c r="F124" s="184" t="s">
        <v>224</v>
      </c>
      <c r="G124" s="184" t="s">
        <v>235</v>
      </c>
      <c r="H124" s="184" t="s">
        <v>175</v>
      </c>
      <c r="I124" s="184">
        <v>195.0</v>
      </c>
      <c r="J124" s="184" t="s">
        <v>188</v>
      </c>
      <c r="K124" s="184" t="s">
        <v>210</v>
      </c>
      <c r="L124" s="184" t="s">
        <v>340</v>
      </c>
      <c r="M124" s="184">
        <v>80.0</v>
      </c>
      <c r="N124" s="184" t="s">
        <v>150</v>
      </c>
      <c r="O124" s="184" t="s">
        <v>181</v>
      </c>
      <c r="P124" s="184" t="s">
        <v>183</v>
      </c>
      <c r="Q124" s="184">
        <v>220.0</v>
      </c>
      <c r="R124" s="184">
        <v>495.0</v>
      </c>
      <c r="S124" s="186">
        <v>3.2142857142857144</v>
      </c>
      <c r="T124" s="184">
        <v>8.0</v>
      </c>
    </row>
    <row r="125">
      <c r="A125" s="184" t="s">
        <v>68</v>
      </c>
      <c r="B125" s="184" t="s">
        <v>109</v>
      </c>
      <c r="C125" s="184" t="s">
        <v>268</v>
      </c>
      <c r="D125" s="184">
        <v>146.6</v>
      </c>
      <c r="E125" s="184" t="s">
        <v>386</v>
      </c>
      <c r="F125" s="184" t="s">
        <v>161</v>
      </c>
      <c r="G125" s="184" t="s">
        <v>266</v>
      </c>
      <c r="H125" s="184" t="s">
        <v>266</v>
      </c>
      <c r="I125" s="184">
        <v>160.0</v>
      </c>
      <c r="J125" s="184" t="s">
        <v>189</v>
      </c>
      <c r="K125" s="184" t="s">
        <v>173</v>
      </c>
      <c r="L125" s="184" t="s">
        <v>340</v>
      </c>
      <c r="M125" s="184">
        <v>85.0</v>
      </c>
      <c r="N125" s="184" t="s">
        <v>183</v>
      </c>
      <c r="O125" s="184" t="s">
        <v>167</v>
      </c>
      <c r="P125" s="184" t="s">
        <v>389</v>
      </c>
      <c r="Q125" s="184">
        <v>235.0</v>
      </c>
      <c r="R125" s="184">
        <v>480.0</v>
      </c>
      <c r="S125" s="186">
        <v>3.2742155525238745</v>
      </c>
      <c r="T125" s="184">
        <v>4.0</v>
      </c>
    </row>
    <row r="126">
      <c r="A126" s="184" t="s">
        <v>68</v>
      </c>
      <c r="B126" s="184" t="s">
        <v>109</v>
      </c>
      <c r="C126" s="184" t="s">
        <v>240</v>
      </c>
      <c r="D126" s="184">
        <v>150.8</v>
      </c>
      <c r="E126" s="184" t="s">
        <v>390</v>
      </c>
      <c r="F126" s="184" t="s">
        <v>171</v>
      </c>
      <c r="G126" s="184" t="s">
        <v>280</v>
      </c>
      <c r="H126" s="184" t="s">
        <v>280</v>
      </c>
      <c r="I126" s="184">
        <v>150.0</v>
      </c>
      <c r="J126" s="184" t="s">
        <v>173</v>
      </c>
      <c r="K126" s="184" t="s">
        <v>174</v>
      </c>
      <c r="L126" s="184" t="s">
        <v>174</v>
      </c>
      <c r="M126" s="184">
        <v>85.0</v>
      </c>
      <c r="N126" s="184" t="s">
        <v>156</v>
      </c>
      <c r="O126" s="184" t="s">
        <v>255</v>
      </c>
      <c r="P126" s="184" t="s">
        <v>256</v>
      </c>
      <c r="Q126" s="184">
        <v>245.0</v>
      </c>
      <c r="R126" s="184">
        <v>480.0</v>
      </c>
      <c r="S126" s="186">
        <v>3.183023872679045</v>
      </c>
      <c r="T126" s="184">
        <v>4.0</v>
      </c>
    </row>
    <row r="127">
      <c r="A127" s="184" t="s">
        <v>68</v>
      </c>
      <c r="B127" s="184" t="s">
        <v>109</v>
      </c>
      <c r="C127" s="184" t="s">
        <v>212</v>
      </c>
      <c r="D127" s="184">
        <v>150.2</v>
      </c>
      <c r="E127" s="184" t="s">
        <v>415</v>
      </c>
      <c r="F127" s="184" t="s">
        <v>171</v>
      </c>
      <c r="G127" s="184" t="s">
        <v>161</v>
      </c>
      <c r="H127" s="184" t="s">
        <v>203</v>
      </c>
      <c r="I127" s="184">
        <v>170.0</v>
      </c>
      <c r="J127" s="184" t="s">
        <v>195</v>
      </c>
      <c r="K127" s="184" t="s">
        <v>189</v>
      </c>
      <c r="L127" s="184" t="s">
        <v>189</v>
      </c>
      <c r="M127" s="184">
        <v>70.0</v>
      </c>
      <c r="N127" s="184" t="s">
        <v>203</v>
      </c>
      <c r="O127" s="184" t="s">
        <v>181</v>
      </c>
      <c r="P127" s="184" t="s">
        <v>254</v>
      </c>
      <c r="Q127" s="184">
        <v>205.0</v>
      </c>
      <c r="R127" s="184">
        <v>445.0</v>
      </c>
      <c r="S127" s="186">
        <v>2.96271637816245</v>
      </c>
      <c r="T127" s="184">
        <v>7.0</v>
      </c>
    </row>
    <row r="128">
      <c r="A128" s="184" t="s">
        <v>68</v>
      </c>
      <c r="B128" s="184" t="s">
        <v>109</v>
      </c>
      <c r="C128" s="184" t="s">
        <v>204</v>
      </c>
      <c r="D128" s="184">
        <v>153.8</v>
      </c>
      <c r="E128" s="184" t="s">
        <v>373</v>
      </c>
      <c r="F128" s="184" t="s">
        <v>202</v>
      </c>
      <c r="G128" s="184" t="s">
        <v>201</v>
      </c>
      <c r="H128" s="184" t="s">
        <v>224</v>
      </c>
      <c r="I128" s="184">
        <v>165.0</v>
      </c>
      <c r="J128" s="184" t="s">
        <v>220</v>
      </c>
      <c r="K128" s="184" t="s">
        <v>195</v>
      </c>
      <c r="L128" s="184" t="s">
        <v>189</v>
      </c>
      <c r="M128" s="184">
        <v>70.0</v>
      </c>
      <c r="N128" s="184" t="s">
        <v>151</v>
      </c>
      <c r="O128" s="184" t="s">
        <v>166</v>
      </c>
      <c r="P128" s="184" t="s">
        <v>191</v>
      </c>
      <c r="Q128" s="184">
        <v>210.0</v>
      </c>
      <c r="R128" s="184">
        <v>445.0</v>
      </c>
      <c r="S128" s="186">
        <v>2.8933680104031207</v>
      </c>
      <c r="T128" s="184">
        <v>6.0</v>
      </c>
    </row>
    <row r="129">
      <c r="A129" s="184" t="s">
        <v>68</v>
      </c>
      <c r="B129" s="184" t="s">
        <v>109</v>
      </c>
      <c r="C129" s="184" t="s">
        <v>204</v>
      </c>
      <c r="D129" s="184">
        <v>146.4</v>
      </c>
      <c r="E129" s="184" t="s">
        <v>408</v>
      </c>
      <c r="F129" s="184" t="s">
        <v>150</v>
      </c>
      <c r="G129" s="184" t="s">
        <v>162</v>
      </c>
      <c r="H129" s="184" t="s">
        <v>151</v>
      </c>
      <c r="I129" s="184">
        <v>185.0</v>
      </c>
      <c r="J129" s="184" t="s">
        <v>188</v>
      </c>
      <c r="K129" s="184" t="s">
        <v>244</v>
      </c>
      <c r="L129" s="184" t="s">
        <v>244</v>
      </c>
      <c r="M129" s="184">
        <v>65.0</v>
      </c>
      <c r="N129" s="184" t="s">
        <v>150</v>
      </c>
      <c r="O129" s="184" t="s">
        <v>162</v>
      </c>
      <c r="P129" s="184" t="s">
        <v>162</v>
      </c>
      <c r="Q129" s="184">
        <v>175.0</v>
      </c>
      <c r="R129" s="184">
        <v>425.0</v>
      </c>
      <c r="S129" s="186">
        <v>2.903005464480874</v>
      </c>
      <c r="T129" s="184">
        <v>4.0</v>
      </c>
    </row>
    <row r="130">
      <c r="A130" s="184" t="s">
        <v>68</v>
      </c>
      <c r="B130" s="184" t="s">
        <v>109</v>
      </c>
      <c r="C130" s="184" t="s">
        <v>214</v>
      </c>
      <c r="D130" s="184">
        <v>153.6</v>
      </c>
      <c r="E130" s="184" t="s">
        <v>411</v>
      </c>
      <c r="F130" s="184" t="s">
        <v>170</v>
      </c>
      <c r="G130" s="184" t="s">
        <v>161</v>
      </c>
      <c r="H130" s="184" t="s">
        <v>224</v>
      </c>
      <c r="I130" s="184">
        <v>165.0</v>
      </c>
      <c r="J130" s="184" t="s">
        <v>244</v>
      </c>
      <c r="K130" s="184" t="s">
        <v>173</v>
      </c>
      <c r="L130" s="184" t="s">
        <v>207</v>
      </c>
      <c r="M130" s="184">
        <v>85.0</v>
      </c>
      <c r="N130" s="184" t="s">
        <v>203</v>
      </c>
      <c r="O130" s="184" t="s">
        <v>211</v>
      </c>
      <c r="P130" s="184" t="s">
        <v>211</v>
      </c>
      <c r="Q130" s="184">
        <v>170.0</v>
      </c>
      <c r="R130" s="184">
        <v>420.0</v>
      </c>
      <c r="S130" s="186">
        <v>2.734375</v>
      </c>
      <c r="T130" s="184">
        <v>5.0</v>
      </c>
    </row>
    <row r="131">
      <c r="A131" s="184" t="s">
        <v>68</v>
      </c>
      <c r="B131" s="184" t="s">
        <v>109</v>
      </c>
      <c r="C131" s="184" t="s">
        <v>285</v>
      </c>
      <c r="D131" s="184">
        <v>151.8</v>
      </c>
      <c r="E131" s="184" t="s">
        <v>412</v>
      </c>
      <c r="F131" s="184" t="s">
        <v>216</v>
      </c>
      <c r="G131" s="184" t="s">
        <v>193</v>
      </c>
      <c r="H131" s="184" t="s">
        <v>179</v>
      </c>
      <c r="I131" s="184">
        <v>125.0</v>
      </c>
      <c r="J131" s="184" t="s">
        <v>172</v>
      </c>
      <c r="K131" s="184" t="s">
        <v>189</v>
      </c>
      <c r="L131" s="184" t="s">
        <v>210</v>
      </c>
      <c r="M131" s="184">
        <v>80.0</v>
      </c>
      <c r="N131" s="184" t="s">
        <v>224</v>
      </c>
      <c r="O131" s="184" t="s">
        <v>151</v>
      </c>
      <c r="P131" s="184" t="s">
        <v>254</v>
      </c>
      <c r="Q131" s="184">
        <v>205.0</v>
      </c>
      <c r="R131" s="184">
        <v>410.0</v>
      </c>
      <c r="S131" s="186">
        <v>2.7009222661396572</v>
      </c>
      <c r="T131" s="184">
        <v>8.0</v>
      </c>
    </row>
    <row r="132">
      <c r="A132" s="184" t="s">
        <v>68</v>
      </c>
      <c r="B132" s="184" t="s">
        <v>109</v>
      </c>
      <c r="C132" s="184" t="s">
        <v>168</v>
      </c>
      <c r="D132" s="184">
        <v>151.4</v>
      </c>
      <c r="E132" s="184" t="s">
        <v>419</v>
      </c>
      <c r="F132" s="184" t="s">
        <v>164</v>
      </c>
      <c r="G132" s="184" t="s">
        <v>193</v>
      </c>
      <c r="H132" s="184" t="s">
        <v>243</v>
      </c>
      <c r="I132" s="184">
        <v>115.0</v>
      </c>
      <c r="J132" s="184" t="s">
        <v>195</v>
      </c>
      <c r="K132" s="184" t="s">
        <v>172</v>
      </c>
      <c r="L132" s="184" t="s">
        <v>189</v>
      </c>
      <c r="M132" s="184">
        <v>75.0</v>
      </c>
      <c r="N132" s="184" t="s">
        <v>162</v>
      </c>
      <c r="O132" s="184" t="s">
        <v>208</v>
      </c>
      <c r="P132" s="184" t="s">
        <v>263</v>
      </c>
      <c r="Q132" s="184">
        <v>0.0</v>
      </c>
      <c r="R132" s="184">
        <v>0.0</v>
      </c>
      <c r="S132" s="186">
        <v>0.0</v>
      </c>
      <c r="T132" s="184">
        <v>4.0</v>
      </c>
    </row>
    <row r="133">
      <c r="A133" s="184" t="s">
        <v>74</v>
      </c>
      <c r="B133" s="184" t="s">
        <v>109</v>
      </c>
      <c r="C133" s="184" t="s">
        <v>422</v>
      </c>
      <c r="D133" s="184">
        <v>163.9</v>
      </c>
      <c r="E133" s="184" t="s">
        <v>423</v>
      </c>
      <c r="F133" s="184" t="s">
        <v>254</v>
      </c>
      <c r="G133" s="184" t="s">
        <v>156</v>
      </c>
      <c r="H133" s="184" t="s">
        <v>255</v>
      </c>
      <c r="I133" s="184">
        <v>245.0</v>
      </c>
      <c r="J133" s="184" t="s">
        <v>173</v>
      </c>
      <c r="K133" s="184" t="s">
        <v>153</v>
      </c>
      <c r="L133" s="184" t="s">
        <v>243</v>
      </c>
      <c r="M133" s="184">
        <v>105.0</v>
      </c>
      <c r="N133" s="184" t="s">
        <v>156</v>
      </c>
      <c r="O133" s="184" t="s">
        <v>176</v>
      </c>
      <c r="P133" s="184" t="s">
        <v>424</v>
      </c>
      <c r="Q133" s="184">
        <v>290.0</v>
      </c>
      <c r="R133" s="184">
        <v>640.0</v>
      </c>
      <c r="S133" s="186">
        <v>3.9048200122025625</v>
      </c>
      <c r="T133" s="184">
        <v>8.0</v>
      </c>
    </row>
    <row r="134">
      <c r="A134" s="184" t="s">
        <v>74</v>
      </c>
      <c r="B134" s="184" t="s">
        <v>109</v>
      </c>
      <c r="C134" s="184" t="s">
        <v>221</v>
      </c>
      <c r="D134" s="184">
        <v>163.4</v>
      </c>
      <c r="E134" s="184" t="s">
        <v>425</v>
      </c>
      <c r="F134" s="184" t="s">
        <v>175</v>
      </c>
      <c r="G134" s="184" t="s">
        <v>166</v>
      </c>
      <c r="H134" s="184" t="s">
        <v>320</v>
      </c>
      <c r="I134" s="184">
        <v>210.0</v>
      </c>
      <c r="J134" s="184" t="s">
        <v>193</v>
      </c>
      <c r="K134" s="184" t="s">
        <v>179</v>
      </c>
      <c r="L134" s="184" t="s">
        <v>198</v>
      </c>
      <c r="M134" s="184">
        <v>125.0</v>
      </c>
      <c r="N134" s="184" t="s">
        <v>176</v>
      </c>
      <c r="O134" s="184" t="s">
        <v>329</v>
      </c>
      <c r="P134" s="184" t="s">
        <v>399</v>
      </c>
      <c r="Q134" s="184">
        <v>285.0</v>
      </c>
      <c r="R134" s="184">
        <v>620.0</v>
      </c>
      <c r="S134" s="186">
        <v>3.7943696450428397</v>
      </c>
      <c r="T134" s="184">
        <v>7.0</v>
      </c>
    </row>
    <row r="135">
      <c r="A135" s="184" t="s">
        <v>74</v>
      </c>
      <c r="B135" s="184" t="s">
        <v>109</v>
      </c>
      <c r="C135" s="184" t="s">
        <v>378</v>
      </c>
      <c r="D135" s="184">
        <v>155.6</v>
      </c>
      <c r="E135" s="184" t="s">
        <v>426</v>
      </c>
      <c r="F135" s="184" t="s">
        <v>190</v>
      </c>
      <c r="G135" s="184" t="s">
        <v>156</v>
      </c>
      <c r="H135" s="184" t="s">
        <v>273</v>
      </c>
      <c r="I135" s="184">
        <v>225.0</v>
      </c>
      <c r="J135" s="184" t="s">
        <v>193</v>
      </c>
      <c r="K135" s="184" t="s">
        <v>179</v>
      </c>
      <c r="L135" s="184" t="s">
        <v>180</v>
      </c>
      <c r="M135" s="184">
        <v>125.0</v>
      </c>
      <c r="N135" s="184" t="s">
        <v>156</v>
      </c>
      <c r="O135" s="184" t="s">
        <v>176</v>
      </c>
      <c r="P135" s="184" t="s">
        <v>297</v>
      </c>
      <c r="Q135" s="184">
        <v>250.0</v>
      </c>
      <c r="R135" s="184">
        <v>600.0</v>
      </c>
      <c r="S135" s="186">
        <v>3.856041131105399</v>
      </c>
      <c r="T135" s="184">
        <v>6.0</v>
      </c>
    </row>
    <row r="136">
      <c r="A136" s="184" t="s">
        <v>74</v>
      </c>
      <c r="B136" s="184" t="s">
        <v>109</v>
      </c>
      <c r="C136" s="184" t="s">
        <v>240</v>
      </c>
      <c r="D136" s="184">
        <v>161.8</v>
      </c>
      <c r="E136" s="184" t="s">
        <v>427</v>
      </c>
      <c r="F136" s="184" t="s">
        <v>308</v>
      </c>
      <c r="G136" s="184" t="s">
        <v>255</v>
      </c>
      <c r="H136" s="184" t="s">
        <v>256</v>
      </c>
      <c r="I136" s="184">
        <v>245.0</v>
      </c>
      <c r="J136" s="184" t="s">
        <v>164</v>
      </c>
      <c r="K136" s="184" t="s">
        <v>165</v>
      </c>
      <c r="L136" s="184" t="s">
        <v>165</v>
      </c>
      <c r="M136" s="184">
        <v>100.0</v>
      </c>
      <c r="N136" s="184" t="s">
        <v>183</v>
      </c>
      <c r="O136" s="184" t="s">
        <v>273</v>
      </c>
      <c r="P136" s="184" t="s">
        <v>167</v>
      </c>
      <c r="Q136" s="184">
        <v>235.0</v>
      </c>
      <c r="R136" s="184">
        <v>580.0</v>
      </c>
      <c r="S136" s="186">
        <v>3.584672435105068</v>
      </c>
      <c r="T136" s="184">
        <v>5.0</v>
      </c>
    </row>
    <row r="137">
      <c r="A137" s="184" t="s">
        <v>74</v>
      </c>
      <c r="B137" s="184" t="s">
        <v>109</v>
      </c>
      <c r="C137" s="184" t="s">
        <v>168</v>
      </c>
      <c r="D137" s="184">
        <v>162.8</v>
      </c>
      <c r="E137" s="184" t="s">
        <v>428</v>
      </c>
      <c r="F137" s="184" t="s">
        <v>263</v>
      </c>
      <c r="G137" s="184" t="s">
        <v>156</v>
      </c>
      <c r="H137" s="184" t="s">
        <v>308</v>
      </c>
      <c r="I137" s="184">
        <v>230.0</v>
      </c>
      <c r="J137" s="184" t="s">
        <v>173</v>
      </c>
      <c r="K137" s="184" t="s">
        <v>163</v>
      </c>
      <c r="L137" s="184" t="s">
        <v>216</v>
      </c>
      <c r="M137" s="184">
        <v>95.0</v>
      </c>
      <c r="N137" s="184" t="s">
        <v>190</v>
      </c>
      <c r="O137" s="184" t="s">
        <v>167</v>
      </c>
      <c r="P137" s="184" t="s">
        <v>324</v>
      </c>
      <c r="Q137" s="184">
        <v>255.0</v>
      </c>
      <c r="R137" s="184">
        <v>580.0</v>
      </c>
      <c r="S137" s="186">
        <v>3.5626535626535625</v>
      </c>
      <c r="T137" s="184">
        <v>8.0</v>
      </c>
    </row>
    <row r="138">
      <c r="A138" s="184" t="s">
        <v>74</v>
      </c>
      <c r="B138" s="184" t="s">
        <v>109</v>
      </c>
      <c r="C138" s="184" t="s">
        <v>184</v>
      </c>
      <c r="D138" s="184">
        <v>158.0</v>
      </c>
      <c r="E138" s="184" t="s">
        <v>430</v>
      </c>
      <c r="F138" s="184" t="s">
        <v>235</v>
      </c>
      <c r="G138" s="184" t="s">
        <v>181</v>
      </c>
      <c r="H138" s="184" t="s">
        <v>182</v>
      </c>
      <c r="I138" s="184">
        <v>200.0</v>
      </c>
      <c r="J138" s="184" t="s">
        <v>262</v>
      </c>
      <c r="K138" s="184" t="s">
        <v>153</v>
      </c>
      <c r="L138" s="184" t="s">
        <v>154</v>
      </c>
      <c r="M138" s="184">
        <v>110.0</v>
      </c>
      <c r="N138" s="184" t="s">
        <v>158</v>
      </c>
      <c r="O138" s="184" t="s">
        <v>324</v>
      </c>
      <c r="P138" s="184" t="s">
        <v>293</v>
      </c>
      <c r="Q138" s="184">
        <v>265.0</v>
      </c>
      <c r="R138" s="184">
        <v>575.0</v>
      </c>
      <c r="S138" s="186">
        <v>3.6392405063291138</v>
      </c>
      <c r="T138" s="184">
        <v>8.0</v>
      </c>
    </row>
    <row r="139">
      <c r="A139" s="184" t="s">
        <v>74</v>
      </c>
      <c r="B139" s="184" t="s">
        <v>109</v>
      </c>
      <c r="C139" s="184" t="s">
        <v>184</v>
      </c>
      <c r="D139" s="184">
        <v>156.0</v>
      </c>
      <c r="E139" s="184" t="s">
        <v>431</v>
      </c>
      <c r="F139" s="184" t="s">
        <v>175</v>
      </c>
      <c r="G139" s="184" t="s">
        <v>190</v>
      </c>
      <c r="H139" s="184" t="s">
        <v>271</v>
      </c>
      <c r="I139" s="184">
        <v>215.0</v>
      </c>
      <c r="J139" s="184" t="s">
        <v>173</v>
      </c>
      <c r="K139" s="184" t="s">
        <v>163</v>
      </c>
      <c r="L139" s="184" t="s">
        <v>340</v>
      </c>
      <c r="M139" s="184">
        <v>90.0</v>
      </c>
      <c r="N139" s="184" t="s">
        <v>156</v>
      </c>
      <c r="O139" s="184" t="s">
        <v>176</v>
      </c>
      <c r="P139" s="184" t="s">
        <v>328</v>
      </c>
      <c r="Q139" s="184">
        <v>260.0</v>
      </c>
      <c r="R139" s="184">
        <v>565.0</v>
      </c>
      <c r="S139" s="186">
        <v>3.621794871794872</v>
      </c>
      <c r="T139" s="184">
        <v>7.0</v>
      </c>
    </row>
    <row r="140">
      <c r="A140" s="184" t="s">
        <v>74</v>
      </c>
      <c r="B140" s="184" t="s">
        <v>109</v>
      </c>
      <c r="C140" s="184" t="s">
        <v>251</v>
      </c>
      <c r="D140" s="184">
        <v>161.0</v>
      </c>
      <c r="E140" s="184" t="s">
        <v>433</v>
      </c>
      <c r="F140" s="184" t="s">
        <v>166</v>
      </c>
      <c r="G140" s="184" t="s">
        <v>320</v>
      </c>
      <c r="H140" s="184" t="s">
        <v>190</v>
      </c>
      <c r="I140" s="184">
        <v>215.0</v>
      </c>
      <c r="J140" s="184" t="s">
        <v>216</v>
      </c>
      <c r="K140" s="184" t="s">
        <v>153</v>
      </c>
      <c r="L140" s="184" t="s">
        <v>227</v>
      </c>
      <c r="M140" s="184">
        <v>105.0</v>
      </c>
      <c r="N140" s="184" t="s">
        <v>175</v>
      </c>
      <c r="O140" s="184" t="s">
        <v>190</v>
      </c>
      <c r="P140" s="184" t="s">
        <v>167</v>
      </c>
      <c r="Q140" s="184">
        <v>235.0</v>
      </c>
      <c r="R140" s="184">
        <v>555.0</v>
      </c>
      <c r="S140" s="186">
        <v>3.4472049689440993</v>
      </c>
      <c r="T140" s="184">
        <v>7.0</v>
      </c>
    </row>
    <row r="141">
      <c r="A141" s="184" t="s">
        <v>74</v>
      </c>
      <c r="B141" s="184" t="s">
        <v>109</v>
      </c>
      <c r="C141" s="184" t="s">
        <v>402</v>
      </c>
      <c r="D141" s="184">
        <v>162.8</v>
      </c>
      <c r="E141" s="184" t="s">
        <v>434</v>
      </c>
      <c r="F141" s="184" t="s">
        <v>151</v>
      </c>
      <c r="G141" s="184" t="s">
        <v>182</v>
      </c>
      <c r="H141" s="184" t="s">
        <v>166</v>
      </c>
      <c r="I141" s="184">
        <v>210.0</v>
      </c>
      <c r="J141" s="184" t="s">
        <v>164</v>
      </c>
      <c r="K141" s="184" t="s">
        <v>154</v>
      </c>
      <c r="L141" s="184" t="s">
        <v>227</v>
      </c>
      <c r="M141" s="184">
        <v>110.0</v>
      </c>
      <c r="N141" s="184" t="s">
        <v>182</v>
      </c>
      <c r="O141" s="184" t="s">
        <v>190</v>
      </c>
      <c r="P141" s="184" t="s">
        <v>156</v>
      </c>
      <c r="Q141" s="184">
        <v>225.0</v>
      </c>
      <c r="R141" s="184">
        <v>545.0</v>
      </c>
      <c r="S141" s="186">
        <v>3.3476658476658474</v>
      </c>
      <c r="T141" s="184">
        <v>8.0</v>
      </c>
    </row>
    <row r="142">
      <c r="A142" s="184" t="s">
        <v>74</v>
      </c>
      <c r="B142" s="184" t="s">
        <v>109</v>
      </c>
      <c r="C142" s="184" t="s">
        <v>199</v>
      </c>
      <c r="D142" s="184">
        <v>163.2</v>
      </c>
      <c r="E142" s="184" t="s">
        <v>435</v>
      </c>
      <c r="F142" s="184" t="s">
        <v>175</v>
      </c>
      <c r="G142" s="184" t="s">
        <v>301</v>
      </c>
      <c r="H142" s="184" t="s">
        <v>166</v>
      </c>
      <c r="I142" s="184">
        <v>210.0</v>
      </c>
      <c r="J142" s="184" t="s">
        <v>216</v>
      </c>
      <c r="K142" s="184" t="s">
        <v>262</v>
      </c>
      <c r="L142" s="184" t="s">
        <v>153</v>
      </c>
      <c r="M142" s="184">
        <v>105.0</v>
      </c>
      <c r="N142" s="184" t="s">
        <v>166</v>
      </c>
      <c r="O142" s="184" t="s">
        <v>308</v>
      </c>
      <c r="P142" s="184" t="s">
        <v>157</v>
      </c>
      <c r="Q142" s="184">
        <v>230.0</v>
      </c>
      <c r="R142" s="184">
        <v>545.0</v>
      </c>
      <c r="S142" s="186">
        <v>3.339460784313726</v>
      </c>
      <c r="T142" s="184">
        <v>6.0</v>
      </c>
    </row>
    <row r="143">
      <c r="A143" s="184" t="s">
        <v>74</v>
      </c>
      <c r="B143" s="184" t="s">
        <v>109</v>
      </c>
      <c r="C143" s="184" t="s">
        <v>363</v>
      </c>
      <c r="D143" s="184">
        <v>159.6</v>
      </c>
      <c r="E143" s="184" t="s">
        <v>436</v>
      </c>
      <c r="F143" s="184" t="s">
        <v>162</v>
      </c>
      <c r="G143" s="184" t="s">
        <v>254</v>
      </c>
      <c r="H143" s="184" t="s">
        <v>190</v>
      </c>
      <c r="I143" s="184">
        <v>215.0</v>
      </c>
      <c r="J143" s="184" t="s">
        <v>163</v>
      </c>
      <c r="K143" s="184" t="s">
        <v>164</v>
      </c>
      <c r="L143" s="184" t="s">
        <v>165</v>
      </c>
      <c r="M143" s="184">
        <v>100.0</v>
      </c>
      <c r="N143" s="184" t="s">
        <v>175</v>
      </c>
      <c r="O143" s="184" t="s">
        <v>190</v>
      </c>
      <c r="P143" s="184" t="s">
        <v>157</v>
      </c>
      <c r="Q143" s="184">
        <v>215.0</v>
      </c>
      <c r="R143" s="184">
        <v>530.0</v>
      </c>
      <c r="S143" s="186">
        <v>3.3208020050125313</v>
      </c>
      <c r="T143" s="184">
        <v>6.0</v>
      </c>
    </row>
    <row r="144">
      <c r="A144" s="184" t="s">
        <v>74</v>
      </c>
      <c r="B144" s="184" t="s">
        <v>109</v>
      </c>
      <c r="C144" s="184" t="s">
        <v>251</v>
      </c>
      <c r="D144" s="184">
        <v>159.8</v>
      </c>
      <c r="E144" s="184" t="s">
        <v>437</v>
      </c>
      <c r="F144" s="184" t="s">
        <v>161</v>
      </c>
      <c r="G144" s="184" t="s">
        <v>150</v>
      </c>
      <c r="H144" s="184" t="s">
        <v>152</v>
      </c>
      <c r="I144" s="184">
        <v>175.0</v>
      </c>
      <c r="J144" s="184" t="s">
        <v>210</v>
      </c>
      <c r="K144" s="184" t="s">
        <v>174</v>
      </c>
      <c r="L144" s="184" t="s">
        <v>174</v>
      </c>
      <c r="M144" s="184">
        <v>80.0</v>
      </c>
      <c r="N144" s="184" t="s">
        <v>183</v>
      </c>
      <c r="O144" s="184" t="s">
        <v>158</v>
      </c>
      <c r="P144" s="184" t="s">
        <v>324</v>
      </c>
      <c r="Q144" s="184">
        <v>255.0</v>
      </c>
      <c r="R144" s="184">
        <v>510.0</v>
      </c>
      <c r="S144" s="186">
        <v>3.1914893617021276</v>
      </c>
      <c r="T144" s="184">
        <v>6.0</v>
      </c>
    </row>
    <row r="145">
      <c r="A145" s="184" t="s">
        <v>74</v>
      </c>
      <c r="B145" s="184" t="s">
        <v>109</v>
      </c>
      <c r="C145" s="184" t="s">
        <v>275</v>
      </c>
      <c r="D145" s="184">
        <v>156.4</v>
      </c>
      <c r="E145" s="184" t="s">
        <v>438</v>
      </c>
      <c r="F145" s="184" t="s">
        <v>170</v>
      </c>
      <c r="G145" s="184" t="s">
        <v>171</v>
      </c>
      <c r="H145" s="184" t="s">
        <v>161</v>
      </c>
      <c r="I145" s="184">
        <v>160.0</v>
      </c>
      <c r="J145" s="184" t="s">
        <v>163</v>
      </c>
      <c r="K145" s="184" t="s">
        <v>164</v>
      </c>
      <c r="L145" s="184" t="s">
        <v>154</v>
      </c>
      <c r="M145" s="184">
        <v>110.0</v>
      </c>
      <c r="N145" s="184" t="s">
        <v>182</v>
      </c>
      <c r="O145" s="184" t="s">
        <v>190</v>
      </c>
      <c r="P145" s="184" t="s">
        <v>308</v>
      </c>
      <c r="Q145" s="184">
        <v>230.0</v>
      </c>
      <c r="R145" s="184">
        <v>500.0</v>
      </c>
      <c r="S145" s="186">
        <v>3.19693094629156</v>
      </c>
      <c r="T145" s="184">
        <v>9.0</v>
      </c>
    </row>
    <row r="146">
      <c r="A146" s="184" t="s">
        <v>74</v>
      </c>
      <c r="B146" s="184" t="s">
        <v>109</v>
      </c>
      <c r="C146" s="184" t="s">
        <v>214</v>
      </c>
      <c r="D146" s="184">
        <v>158.2</v>
      </c>
      <c r="E146" s="184" t="s">
        <v>439</v>
      </c>
      <c r="F146" s="184" t="s">
        <v>171</v>
      </c>
      <c r="G146" s="184" t="s">
        <v>150</v>
      </c>
      <c r="H146" s="184" t="s">
        <v>181</v>
      </c>
      <c r="I146" s="184">
        <v>190.0</v>
      </c>
      <c r="J146" s="184" t="s">
        <v>173</v>
      </c>
      <c r="K146" s="184" t="s">
        <v>216</v>
      </c>
      <c r="L146" s="184" t="s">
        <v>207</v>
      </c>
      <c r="M146" s="184">
        <v>95.0</v>
      </c>
      <c r="N146" s="184" t="s">
        <v>175</v>
      </c>
      <c r="O146" s="184" t="s">
        <v>271</v>
      </c>
      <c r="P146" s="184" t="s">
        <v>271</v>
      </c>
      <c r="Q146" s="184">
        <v>195.0</v>
      </c>
      <c r="R146" s="184">
        <v>480.0</v>
      </c>
      <c r="S146" s="186">
        <v>3.0341340075853354</v>
      </c>
      <c r="T146" s="184">
        <v>6.0</v>
      </c>
    </row>
    <row r="147">
      <c r="A147" s="184" t="s">
        <v>74</v>
      </c>
      <c r="B147" s="184" t="s">
        <v>109</v>
      </c>
      <c r="C147" s="184" t="s">
        <v>184</v>
      </c>
      <c r="D147" s="184">
        <v>158.4</v>
      </c>
      <c r="E147" s="184" t="s">
        <v>441</v>
      </c>
      <c r="F147" s="184" t="s">
        <v>203</v>
      </c>
      <c r="G147" s="184" t="s">
        <v>150</v>
      </c>
      <c r="H147" s="184" t="s">
        <v>232</v>
      </c>
      <c r="I147" s="184">
        <v>175.0</v>
      </c>
      <c r="J147" s="184" t="s">
        <v>163</v>
      </c>
      <c r="K147" s="184" t="s">
        <v>164</v>
      </c>
      <c r="L147" s="184" t="s">
        <v>262</v>
      </c>
      <c r="M147" s="184">
        <v>100.0</v>
      </c>
      <c r="N147" s="184" t="s">
        <v>235</v>
      </c>
      <c r="O147" s="184" t="s">
        <v>151</v>
      </c>
      <c r="P147" s="184" t="s">
        <v>175</v>
      </c>
      <c r="Q147" s="184">
        <v>195.0</v>
      </c>
      <c r="R147" s="184">
        <v>470.0</v>
      </c>
      <c r="S147" s="186">
        <v>2.967171717171717</v>
      </c>
      <c r="T147" s="184">
        <v>7.0</v>
      </c>
    </row>
    <row r="148">
      <c r="A148" s="184" t="s">
        <v>74</v>
      </c>
      <c r="B148" s="184" t="s">
        <v>109</v>
      </c>
      <c r="C148" s="184" t="s">
        <v>212</v>
      </c>
      <c r="D148" s="184">
        <v>159.8</v>
      </c>
      <c r="E148" s="184" t="s">
        <v>443</v>
      </c>
      <c r="F148" s="184" t="s">
        <v>186</v>
      </c>
      <c r="G148" s="184" t="s">
        <v>171</v>
      </c>
      <c r="H148" s="184" t="s">
        <v>224</v>
      </c>
      <c r="I148" s="184">
        <v>165.0</v>
      </c>
      <c r="J148" s="184" t="s">
        <v>163</v>
      </c>
      <c r="K148" s="184" t="s">
        <v>164</v>
      </c>
      <c r="L148" s="184" t="s">
        <v>165</v>
      </c>
      <c r="M148" s="184">
        <v>100.0</v>
      </c>
      <c r="N148" s="184" t="s">
        <v>224</v>
      </c>
      <c r="O148" s="184" t="s">
        <v>151</v>
      </c>
      <c r="P148" s="184" t="s">
        <v>182</v>
      </c>
      <c r="Q148" s="184">
        <v>200.0</v>
      </c>
      <c r="R148" s="184">
        <v>465.0</v>
      </c>
      <c r="S148" s="186">
        <v>2.9098873591989984</v>
      </c>
      <c r="T148" s="184">
        <v>8.0</v>
      </c>
    </row>
    <row r="149">
      <c r="A149" s="184" t="s">
        <v>74</v>
      </c>
      <c r="B149" s="184" t="s">
        <v>109</v>
      </c>
      <c r="C149" s="184" t="s">
        <v>260</v>
      </c>
      <c r="D149" s="184">
        <v>163.4</v>
      </c>
      <c r="E149" s="184" t="s">
        <v>445</v>
      </c>
      <c r="F149" s="184" t="s">
        <v>154</v>
      </c>
      <c r="G149" s="184" t="s">
        <v>179</v>
      </c>
      <c r="H149" s="184" t="s">
        <v>245</v>
      </c>
      <c r="I149" s="184">
        <v>145.0</v>
      </c>
      <c r="J149" s="184" t="s">
        <v>172</v>
      </c>
      <c r="K149" s="184" t="s">
        <v>216</v>
      </c>
      <c r="L149" s="184" t="s">
        <v>207</v>
      </c>
      <c r="M149" s="184">
        <v>95.0</v>
      </c>
      <c r="N149" s="184" t="s">
        <v>182</v>
      </c>
      <c r="O149" s="184" t="s">
        <v>156</v>
      </c>
      <c r="P149" s="184" t="s">
        <v>273</v>
      </c>
      <c r="Q149" s="184">
        <v>225.0</v>
      </c>
      <c r="R149" s="184">
        <v>465.0</v>
      </c>
      <c r="S149" s="186">
        <v>2.8457772337821297</v>
      </c>
      <c r="T149" s="184">
        <v>7.0</v>
      </c>
    </row>
    <row r="150">
      <c r="A150" s="184" t="s">
        <v>74</v>
      </c>
      <c r="B150" s="184" t="s">
        <v>109</v>
      </c>
      <c r="C150" s="184" t="s">
        <v>184</v>
      </c>
      <c r="D150" s="184">
        <v>161.2</v>
      </c>
      <c r="E150" s="184" t="s">
        <v>446</v>
      </c>
      <c r="F150" s="184" t="s">
        <v>170</v>
      </c>
      <c r="G150" s="184" t="s">
        <v>171</v>
      </c>
      <c r="H150" s="184" t="s">
        <v>280</v>
      </c>
      <c r="I150" s="184">
        <v>150.0</v>
      </c>
      <c r="J150" s="184" t="s">
        <v>210</v>
      </c>
      <c r="K150" s="184" t="s">
        <v>173</v>
      </c>
      <c r="L150" s="184" t="s">
        <v>174</v>
      </c>
      <c r="M150" s="184">
        <v>85.0</v>
      </c>
      <c r="N150" s="184" t="s">
        <v>151</v>
      </c>
      <c r="O150" s="184" t="s">
        <v>175</v>
      </c>
      <c r="P150" s="184" t="s">
        <v>208</v>
      </c>
      <c r="Q150" s="184">
        <v>195.0</v>
      </c>
      <c r="R150" s="184">
        <v>430.0</v>
      </c>
      <c r="S150" s="186">
        <v>2.667493796526055</v>
      </c>
      <c r="T150" s="184">
        <v>6.0</v>
      </c>
    </row>
    <row r="151">
      <c r="A151" s="184" t="s">
        <v>74</v>
      </c>
      <c r="B151" s="184" t="s">
        <v>109</v>
      </c>
      <c r="C151" s="184" t="s">
        <v>451</v>
      </c>
      <c r="D151" s="184">
        <v>159.6</v>
      </c>
      <c r="E151" s="184" t="s">
        <v>452</v>
      </c>
      <c r="F151" s="184" t="s">
        <v>152</v>
      </c>
      <c r="G151" s="184" t="s">
        <v>183</v>
      </c>
      <c r="H151" s="184" t="s">
        <v>191</v>
      </c>
      <c r="I151" s="184">
        <v>220.0</v>
      </c>
      <c r="J151" s="184" t="s">
        <v>262</v>
      </c>
      <c r="K151" s="184" t="s">
        <v>165</v>
      </c>
      <c r="L151" s="184" t="s">
        <v>165</v>
      </c>
      <c r="M151" s="184">
        <v>0.0</v>
      </c>
      <c r="N151" s="184" t="s">
        <v>255</v>
      </c>
      <c r="O151" s="184" t="s">
        <v>405</v>
      </c>
      <c r="P151" s="184" t="s">
        <v>405</v>
      </c>
      <c r="Q151" s="184">
        <v>245.0</v>
      </c>
      <c r="R151" s="184">
        <v>0.0</v>
      </c>
      <c r="S151" s="186">
        <v>0.0</v>
      </c>
      <c r="T151" s="184">
        <v>2.0</v>
      </c>
    </row>
    <row r="152">
      <c r="A152" s="184" t="s">
        <v>74</v>
      </c>
      <c r="B152" s="184" t="s">
        <v>109</v>
      </c>
      <c r="C152" s="184" t="s">
        <v>184</v>
      </c>
      <c r="D152" s="184">
        <v>162.8</v>
      </c>
      <c r="E152" s="184" t="s">
        <v>448</v>
      </c>
      <c r="F152" s="184" t="s">
        <v>187</v>
      </c>
      <c r="G152" s="184" t="s">
        <v>201</v>
      </c>
      <c r="H152" s="184" t="s">
        <v>201</v>
      </c>
      <c r="I152" s="184">
        <v>0.0</v>
      </c>
      <c r="J152" s="184" t="s">
        <v>173</v>
      </c>
      <c r="K152" s="184" t="s">
        <v>174</v>
      </c>
      <c r="L152" s="184" t="s">
        <v>174</v>
      </c>
      <c r="M152" s="184">
        <v>85.0</v>
      </c>
      <c r="N152" s="184" t="s">
        <v>158</v>
      </c>
      <c r="O152" s="184" t="s">
        <v>324</v>
      </c>
      <c r="P152" s="184" t="s">
        <v>449</v>
      </c>
      <c r="Q152" s="184">
        <v>255.0</v>
      </c>
      <c r="R152" s="184">
        <v>0.0</v>
      </c>
      <c r="S152" s="186">
        <v>0.0</v>
      </c>
      <c r="T152" s="184">
        <v>3.0</v>
      </c>
    </row>
    <row r="153">
      <c r="A153" s="184" t="s">
        <v>74</v>
      </c>
      <c r="B153" s="184" t="s">
        <v>109</v>
      </c>
      <c r="C153" s="184" t="s">
        <v>214</v>
      </c>
      <c r="D153" s="184">
        <v>163.4</v>
      </c>
      <c r="E153" s="184" t="s">
        <v>453</v>
      </c>
      <c r="F153" s="184" t="s">
        <v>171</v>
      </c>
      <c r="G153" s="184" t="s">
        <v>161</v>
      </c>
      <c r="H153" s="184" t="s">
        <v>232</v>
      </c>
      <c r="I153" s="184">
        <v>160.0</v>
      </c>
      <c r="J153" s="184" t="s">
        <v>172</v>
      </c>
      <c r="K153" s="184" t="s">
        <v>163</v>
      </c>
      <c r="L153" s="184" t="s">
        <v>340</v>
      </c>
      <c r="M153" s="184">
        <v>90.0</v>
      </c>
      <c r="N153" s="184" t="s">
        <v>191</v>
      </c>
      <c r="O153" s="184" t="s">
        <v>191</v>
      </c>
      <c r="P153" s="184" t="s">
        <v>191</v>
      </c>
      <c r="Q153" s="184">
        <v>0.0</v>
      </c>
      <c r="R153" s="184">
        <v>0.0</v>
      </c>
      <c r="S153" s="186">
        <v>0.0</v>
      </c>
      <c r="T153" s="184">
        <v>4.0</v>
      </c>
    </row>
    <row r="154">
      <c r="A154" s="184" t="s">
        <v>78</v>
      </c>
      <c r="B154" s="184" t="s">
        <v>109</v>
      </c>
      <c r="C154" s="184" t="s">
        <v>221</v>
      </c>
      <c r="D154" s="184">
        <v>179.6</v>
      </c>
      <c r="E154" s="184" t="s">
        <v>470</v>
      </c>
      <c r="F154" s="184" t="s">
        <v>329</v>
      </c>
      <c r="G154" s="184" t="s">
        <v>424</v>
      </c>
      <c r="H154" s="184" t="s">
        <v>406</v>
      </c>
      <c r="I154" s="184">
        <v>300.0</v>
      </c>
      <c r="J154" s="184" t="s">
        <v>179</v>
      </c>
      <c r="K154" s="184" t="s">
        <v>186</v>
      </c>
      <c r="L154" s="184" t="s">
        <v>170</v>
      </c>
      <c r="M154" s="184">
        <v>140.0</v>
      </c>
      <c r="N154" s="184" t="s">
        <v>424</v>
      </c>
      <c r="O154" s="184" t="s">
        <v>469</v>
      </c>
      <c r="P154" s="184" t="s">
        <v>407</v>
      </c>
      <c r="Q154" s="184">
        <v>315.0</v>
      </c>
      <c r="R154" s="184">
        <v>755.0</v>
      </c>
      <c r="S154" s="186">
        <v>4.203786191536748</v>
      </c>
      <c r="T154" s="184">
        <v>9.0</v>
      </c>
    </row>
    <row r="155">
      <c r="A155" s="184" t="s">
        <v>78</v>
      </c>
      <c r="B155" s="184" t="s">
        <v>109</v>
      </c>
      <c r="C155" s="184" t="s">
        <v>471</v>
      </c>
      <c r="D155" s="184">
        <v>166.0</v>
      </c>
      <c r="E155" s="184" t="s">
        <v>472</v>
      </c>
      <c r="F155" s="184" t="s">
        <v>190</v>
      </c>
      <c r="G155" s="184" t="s">
        <v>167</v>
      </c>
      <c r="H155" s="184" t="s">
        <v>328</v>
      </c>
      <c r="I155" s="184">
        <v>260.0</v>
      </c>
      <c r="J155" s="184" t="s">
        <v>179</v>
      </c>
      <c r="K155" s="184" t="s">
        <v>170</v>
      </c>
      <c r="L155" s="184" t="s">
        <v>187</v>
      </c>
      <c r="M155" s="184">
        <v>140.0</v>
      </c>
      <c r="N155" s="184" t="s">
        <v>406</v>
      </c>
      <c r="O155" s="184" t="s">
        <v>414</v>
      </c>
      <c r="P155" s="184" t="s">
        <v>473</v>
      </c>
      <c r="Q155" s="184">
        <v>335.0</v>
      </c>
      <c r="R155" s="184">
        <v>735.0</v>
      </c>
      <c r="S155" s="186">
        <v>4.427710843373494</v>
      </c>
      <c r="T155" s="184">
        <v>8.0</v>
      </c>
    </row>
    <row r="156">
      <c r="A156" s="184" t="s">
        <v>78</v>
      </c>
      <c r="B156" s="184" t="s">
        <v>109</v>
      </c>
      <c r="C156" s="184" t="s">
        <v>260</v>
      </c>
      <c r="D156" s="184">
        <v>168.6</v>
      </c>
      <c r="E156" s="184" t="s">
        <v>465</v>
      </c>
      <c r="F156" s="184" t="s">
        <v>175</v>
      </c>
      <c r="G156" s="184" t="s">
        <v>254</v>
      </c>
      <c r="H156" s="184" t="s">
        <v>156</v>
      </c>
      <c r="I156" s="184">
        <v>225.0</v>
      </c>
      <c r="J156" s="184" t="s">
        <v>216</v>
      </c>
      <c r="K156" s="184" t="s">
        <v>153</v>
      </c>
      <c r="L156" s="184" t="s">
        <v>154</v>
      </c>
      <c r="M156" s="184">
        <v>110.0</v>
      </c>
      <c r="N156" s="184" t="s">
        <v>399</v>
      </c>
      <c r="O156" s="184" t="s">
        <v>406</v>
      </c>
      <c r="P156" s="184" t="s">
        <v>466</v>
      </c>
      <c r="Q156" s="184">
        <v>300.0</v>
      </c>
      <c r="R156" s="184">
        <v>635.0</v>
      </c>
      <c r="S156" s="186">
        <v>3.7663107947805456</v>
      </c>
      <c r="T156" s="184">
        <v>8.0</v>
      </c>
    </row>
    <row r="157">
      <c r="A157" s="184" t="s">
        <v>78</v>
      </c>
      <c r="B157" s="184" t="s">
        <v>109</v>
      </c>
      <c r="C157" s="184" t="s">
        <v>467</v>
      </c>
      <c r="D157" s="184">
        <v>173.8</v>
      </c>
      <c r="E157" s="184" t="s">
        <v>468</v>
      </c>
      <c r="F157" s="184" t="s">
        <v>308</v>
      </c>
      <c r="G157" s="184" t="s">
        <v>157</v>
      </c>
      <c r="H157" s="184" t="s">
        <v>157</v>
      </c>
      <c r="I157" s="184">
        <v>230.0</v>
      </c>
      <c r="J157" s="184" t="s">
        <v>172</v>
      </c>
      <c r="K157" s="184" t="s">
        <v>173</v>
      </c>
      <c r="L157" s="184" t="s">
        <v>163</v>
      </c>
      <c r="M157" s="184">
        <v>90.0</v>
      </c>
      <c r="N157" s="184" t="s">
        <v>424</v>
      </c>
      <c r="O157" s="184" t="s">
        <v>469</v>
      </c>
      <c r="P157" s="184" t="s">
        <v>466</v>
      </c>
      <c r="Q157" s="184">
        <v>305.0</v>
      </c>
      <c r="R157" s="184">
        <v>625.0</v>
      </c>
      <c r="S157" s="186">
        <v>3.5960874568469503</v>
      </c>
      <c r="T157" s="184">
        <v>6.0</v>
      </c>
    </row>
    <row r="158">
      <c r="A158" s="184" t="s">
        <v>78</v>
      </c>
      <c r="B158" s="184" t="s">
        <v>109</v>
      </c>
      <c r="C158" s="184" t="s">
        <v>184</v>
      </c>
      <c r="D158" s="184">
        <v>167.1</v>
      </c>
      <c r="E158" s="184" t="s">
        <v>455</v>
      </c>
      <c r="F158" s="184" t="s">
        <v>203</v>
      </c>
      <c r="G158" s="184" t="s">
        <v>235</v>
      </c>
      <c r="H158" s="184" t="s">
        <v>190</v>
      </c>
      <c r="I158" s="184">
        <v>215.0</v>
      </c>
      <c r="J158" s="184" t="s">
        <v>193</v>
      </c>
      <c r="K158" s="184" t="s">
        <v>197</v>
      </c>
      <c r="L158" s="184" t="s">
        <v>186</v>
      </c>
      <c r="M158" s="184">
        <v>135.0</v>
      </c>
      <c r="N158" s="184" t="s">
        <v>166</v>
      </c>
      <c r="O158" s="184" t="s">
        <v>255</v>
      </c>
      <c r="P158" s="184" t="s">
        <v>329</v>
      </c>
      <c r="Q158" s="184">
        <v>270.0</v>
      </c>
      <c r="R158" s="184">
        <v>620.0</v>
      </c>
      <c r="S158" s="186">
        <v>3.7103530819868342</v>
      </c>
      <c r="T158" s="184">
        <v>9.0</v>
      </c>
    </row>
    <row r="159">
      <c r="A159" s="184" t="s">
        <v>78</v>
      </c>
      <c r="B159" s="184" t="s">
        <v>109</v>
      </c>
      <c r="C159" s="184" t="s">
        <v>287</v>
      </c>
      <c r="D159" s="184">
        <v>177.4</v>
      </c>
      <c r="E159" s="184" t="s">
        <v>458</v>
      </c>
      <c r="F159" s="184" t="s">
        <v>156</v>
      </c>
      <c r="G159" s="184" t="s">
        <v>176</v>
      </c>
      <c r="H159" s="184" t="s">
        <v>405</v>
      </c>
      <c r="I159" s="184">
        <v>250.0</v>
      </c>
      <c r="J159" s="184" t="s">
        <v>153</v>
      </c>
      <c r="K159" s="184" t="s">
        <v>155</v>
      </c>
      <c r="L159" s="184" t="s">
        <v>155</v>
      </c>
      <c r="M159" s="184">
        <v>105.0</v>
      </c>
      <c r="N159" s="184" t="s">
        <v>167</v>
      </c>
      <c r="O159" s="184" t="s">
        <v>324</v>
      </c>
      <c r="P159" s="184" t="s">
        <v>459</v>
      </c>
      <c r="Q159" s="184">
        <v>255.0</v>
      </c>
      <c r="R159" s="184">
        <v>610.0</v>
      </c>
      <c r="S159" s="186">
        <v>3.4385569334836528</v>
      </c>
      <c r="T159" s="184">
        <v>5.0</v>
      </c>
    </row>
    <row r="160">
      <c r="A160" s="184" t="s">
        <v>78</v>
      </c>
      <c r="B160" s="184" t="s">
        <v>109</v>
      </c>
      <c r="C160" s="184" t="s">
        <v>460</v>
      </c>
      <c r="D160" s="184">
        <v>169.1</v>
      </c>
      <c r="E160" s="184" t="s">
        <v>461</v>
      </c>
      <c r="F160" s="184" t="s">
        <v>166</v>
      </c>
      <c r="G160" s="184" t="s">
        <v>190</v>
      </c>
      <c r="H160" s="184" t="s">
        <v>191</v>
      </c>
      <c r="I160" s="184">
        <v>215.0</v>
      </c>
      <c r="J160" s="184" t="s">
        <v>262</v>
      </c>
      <c r="K160" s="184" t="s">
        <v>153</v>
      </c>
      <c r="L160" s="184" t="s">
        <v>227</v>
      </c>
      <c r="M160" s="184">
        <v>105.0</v>
      </c>
      <c r="N160" s="184" t="s">
        <v>176</v>
      </c>
      <c r="O160" s="184" t="s">
        <v>325</v>
      </c>
      <c r="P160" s="184" t="s">
        <v>462</v>
      </c>
      <c r="Q160" s="184">
        <v>275.0</v>
      </c>
      <c r="R160" s="184">
        <v>595.0</v>
      </c>
      <c r="S160" s="186">
        <v>3.518628030751035</v>
      </c>
      <c r="T160" s="184">
        <v>5.0</v>
      </c>
    </row>
    <row r="161">
      <c r="A161" s="184" t="s">
        <v>78</v>
      </c>
      <c r="B161" s="184" t="s">
        <v>109</v>
      </c>
      <c r="C161" s="184" t="s">
        <v>321</v>
      </c>
      <c r="D161" s="184">
        <v>180.0</v>
      </c>
      <c r="E161" s="184" t="s">
        <v>457</v>
      </c>
      <c r="F161" s="184" t="s">
        <v>183</v>
      </c>
      <c r="G161" s="184" t="s">
        <v>308</v>
      </c>
      <c r="H161" s="184" t="s">
        <v>389</v>
      </c>
      <c r="I161" s="184">
        <v>230.0</v>
      </c>
      <c r="J161" s="184" t="s">
        <v>193</v>
      </c>
      <c r="K161" s="184" t="s">
        <v>155</v>
      </c>
      <c r="L161" s="184" t="s">
        <v>197</v>
      </c>
      <c r="M161" s="184">
        <v>120.0</v>
      </c>
      <c r="N161" s="184" t="s">
        <v>167</v>
      </c>
      <c r="O161" s="184" t="s">
        <v>295</v>
      </c>
      <c r="P161" s="184" t="s">
        <v>295</v>
      </c>
      <c r="Q161" s="184">
        <v>235.0</v>
      </c>
      <c r="R161" s="184">
        <v>585.0</v>
      </c>
      <c r="S161" s="186">
        <v>3.25</v>
      </c>
      <c r="T161" s="184">
        <v>5.0</v>
      </c>
    </row>
    <row r="162">
      <c r="A162" s="184" t="s">
        <v>78</v>
      </c>
      <c r="B162" s="184" t="s">
        <v>109</v>
      </c>
      <c r="C162" s="184" t="s">
        <v>275</v>
      </c>
      <c r="D162" s="184">
        <v>174.6</v>
      </c>
      <c r="E162" s="184" t="s">
        <v>450</v>
      </c>
      <c r="F162" s="184" t="s">
        <v>224</v>
      </c>
      <c r="G162" s="184" t="s">
        <v>150</v>
      </c>
      <c r="H162" s="184" t="s">
        <v>175</v>
      </c>
      <c r="I162" s="184">
        <v>195.0</v>
      </c>
      <c r="J162" s="184" t="s">
        <v>163</v>
      </c>
      <c r="K162" s="184" t="s">
        <v>164</v>
      </c>
      <c r="L162" s="184" t="s">
        <v>165</v>
      </c>
      <c r="M162" s="184">
        <v>100.0</v>
      </c>
      <c r="N162" s="184" t="s">
        <v>182</v>
      </c>
      <c r="O162" s="184" t="s">
        <v>308</v>
      </c>
      <c r="P162" s="184" t="s">
        <v>176</v>
      </c>
      <c r="Q162" s="184">
        <v>250.0</v>
      </c>
      <c r="R162" s="184">
        <v>545.0</v>
      </c>
      <c r="S162" s="186">
        <v>3.1214203894616266</v>
      </c>
      <c r="T162" s="184">
        <v>8.0</v>
      </c>
    </row>
    <row r="163">
      <c r="A163" s="184" t="s">
        <v>78</v>
      </c>
      <c r="B163" s="184" t="s">
        <v>109</v>
      </c>
      <c r="C163" s="184" t="s">
        <v>148</v>
      </c>
      <c r="D163" s="184">
        <v>177.8</v>
      </c>
      <c r="E163" s="184" t="s">
        <v>463</v>
      </c>
      <c r="F163" s="184" t="s">
        <v>224</v>
      </c>
      <c r="G163" s="184" t="s">
        <v>162</v>
      </c>
      <c r="H163" s="184" t="s">
        <v>162</v>
      </c>
      <c r="I163" s="184">
        <v>165.0</v>
      </c>
      <c r="J163" s="184" t="s">
        <v>216</v>
      </c>
      <c r="K163" s="184" t="s">
        <v>207</v>
      </c>
      <c r="L163" s="184" t="s">
        <v>164</v>
      </c>
      <c r="M163" s="184">
        <v>100.0</v>
      </c>
      <c r="N163" s="184" t="s">
        <v>325</v>
      </c>
      <c r="O163" s="184" t="s">
        <v>464</v>
      </c>
      <c r="P163" s="184" t="s">
        <v>464</v>
      </c>
      <c r="Q163" s="184">
        <v>275.0</v>
      </c>
      <c r="R163" s="184">
        <v>540.0</v>
      </c>
      <c r="S163" s="186">
        <v>3.0371203599550056</v>
      </c>
      <c r="T163" s="184">
        <v>4.0</v>
      </c>
    </row>
    <row r="164">
      <c r="A164" s="184" t="s">
        <v>78</v>
      </c>
      <c r="B164" s="184" t="s">
        <v>109</v>
      </c>
      <c r="C164" s="184" t="s">
        <v>251</v>
      </c>
      <c r="D164" s="184">
        <v>170.4</v>
      </c>
      <c r="E164" s="184" t="s">
        <v>447</v>
      </c>
      <c r="F164" s="184" t="s">
        <v>187</v>
      </c>
      <c r="G164" s="184" t="s">
        <v>150</v>
      </c>
      <c r="H164" s="184" t="s">
        <v>151</v>
      </c>
      <c r="I164" s="184">
        <v>185.0</v>
      </c>
      <c r="J164" s="184" t="s">
        <v>195</v>
      </c>
      <c r="K164" s="184" t="s">
        <v>210</v>
      </c>
      <c r="L164" s="184" t="s">
        <v>163</v>
      </c>
      <c r="M164" s="184">
        <v>90.0</v>
      </c>
      <c r="N164" s="184" t="s">
        <v>182</v>
      </c>
      <c r="O164" s="184" t="s">
        <v>183</v>
      </c>
      <c r="P164" s="184" t="s">
        <v>158</v>
      </c>
      <c r="Q164" s="184">
        <v>240.0</v>
      </c>
      <c r="R164" s="184">
        <v>515.0</v>
      </c>
      <c r="S164" s="186">
        <v>3.022300469483568</v>
      </c>
      <c r="T164" s="184">
        <v>8.0</v>
      </c>
    </row>
    <row r="165">
      <c r="A165" s="184" t="s">
        <v>78</v>
      </c>
      <c r="B165" s="184" t="s">
        <v>109</v>
      </c>
      <c r="C165" s="184" t="s">
        <v>251</v>
      </c>
      <c r="D165" s="184">
        <v>179.0</v>
      </c>
      <c r="E165" s="184" t="s">
        <v>454</v>
      </c>
      <c r="F165" s="184" t="s">
        <v>151</v>
      </c>
      <c r="G165" s="184" t="s">
        <v>208</v>
      </c>
      <c r="H165" s="184" t="s">
        <v>208</v>
      </c>
      <c r="I165" s="184">
        <v>185.0</v>
      </c>
      <c r="J165" s="184" t="s">
        <v>207</v>
      </c>
      <c r="K165" s="184" t="s">
        <v>164</v>
      </c>
      <c r="L165" s="184" t="s">
        <v>227</v>
      </c>
      <c r="M165" s="184">
        <v>100.0</v>
      </c>
      <c r="N165" s="184" t="s">
        <v>254</v>
      </c>
      <c r="O165" s="184" t="s">
        <v>156</v>
      </c>
      <c r="P165" s="184" t="s">
        <v>389</v>
      </c>
      <c r="Q165" s="184">
        <v>225.0</v>
      </c>
      <c r="R165" s="184">
        <v>510.0</v>
      </c>
      <c r="S165" s="186">
        <v>2.8491620111731844</v>
      </c>
      <c r="T165" s="184">
        <v>4.0</v>
      </c>
    </row>
    <row r="166">
      <c r="A166" s="184" t="s">
        <v>78</v>
      </c>
      <c r="B166" s="184" t="s">
        <v>109</v>
      </c>
      <c r="C166" s="184" t="s">
        <v>422</v>
      </c>
      <c r="D166" s="184">
        <v>173.4</v>
      </c>
      <c r="E166" s="184" t="s">
        <v>444</v>
      </c>
      <c r="F166" s="184" t="s">
        <v>224</v>
      </c>
      <c r="G166" s="184" t="s">
        <v>225</v>
      </c>
      <c r="H166" s="184" t="s">
        <v>225</v>
      </c>
      <c r="I166" s="184">
        <v>165.0</v>
      </c>
      <c r="J166" s="184" t="s">
        <v>173</v>
      </c>
      <c r="K166" s="184" t="s">
        <v>164</v>
      </c>
      <c r="L166" s="184" t="s">
        <v>227</v>
      </c>
      <c r="M166" s="184">
        <v>100.0</v>
      </c>
      <c r="N166" s="184" t="s">
        <v>181</v>
      </c>
      <c r="O166" s="184" t="s">
        <v>190</v>
      </c>
      <c r="P166" s="184" t="s">
        <v>158</v>
      </c>
      <c r="Q166" s="184">
        <v>240.0</v>
      </c>
      <c r="R166" s="184">
        <v>505.0</v>
      </c>
      <c r="S166" s="186">
        <v>2.9123414071510956</v>
      </c>
      <c r="T166" s="184">
        <v>6.0</v>
      </c>
    </row>
    <row r="167">
      <c r="A167" s="184" t="s">
        <v>78</v>
      </c>
      <c r="B167" s="184" t="s">
        <v>109</v>
      </c>
      <c r="C167" s="184" t="s">
        <v>204</v>
      </c>
      <c r="D167" s="184">
        <v>176.0</v>
      </c>
      <c r="E167" s="184" t="s">
        <v>442</v>
      </c>
      <c r="F167" s="184" t="s">
        <v>186</v>
      </c>
      <c r="G167" s="184" t="s">
        <v>316</v>
      </c>
      <c r="H167" s="184" t="s">
        <v>316</v>
      </c>
      <c r="I167" s="184">
        <v>135.0</v>
      </c>
      <c r="J167" s="184" t="s">
        <v>173</v>
      </c>
      <c r="K167" s="184" t="s">
        <v>340</v>
      </c>
      <c r="L167" s="184" t="s">
        <v>340</v>
      </c>
      <c r="M167" s="184">
        <v>85.0</v>
      </c>
      <c r="N167" s="184" t="s">
        <v>151</v>
      </c>
      <c r="O167" s="184" t="s">
        <v>156</v>
      </c>
      <c r="P167" s="184" t="s">
        <v>389</v>
      </c>
      <c r="Q167" s="184">
        <v>225.0</v>
      </c>
      <c r="R167" s="184">
        <v>445.0</v>
      </c>
      <c r="S167" s="186">
        <v>2.528409090909091</v>
      </c>
      <c r="T167" s="184">
        <v>4.0</v>
      </c>
    </row>
    <row r="168">
      <c r="A168" s="184" t="s">
        <v>78</v>
      </c>
      <c r="B168" s="184" t="s">
        <v>109</v>
      </c>
      <c r="C168" s="184" t="s">
        <v>237</v>
      </c>
      <c r="D168" s="184">
        <v>178.0</v>
      </c>
      <c r="E168" s="184" t="s">
        <v>440</v>
      </c>
      <c r="F168" s="184" t="s">
        <v>171</v>
      </c>
      <c r="G168" s="184" t="s">
        <v>224</v>
      </c>
      <c r="H168" s="184" t="s">
        <v>235</v>
      </c>
      <c r="I168" s="184">
        <v>180.0</v>
      </c>
      <c r="J168" s="184" t="s">
        <v>220</v>
      </c>
      <c r="K168" s="184" t="s">
        <v>195</v>
      </c>
      <c r="L168" s="184" t="s">
        <v>189</v>
      </c>
      <c r="M168" s="184">
        <v>70.0</v>
      </c>
      <c r="N168" s="184" t="s">
        <v>161</v>
      </c>
      <c r="O168" s="184" t="s">
        <v>203</v>
      </c>
      <c r="P168" s="184" t="s">
        <v>232</v>
      </c>
      <c r="Q168" s="184">
        <v>170.0</v>
      </c>
      <c r="R168" s="184">
        <v>420.0</v>
      </c>
      <c r="S168" s="186">
        <v>2.359550561797753</v>
      </c>
      <c r="T168" s="184">
        <v>7.0</v>
      </c>
    </row>
    <row r="169">
      <c r="A169" s="184" t="s">
        <v>78</v>
      </c>
      <c r="B169" s="184" t="s">
        <v>109</v>
      </c>
      <c r="C169" s="184" t="s">
        <v>285</v>
      </c>
      <c r="D169" s="184">
        <v>175.0</v>
      </c>
      <c r="E169" s="184" t="s">
        <v>429</v>
      </c>
      <c r="F169" s="184" t="s">
        <v>217</v>
      </c>
      <c r="G169" s="184" t="s">
        <v>188</v>
      </c>
      <c r="H169" s="184" t="s">
        <v>210</v>
      </c>
      <c r="I169" s="184">
        <v>80.0</v>
      </c>
      <c r="J169" s="184" t="s">
        <v>432</v>
      </c>
      <c r="K169" s="184" t="s">
        <v>217</v>
      </c>
      <c r="L169" s="184" t="s">
        <v>228</v>
      </c>
      <c r="M169" s="184">
        <v>55.0</v>
      </c>
      <c r="N169" s="184" t="s">
        <v>202</v>
      </c>
      <c r="O169" s="184" t="s">
        <v>224</v>
      </c>
      <c r="P169" s="184" t="s">
        <v>162</v>
      </c>
      <c r="Q169" s="184">
        <v>165.0</v>
      </c>
      <c r="R169" s="184">
        <v>300.0</v>
      </c>
      <c r="S169" s="186">
        <v>1.7142857142857142</v>
      </c>
      <c r="T169" s="184">
        <v>6.0</v>
      </c>
    </row>
    <row r="170">
      <c r="A170" s="184" t="s">
        <v>78</v>
      </c>
      <c r="B170" s="184" t="s">
        <v>109</v>
      </c>
      <c r="C170" s="184" t="s">
        <v>212</v>
      </c>
      <c r="D170" s="184">
        <v>170.8</v>
      </c>
      <c r="E170" s="184" t="s">
        <v>456</v>
      </c>
      <c r="F170" s="184" t="s">
        <v>201</v>
      </c>
      <c r="G170" s="184" t="s">
        <v>201</v>
      </c>
      <c r="H170" s="184" t="s">
        <v>201</v>
      </c>
      <c r="I170" s="184">
        <v>0.0</v>
      </c>
      <c r="J170" s="184" t="s">
        <v>173</v>
      </c>
      <c r="K170" s="184" t="s">
        <v>340</v>
      </c>
      <c r="L170" s="184" t="s">
        <v>340</v>
      </c>
      <c r="M170" s="184">
        <v>85.0</v>
      </c>
      <c r="N170" s="184" t="s">
        <v>167</v>
      </c>
      <c r="O170" s="184" t="s">
        <v>449</v>
      </c>
      <c r="P170" s="184" t="s">
        <v>449</v>
      </c>
      <c r="Q170" s="184">
        <v>235.0</v>
      </c>
      <c r="R170" s="184">
        <v>0.0</v>
      </c>
      <c r="S170" s="186">
        <v>0.0</v>
      </c>
      <c r="T170" s="184">
        <v>2.0</v>
      </c>
    </row>
    <row r="171">
      <c r="A171" s="184" t="s">
        <v>84</v>
      </c>
      <c r="B171" s="184" t="s">
        <v>109</v>
      </c>
      <c r="C171" s="184" t="s">
        <v>275</v>
      </c>
      <c r="D171" s="184">
        <v>192.0</v>
      </c>
      <c r="E171" s="184" t="s">
        <v>491</v>
      </c>
      <c r="F171" s="184" t="s">
        <v>255</v>
      </c>
      <c r="G171" s="184" t="s">
        <v>449</v>
      </c>
      <c r="H171" s="184" t="s">
        <v>329</v>
      </c>
      <c r="I171" s="184">
        <v>270.0</v>
      </c>
      <c r="J171" s="184" t="s">
        <v>163</v>
      </c>
      <c r="K171" s="184" t="s">
        <v>164</v>
      </c>
      <c r="L171" s="184" t="s">
        <v>262</v>
      </c>
      <c r="M171" s="184">
        <v>100.0</v>
      </c>
      <c r="N171" s="184" t="s">
        <v>255</v>
      </c>
      <c r="O171" s="184" t="s">
        <v>293</v>
      </c>
      <c r="P171" s="184" t="s">
        <v>490</v>
      </c>
      <c r="Q171" s="184">
        <v>280.0</v>
      </c>
      <c r="R171" s="184">
        <v>650.0</v>
      </c>
      <c r="S171" s="186">
        <v>3.3854166666666665</v>
      </c>
      <c r="T171" s="184">
        <v>7.0</v>
      </c>
    </row>
    <row r="172">
      <c r="A172" s="184" t="s">
        <v>84</v>
      </c>
      <c r="B172" s="184" t="s">
        <v>109</v>
      </c>
      <c r="C172" s="184" t="s">
        <v>278</v>
      </c>
      <c r="D172" s="184">
        <v>192.2</v>
      </c>
      <c r="E172" s="184" t="s">
        <v>492</v>
      </c>
      <c r="F172" s="184" t="s">
        <v>263</v>
      </c>
      <c r="G172" s="184" t="s">
        <v>190</v>
      </c>
      <c r="H172" s="184" t="s">
        <v>156</v>
      </c>
      <c r="I172" s="184">
        <v>225.0</v>
      </c>
      <c r="J172" s="184" t="s">
        <v>193</v>
      </c>
      <c r="K172" s="184" t="s">
        <v>179</v>
      </c>
      <c r="L172" s="184" t="s">
        <v>180</v>
      </c>
      <c r="M172" s="184">
        <v>125.0</v>
      </c>
      <c r="N172" s="184" t="s">
        <v>176</v>
      </c>
      <c r="O172" s="184" t="s">
        <v>329</v>
      </c>
      <c r="P172" s="184" t="s">
        <v>406</v>
      </c>
      <c r="Q172" s="184">
        <v>300.0</v>
      </c>
      <c r="R172" s="184">
        <v>650.0</v>
      </c>
      <c r="S172" s="186">
        <v>3.381893860561915</v>
      </c>
      <c r="T172" s="184">
        <v>7.0</v>
      </c>
    </row>
    <row r="173">
      <c r="A173" s="184" t="s">
        <v>84</v>
      </c>
      <c r="B173" s="184" t="s">
        <v>109</v>
      </c>
      <c r="C173" s="184" t="s">
        <v>204</v>
      </c>
      <c r="D173" s="184">
        <v>187.2</v>
      </c>
      <c r="E173" s="184" t="s">
        <v>495</v>
      </c>
      <c r="F173" s="184" t="s">
        <v>182</v>
      </c>
      <c r="G173" s="184" t="s">
        <v>263</v>
      </c>
      <c r="H173" s="184" t="s">
        <v>156</v>
      </c>
      <c r="I173" s="184">
        <v>225.0</v>
      </c>
      <c r="J173" s="184" t="s">
        <v>216</v>
      </c>
      <c r="K173" s="184" t="s">
        <v>153</v>
      </c>
      <c r="L173" s="184" t="s">
        <v>165</v>
      </c>
      <c r="M173" s="184">
        <v>105.0</v>
      </c>
      <c r="N173" s="184" t="s">
        <v>325</v>
      </c>
      <c r="O173" s="184" t="s">
        <v>464</v>
      </c>
      <c r="P173" s="184" t="s">
        <v>469</v>
      </c>
      <c r="Q173" s="184">
        <v>305.0</v>
      </c>
      <c r="R173" s="184">
        <v>635.0</v>
      </c>
      <c r="S173" s="186">
        <v>3.3920940170940175</v>
      </c>
      <c r="T173" s="184">
        <v>6.0</v>
      </c>
    </row>
    <row r="174">
      <c r="A174" s="184" t="s">
        <v>84</v>
      </c>
      <c r="B174" s="184" t="s">
        <v>109</v>
      </c>
      <c r="C174" s="184" t="s">
        <v>496</v>
      </c>
      <c r="D174" s="184">
        <v>197.0</v>
      </c>
      <c r="E174" s="184" t="s">
        <v>497</v>
      </c>
      <c r="F174" s="184" t="s">
        <v>224</v>
      </c>
      <c r="G174" s="184" t="s">
        <v>151</v>
      </c>
      <c r="H174" s="184" t="s">
        <v>166</v>
      </c>
      <c r="I174" s="184">
        <v>210.0</v>
      </c>
      <c r="J174" s="184" t="s">
        <v>164</v>
      </c>
      <c r="K174" s="184" t="s">
        <v>197</v>
      </c>
      <c r="L174" s="184" t="s">
        <v>180</v>
      </c>
      <c r="M174" s="184">
        <v>120.0</v>
      </c>
      <c r="N174" s="184" t="s">
        <v>329</v>
      </c>
      <c r="O174" s="184" t="s">
        <v>399</v>
      </c>
      <c r="P174" s="184" t="s">
        <v>498</v>
      </c>
      <c r="Q174" s="184">
        <v>285.0</v>
      </c>
      <c r="R174" s="184">
        <v>615.0</v>
      </c>
      <c r="S174" s="186">
        <v>3.1218274111675126</v>
      </c>
      <c r="T174" s="184">
        <v>7.0</v>
      </c>
    </row>
    <row r="175">
      <c r="A175" s="184" t="s">
        <v>84</v>
      </c>
      <c r="B175" s="184" t="s">
        <v>109</v>
      </c>
      <c r="C175" s="184" t="s">
        <v>493</v>
      </c>
      <c r="D175" s="184">
        <v>193.6</v>
      </c>
      <c r="E175" s="184" t="s">
        <v>494</v>
      </c>
      <c r="F175" s="184" t="s">
        <v>166</v>
      </c>
      <c r="G175" s="184" t="s">
        <v>191</v>
      </c>
      <c r="H175" s="184" t="s">
        <v>273</v>
      </c>
      <c r="I175" s="184">
        <v>210.0</v>
      </c>
      <c r="J175" s="184" t="s">
        <v>154</v>
      </c>
      <c r="K175" s="184" t="s">
        <v>197</v>
      </c>
      <c r="L175" s="184" t="s">
        <v>180</v>
      </c>
      <c r="M175" s="184">
        <v>120.0</v>
      </c>
      <c r="N175" s="184" t="s">
        <v>328</v>
      </c>
      <c r="O175" s="184" t="s">
        <v>490</v>
      </c>
      <c r="P175" s="184" t="s">
        <v>464</v>
      </c>
      <c r="Q175" s="184">
        <v>280.0</v>
      </c>
      <c r="R175" s="184">
        <v>610.0</v>
      </c>
      <c r="S175" s="186">
        <v>3.1508264462809916</v>
      </c>
      <c r="T175" s="184">
        <v>5.0</v>
      </c>
    </row>
    <row r="176">
      <c r="A176" s="184" t="s">
        <v>84</v>
      </c>
      <c r="B176" s="184" t="s">
        <v>109</v>
      </c>
      <c r="C176" s="184" t="s">
        <v>488</v>
      </c>
      <c r="D176" s="184">
        <v>186.0</v>
      </c>
      <c r="E176" s="184" t="s">
        <v>489</v>
      </c>
      <c r="F176" s="184" t="s">
        <v>186</v>
      </c>
      <c r="G176" s="184" t="s">
        <v>224</v>
      </c>
      <c r="H176" s="184" t="s">
        <v>162</v>
      </c>
      <c r="I176" s="184">
        <v>165.0</v>
      </c>
      <c r="J176" s="184" t="s">
        <v>173</v>
      </c>
      <c r="K176" s="184" t="s">
        <v>216</v>
      </c>
      <c r="L176" s="184" t="s">
        <v>153</v>
      </c>
      <c r="M176" s="184">
        <v>105.0</v>
      </c>
      <c r="N176" s="184" t="s">
        <v>158</v>
      </c>
      <c r="O176" s="184" t="s">
        <v>328</v>
      </c>
      <c r="P176" s="184" t="s">
        <v>490</v>
      </c>
      <c r="Q176" s="184">
        <v>280.0</v>
      </c>
      <c r="R176" s="184">
        <v>550.0</v>
      </c>
      <c r="S176" s="186">
        <v>2.956989247311828</v>
      </c>
      <c r="T176" s="184">
        <v>8.0</v>
      </c>
    </row>
    <row r="177">
      <c r="A177" s="184" t="s">
        <v>84</v>
      </c>
      <c r="B177" s="184" t="s">
        <v>109</v>
      </c>
      <c r="C177" s="184" t="s">
        <v>368</v>
      </c>
      <c r="D177" s="184">
        <v>195.8</v>
      </c>
      <c r="E177" s="184" t="s">
        <v>480</v>
      </c>
      <c r="F177" s="184" t="s">
        <v>224</v>
      </c>
      <c r="G177" s="184" t="s">
        <v>151</v>
      </c>
      <c r="H177" s="184" t="s">
        <v>182</v>
      </c>
      <c r="I177" s="184">
        <v>200.0</v>
      </c>
      <c r="J177" s="184" t="s">
        <v>216</v>
      </c>
      <c r="K177" s="184" t="s">
        <v>154</v>
      </c>
      <c r="L177" s="184" t="s">
        <v>197</v>
      </c>
      <c r="M177" s="184">
        <v>120.0</v>
      </c>
      <c r="N177" s="184" t="s">
        <v>235</v>
      </c>
      <c r="O177" s="184" t="s">
        <v>182</v>
      </c>
      <c r="P177" s="184" t="s">
        <v>156</v>
      </c>
      <c r="Q177" s="184">
        <v>225.0</v>
      </c>
      <c r="R177" s="184">
        <v>545.0</v>
      </c>
      <c r="S177" s="186">
        <v>2.783452502553626</v>
      </c>
      <c r="T177" s="184">
        <v>9.0</v>
      </c>
    </row>
    <row r="178">
      <c r="A178" s="184" t="s">
        <v>84</v>
      </c>
      <c r="B178" s="184" t="s">
        <v>109</v>
      </c>
      <c r="C178" s="184" t="s">
        <v>168</v>
      </c>
      <c r="D178" s="184">
        <v>194.2</v>
      </c>
      <c r="E178" s="184" t="s">
        <v>484</v>
      </c>
      <c r="F178" s="184" t="s">
        <v>161</v>
      </c>
      <c r="G178" s="184" t="s">
        <v>151</v>
      </c>
      <c r="H178" s="184" t="s">
        <v>211</v>
      </c>
      <c r="I178" s="184">
        <v>185.0</v>
      </c>
      <c r="J178" s="184" t="s">
        <v>193</v>
      </c>
      <c r="K178" s="184" t="s">
        <v>179</v>
      </c>
      <c r="L178" s="184" t="s">
        <v>180</v>
      </c>
      <c r="M178" s="184">
        <v>125.0</v>
      </c>
      <c r="N178" s="184" t="s">
        <v>182</v>
      </c>
      <c r="O178" s="184" t="s">
        <v>308</v>
      </c>
      <c r="P178" s="184" t="s">
        <v>389</v>
      </c>
      <c r="Q178" s="184">
        <v>230.0</v>
      </c>
      <c r="R178" s="184">
        <v>540.0</v>
      </c>
      <c r="S178" s="186">
        <v>2.780638516992791</v>
      </c>
      <c r="T178" s="184">
        <v>6.0</v>
      </c>
    </row>
    <row r="179">
      <c r="A179" s="184" t="s">
        <v>84</v>
      </c>
      <c r="B179" s="184" t="s">
        <v>109</v>
      </c>
      <c r="C179" s="184" t="s">
        <v>321</v>
      </c>
      <c r="D179" s="184">
        <v>194.4</v>
      </c>
      <c r="E179" s="184" t="s">
        <v>487</v>
      </c>
      <c r="F179" s="184" t="s">
        <v>162</v>
      </c>
      <c r="G179" s="184" t="s">
        <v>151</v>
      </c>
      <c r="H179" s="184" t="s">
        <v>211</v>
      </c>
      <c r="I179" s="184">
        <v>185.0</v>
      </c>
      <c r="J179" s="184" t="s">
        <v>173</v>
      </c>
      <c r="K179" s="184" t="s">
        <v>340</v>
      </c>
      <c r="L179" s="184" t="s">
        <v>216</v>
      </c>
      <c r="M179" s="184">
        <v>95.0</v>
      </c>
      <c r="N179" s="184" t="s">
        <v>158</v>
      </c>
      <c r="O179" s="184" t="s">
        <v>176</v>
      </c>
      <c r="P179" s="184" t="s">
        <v>256</v>
      </c>
      <c r="Q179" s="184">
        <v>250.0</v>
      </c>
      <c r="R179" s="184">
        <v>530.0</v>
      </c>
      <c r="S179" s="186">
        <v>2.7263374485596708</v>
      </c>
      <c r="T179" s="184">
        <v>5.0</v>
      </c>
    </row>
    <row r="180">
      <c r="A180" s="184" t="s">
        <v>84</v>
      </c>
      <c r="B180" s="184" t="s">
        <v>109</v>
      </c>
      <c r="C180" s="184" t="s">
        <v>240</v>
      </c>
      <c r="D180" s="184">
        <v>183.4</v>
      </c>
      <c r="E180" s="184" t="s">
        <v>485</v>
      </c>
      <c r="F180" s="184" t="s">
        <v>150</v>
      </c>
      <c r="G180" s="184" t="s">
        <v>151</v>
      </c>
      <c r="H180" s="184" t="s">
        <v>175</v>
      </c>
      <c r="I180" s="184">
        <v>195.0</v>
      </c>
      <c r="J180" s="184" t="s">
        <v>163</v>
      </c>
      <c r="K180" s="184" t="s">
        <v>163</v>
      </c>
      <c r="L180" s="184" t="s">
        <v>164</v>
      </c>
      <c r="M180" s="184">
        <v>100.0</v>
      </c>
      <c r="N180" s="184" t="s">
        <v>190</v>
      </c>
      <c r="O180" s="184" t="s">
        <v>156</v>
      </c>
      <c r="P180" s="184" t="s">
        <v>295</v>
      </c>
      <c r="Q180" s="184">
        <v>225.0</v>
      </c>
      <c r="R180" s="184">
        <v>520.0</v>
      </c>
      <c r="S180" s="186">
        <v>2.8353326063249726</v>
      </c>
      <c r="T180" s="184">
        <v>8.0</v>
      </c>
    </row>
    <row r="181">
      <c r="A181" s="184" t="s">
        <v>84</v>
      </c>
      <c r="B181" s="184" t="s">
        <v>109</v>
      </c>
      <c r="C181" s="184" t="s">
        <v>184</v>
      </c>
      <c r="D181" s="184">
        <v>190.4</v>
      </c>
      <c r="E181" s="184" t="s">
        <v>486</v>
      </c>
      <c r="F181" s="184" t="s">
        <v>245</v>
      </c>
      <c r="G181" s="184" t="s">
        <v>239</v>
      </c>
      <c r="H181" s="184" t="s">
        <v>171</v>
      </c>
      <c r="I181" s="184">
        <v>150.0</v>
      </c>
      <c r="J181" s="184" t="s">
        <v>193</v>
      </c>
      <c r="K181" s="184" t="s">
        <v>155</v>
      </c>
      <c r="L181" s="184" t="s">
        <v>155</v>
      </c>
      <c r="M181" s="184">
        <v>115.0</v>
      </c>
      <c r="N181" s="184" t="s">
        <v>156</v>
      </c>
      <c r="O181" s="184" t="s">
        <v>167</v>
      </c>
      <c r="P181" s="184" t="s">
        <v>295</v>
      </c>
      <c r="Q181" s="184">
        <v>235.0</v>
      </c>
      <c r="R181" s="184">
        <v>500.0</v>
      </c>
      <c r="S181" s="186">
        <v>2.6260504201680672</v>
      </c>
      <c r="T181" s="184">
        <v>5.0</v>
      </c>
    </row>
    <row r="182">
      <c r="A182" s="184" t="s">
        <v>84</v>
      </c>
      <c r="B182" s="184" t="s">
        <v>109</v>
      </c>
      <c r="C182" s="184" t="s">
        <v>260</v>
      </c>
      <c r="D182" s="184">
        <v>195.2</v>
      </c>
      <c r="E182" s="184" t="s">
        <v>483</v>
      </c>
      <c r="F182" s="184" t="s">
        <v>193</v>
      </c>
      <c r="G182" s="184" t="s">
        <v>243</v>
      </c>
      <c r="H182" s="184" t="s">
        <v>186</v>
      </c>
      <c r="I182" s="184">
        <v>135.0</v>
      </c>
      <c r="J182" s="184" t="s">
        <v>340</v>
      </c>
      <c r="K182" s="184" t="s">
        <v>153</v>
      </c>
      <c r="L182" s="184" t="s">
        <v>154</v>
      </c>
      <c r="M182" s="184">
        <v>110.0</v>
      </c>
      <c r="N182" s="184" t="s">
        <v>190</v>
      </c>
      <c r="O182" s="184" t="s">
        <v>156</v>
      </c>
      <c r="P182" s="184" t="s">
        <v>158</v>
      </c>
      <c r="Q182" s="184">
        <v>240.0</v>
      </c>
      <c r="R182" s="184">
        <v>485.0</v>
      </c>
      <c r="S182" s="186">
        <v>2.4846311475409837</v>
      </c>
      <c r="T182" s="184">
        <v>7.0</v>
      </c>
    </row>
    <row r="183">
      <c r="A183" s="184" t="s">
        <v>84</v>
      </c>
      <c r="B183" s="184" t="s">
        <v>109</v>
      </c>
      <c r="C183" s="184" t="s">
        <v>251</v>
      </c>
      <c r="D183" s="184">
        <v>181.4</v>
      </c>
      <c r="E183" s="184" t="s">
        <v>481</v>
      </c>
      <c r="F183" s="184" t="s">
        <v>170</v>
      </c>
      <c r="G183" s="184" t="s">
        <v>202</v>
      </c>
      <c r="H183" s="184" t="s">
        <v>224</v>
      </c>
      <c r="I183" s="184">
        <v>165.0</v>
      </c>
      <c r="J183" s="184" t="s">
        <v>172</v>
      </c>
      <c r="K183" s="184" t="s">
        <v>173</v>
      </c>
      <c r="L183" s="184" t="s">
        <v>340</v>
      </c>
      <c r="M183" s="184">
        <v>85.0</v>
      </c>
      <c r="N183" s="184" t="s">
        <v>181</v>
      </c>
      <c r="O183" s="184" t="s">
        <v>190</v>
      </c>
      <c r="P183" s="184" t="s">
        <v>308</v>
      </c>
      <c r="Q183" s="184">
        <v>230.0</v>
      </c>
      <c r="R183" s="184">
        <v>480.0</v>
      </c>
      <c r="S183" s="186">
        <v>2.6460859977949283</v>
      </c>
      <c r="T183" s="184">
        <v>8.0</v>
      </c>
    </row>
    <row r="184">
      <c r="A184" s="184" t="s">
        <v>84</v>
      </c>
      <c r="B184" s="184" t="s">
        <v>109</v>
      </c>
      <c r="C184" s="184" t="s">
        <v>345</v>
      </c>
      <c r="D184" s="184">
        <v>193.0</v>
      </c>
      <c r="E184" s="184" t="s">
        <v>482</v>
      </c>
      <c r="F184" s="184" t="s">
        <v>234</v>
      </c>
      <c r="G184" s="184" t="s">
        <v>187</v>
      </c>
      <c r="H184" s="184" t="s">
        <v>224</v>
      </c>
      <c r="I184" s="184">
        <v>165.0</v>
      </c>
      <c r="J184" s="184" t="s">
        <v>210</v>
      </c>
      <c r="K184" s="184" t="s">
        <v>174</v>
      </c>
      <c r="L184" s="184" t="s">
        <v>207</v>
      </c>
      <c r="M184" s="184">
        <v>80.0</v>
      </c>
      <c r="N184" s="184" t="s">
        <v>183</v>
      </c>
      <c r="O184" s="184" t="s">
        <v>308</v>
      </c>
      <c r="P184" s="184" t="s">
        <v>273</v>
      </c>
      <c r="Q184" s="184">
        <v>230.0</v>
      </c>
      <c r="R184" s="184">
        <v>475.0</v>
      </c>
      <c r="S184" s="186">
        <v>2.461139896373057</v>
      </c>
      <c r="T184" s="184">
        <v>5.0</v>
      </c>
    </row>
    <row r="185">
      <c r="A185" s="184" t="s">
        <v>84</v>
      </c>
      <c r="B185" s="184" t="s">
        <v>109</v>
      </c>
      <c r="C185" s="184" t="s">
        <v>478</v>
      </c>
      <c r="D185" s="184">
        <v>187.8</v>
      </c>
      <c r="E185" s="184" t="s">
        <v>479</v>
      </c>
      <c r="F185" s="184" t="s">
        <v>239</v>
      </c>
      <c r="G185" s="184" t="s">
        <v>187</v>
      </c>
      <c r="H185" s="184" t="s">
        <v>202</v>
      </c>
      <c r="I185" s="184">
        <v>155.0</v>
      </c>
      <c r="J185" s="184" t="s">
        <v>163</v>
      </c>
      <c r="K185" s="184" t="s">
        <v>164</v>
      </c>
      <c r="L185" s="184" t="s">
        <v>262</v>
      </c>
      <c r="M185" s="184">
        <v>100.0</v>
      </c>
      <c r="N185" s="184" t="s">
        <v>175</v>
      </c>
      <c r="O185" s="184" t="s">
        <v>208</v>
      </c>
      <c r="P185" s="184" t="s">
        <v>208</v>
      </c>
      <c r="Q185" s="184">
        <v>195.0</v>
      </c>
      <c r="R185" s="184">
        <v>450.0</v>
      </c>
      <c r="S185" s="186">
        <v>2.3961661341853033</v>
      </c>
      <c r="T185" s="184">
        <v>4.0</v>
      </c>
    </row>
    <row r="186">
      <c r="A186" s="184" t="s">
        <v>84</v>
      </c>
      <c r="B186" s="184" t="s">
        <v>109</v>
      </c>
      <c r="C186" s="184" t="s">
        <v>342</v>
      </c>
      <c r="D186" s="184">
        <v>183.0</v>
      </c>
      <c r="E186" s="184" t="s">
        <v>475</v>
      </c>
      <c r="F186" s="184" t="s">
        <v>239</v>
      </c>
      <c r="G186" s="184" t="s">
        <v>171</v>
      </c>
      <c r="H186" s="184" t="s">
        <v>232</v>
      </c>
      <c r="I186" s="184">
        <v>150.0</v>
      </c>
      <c r="J186" s="184" t="s">
        <v>172</v>
      </c>
      <c r="K186" s="184" t="s">
        <v>206</v>
      </c>
      <c r="L186" s="184" t="s">
        <v>207</v>
      </c>
      <c r="M186" s="184">
        <v>75.0</v>
      </c>
      <c r="N186" s="184" t="s">
        <v>171</v>
      </c>
      <c r="O186" s="184" t="s">
        <v>151</v>
      </c>
      <c r="P186" s="184" t="s">
        <v>211</v>
      </c>
      <c r="Q186" s="184">
        <v>185.0</v>
      </c>
      <c r="R186" s="184">
        <v>410.0</v>
      </c>
      <c r="S186" s="186">
        <v>2.240437158469945</v>
      </c>
      <c r="T186" s="184">
        <v>4.0</v>
      </c>
    </row>
    <row r="187">
      <c r="A187" s="184" t="s">
        <v>84</v>
      </c>
      <c r="B187" s="184" t="s">
        <v>109</v>
      </c>
      <c r="C187" s="184" t="s">
        <v>394</v>
      </c>
      <c r="D187" s="184">
        <v>186.8</v>
      </c>
      <c r="E187" s="184" t="s">
        <v>476</v>
      </c>
      <c r="F187" s="184" t="s">
        <v>193</v>
      </c>
      <c r="G187" s="184" t="s">
        <v>179</v>
      </c>
      <c r="H187" s="184" t="s">
        <v>186</v>
      </c>
      <c r="I187" s="184">
        <v>135.0</v>
      </c>
      <c r="J187" s="184" t="s">
        <v>188</v>
      </c>
      <c r="K187" s="184" t="s">
        <v>195</v>
      </c>
      <c r="L187" s="184" t="s">
        <v>244</v>
      </c>
      <c r="M187" s="184">
        <v>70.0</v>
      </c>
      <c r="N187" s="184" t="s">
        <v>235</v>
      </c>
      <c r="O187" s="184" t="s">
        <v>181</v>
      </c>
      <c r="P187" s="184" t="s">
        <v>254</v>
      </c>
      <c r="Q187" s="184">
        <v>205.0</v>
      </c>
      <c r="R187" s="184">
        <v>410.0</v>
      </c>
      <c r="S187" s="186">
        <v>2.1948608137044965</v>
      </c>
      <c r="T187" s="184">
        <v>8.0</v>
      </c>
    </row>
    <row r="188">
      <c r="A188" s="184" t="s">
        <v>84</v>
      </c>
      <c r="B188" s="184" t="s">
        <v>109</v>
      </c>
      <c r="C188" s="184" t="s">
        <v>287</v>
      </c>
      <c r="D188" s="184">
        <v>185.6</v>
      </c>
      <c r="E188" s="184" t="s">
        <v>477</v>
      </c>
      <c r="F188" s="184" t="s">
        <v>153</v>
      </c>
      <c r="G188" s="184" t="s">
        <v>197</v>
      </c>
      <c r="H188" s="184" t="s">
        <v>180</v>
      </c>
      <c r="I188" s="184">
        <v>120.0</v>
      </c>
      <c r="J188" s="184" t="s">
        <v>195</v>
      </c>
      <c r="K188" s="184" t="s">
        <v>189</v>
      </c>
      <c r="L188" s="184" t="s">
        <v>189</v>
      </c>
      <c r="M188" s="184">
        <v>70.0</v>
      </c>
      <c r="N188" s="184" t="s">
        <v>235</v>
      </c>
      <c r="O188" s="184" t="s">
        <v>181</v>
      </c>
      <c r="P188" s="184" t="s">
        <v>254</v>
      </c>
      <c r="Q188" s="184">
        <v>205.0</v>
      </c>
      <c r="R188" s="184">
        <v>395.0</v>
      </c>
      <c r="S188" s="186">
        <v>2.1282327586206895</v>
      </c>
      <c r="T188" s="184">
        <v>6.0</v>
      </c>
    </row>
    <row r="189">
      <c r="A189" s="184" t="s">
        <v>84</v>
      </c>
      <c r="B189" s="184" t="s">
        <v>109</v>
      </c>
      <c r="C189" s="184" t="s">
        <v>285</v>
      </c>
      <c r="D189" s="184">
        <v>194.0</v>
      </c>
      <c r="E189" s="184" t="s">
        <v>474</v>
      </c>
      <c r="F189" s="184" t="s">
        <v>243</v>
      </c>
      <c r="G189" s="184" t="s">
        <v>171</v>
      </c>
      <c r="H189" s="184" t="s">
        <v>201</v>
      </c>
      <c r="I189" s="184">
        <v>150.0</v>
      </c>
      <c r="J189" s="184" t="s">
        <v>231</v>
      </c>
      <c r="K189" s="184" t="s">
        <v>206</v>
      </c>
      <c r="L189" s="184" t="s">
        <v>340</v>
      </c>
      <c r="M189" s="184">
        <v>0.0</v>
      </c>
      <c r="N189" s="184" t="s">
        <v>224</v>
      </c>
      <c r="O189" s="184" t="s">
        <v>151</v>
      </c>
      <c r="P189" s="184" t="s">
        <v>236</v>
      </c>
      <c r="Q189" s="184">
        <v>185.0</v>
      </c>
      <c r="R189" s="184">
        <v>0.0</v>
      </c>
      <c r="S189" s="186">
        <v>0.0</v>
      </c>
      <c r="T189" s="184">
        <v>3.0</v>
      </c>
    </row>
    <row r="190">
      <c r="A190" s="184" t="s">
        <v>90</v>
      </c>
      <c r="B190" s="184" t="s">
        <v>109</v>
      </c>
      <c r="C190" s="184" t="s">
        <v>260</v>
      </c>
      <c r="D190" s="184">
        <v>215.6</v>
      </c>
      <c r="E190" s="184" t="s">
        <v>515</v>
      </c>
      <c r="F190" s="184" t="s">
        <v>175</v>
      </c>
      <c r="G190" s="184" t="s">
        <v>190</v>
      </c>
      <c r="H190" s="184" t="s">
        <v>255</v>
      </c>
      <c r="I190" s="184">
        <v>245.0</v>
      </c>
      <c r="J190" s="184" t="s">
        <v>186</v>
      </c>
      <c r="K190" s="184" t="s">
        <v>245</v>
      </c>
      <c r="L190" s="184" t="s">
        <v>187</v>
      </c>
      <c r="M190" s="184">
        <v>145.0</v>
      </c>
      <c r="N190" s="184" t="s">
        <v>399</v>
      </c>
      <c r="O190" s="184" t="s">
        <v>414</v>
      </c>
      <c r="P190" s="184" t="s">
        <v>516</v>
      </c>
      <c r="Q190" s="184">
        <v>320.0</v>
      </c>
      <c r="R190" s="184">
        <v>710.0</v>
      </c>
      <c r="S190" s="186">
        <v>3.293135435992579</v>
      </c>
      <c r="T190" s="184">
        <v>7.0</v>
      </c>
    </row>
    <row r="191">
      <c r="A191" s="184" t="s">
        <v>90</v>
      </c>
      <c r="B191" s="184" t="s">
        <v>109</v>
      </c>
      <c r="C191" s="184" t="s">
        <v>168</v>
      </c>
      <c r="D191" s="184">
        <v>217.2</v>
      </c>
      <c r="E191" s="184" t="s">
        <v>507</v>
      </c>
      <c r="F191" s="184" t="s">
        <v>156</v>
      </c>
      <c r="G191" s="184" t="s">
        <v>167</v>
      </c>
      <c r="H191" s="184" t="s">
        <v>255</v>
      </c>
      <c r="I191" s="184">
        <v>245.0</v>
      </c>
      <c r="J191" s="184" t="s">
        <v>193</v>
      </c>
      <c r="K191" s="184" t="s">
        <v>243</v>
      </c>
      <c r="L191" s="184" t="s">
        <v>243</v>
      </c>
      <c r="M191" s="184">
        <v>115.0</v>
      </c>
      <c r="N191" s="184" t="s">
        <v>156</v>
      </c>
      <c r="O191" s="184" t="s">
        <v>176</v>
      </c>
      <c r="P191" s="184" t="s">
        <v>325</v>
      </c>
      <c r="Q191" s="184">
        <v>275.0</v>
      </c>
      <c r="R191" s="184">
        <v>635.0</v>
      </c>
      <c r="S191" s="186">
        <v>2.923572744014733</v>
      </c>
      <c r="T191" s="184">
        <v>7.0</v>
      </c>
    </row>
    <row r="192">
      <c r="A192" s="184" t="s">
        <v>90</v>
      </c>
      <c r="B192" s="184" t="s">
        <v>109</v>
      </c>
      <c r="C192" s="184" t="s">
        <v>512</v>
      </c>
      <c r="D192" s="184">
        <v>213.6</v>
      </c>
      <c r="E192" s="184" t="s">
        <v>513</v>
      </c>
      <c r="F192" s="184" t="s">
        <v>202</v>
      </c>
      <c r="G192" s="184" t="s">
        <v>150</v>
      </c>
      <c r="H192" s="184" t="s">
        <v>182</v>
      </c>
      <c r="I192" s="184">
        <v>200.0</v>
      </c>
      <c r="J192" s="184" t="s">
        <v>164</v>
      </c>
      <c r="K192" s="184" t="s">
        <v>193</v>
      </c>
      <c r="L192" s="184" t="s">
        <v>155</v>
      </c>
      <c r="M192" s="184">
        <v>115.0</v>
      </c>
      <c r="N192" s="184" t="s">
        <v>405</v>
      </c>
      <c r="O192" s="184" t="s">
        <v>406</v>
      </c>
      <c r="P192" s="184" t="s">
        <v>514</v>
      </c>
      <c r="Q192" s="184">
        <v>310.0</v>
      </c>
      <c r="R192" s="184">
        <v>625.0</v>
      </c>
      <c r="S192" s="186">
        <v>2.9260299625468167</v>
      </c>
      <c r="T192" s="184">
        <v>7.0</v>
      </c>
    </row>
    <row r="193">
      <c r="A193" s="184" t="s">
        <v>90</v>
      </c>
      <c r="B193" s="184" t="s">
        <v>109</v>
      </c>
      <c r="C193" s="184" t="s">
        <v>184</v>
      </c>
      <c r="D193" s="184">
        <v>216.1</v>
      </c>
      <c r="E193" s="184" t="s">
        <v>511</v>
      </c>
      <c r="F193" s="184" t="s">
        <v>263</v>
      </c>
      <c r="G193" s="184" t="s">
        <v>190</v>
      </c>
      <c r="H193" s="184" t="s">
        <v>156</v>
      </c>
      <c r="I193" s="184">
        <v>225.0</v>
      </c>
      <c r="J193" s="184" t="s">
        <v>173</v>
      </c>
      <c r="K193" s="184" t="s">
        <v>216</v>
      </c>
      <c r="L193" s="184" t="s">
        <v>153</v>
      </c>
      <c r="M193" s="184">
        <v>105.0</v>
      </c>
      <c r="N193" s="184" t="s">
        <v>328</v>
      </c>
      <c r="O193" s="184" t="s">
        <v>329</v>
      </c>
      <c r="P193" s="184" t="s">
        <v>424</v>
      </c>
      <c r="Q193" s="184">
        <v>290.0</v>
      </c>
      <c r="R193" s="184">
        <v>620.0</v>
      </c>
      <c r="S193" s="186">
        <v>2.869042110134197</v>
      </c>
      <c r="T193" s="184">
        <v>8.0</v>
      </c>
    </row>
    <row r="194">
      <c r="A194" s="184" t="s">
        <v>90</v>
      </c>
      <c r="B194" s="184" t="s">
        <v>109</v>
      </c>
      <c r="C194" s="184" t="s">
        <v>247</v>
      </c>
      <c r="D194" s="184">
        <v>208.8</v>
      </c>
      <c r="E194" s="184" t="s">
        <v>505</v>
      </c>
      <c r="F194" s="184" t="s">
        <v>166</v>
      </c>
      <c r="G194" s="184" t="s">
        <v>156</v>
      </c>
      <c r="H194" s="184" t="s">
        <v>167</v>
      </c>
      <c r="I194" s="184">
        <v>235.0</v>
      </c>
      <c r="J194" s="184" t="s">
        <v>197</v>
      </c>
      <c r="K194" s="184" t="s">
        <v>179</v>
      </c>
      <c r="L194" s="184" t="s">
        <v>234</v>
      </c>
      <c r="M194" s="184">
        <v>130.0</v>
      </c>
      <c r="N194" s="184" t="s">
        <v>308</v>
      </c>
      <c r="O194" s="184" t="s">
        <v>176</v>
      </c>
      <c r="P194" s="184" t="s">
        <v>506</v>
      </c>
      <c r="Q194" s="184">
        <v>250.0</v>
      </c>
      <c r="R194" s="184">
        <v>615.0</v>
      </c>
      <c r="S194" s="186">
        <v>2.9454022988505746</v>
      </c>
      <c r="T194" s="184">
        <v>8.0</v>
      </c>
    </row>
    <row r="195">
      <c r="A195" s="184" t="s">
        <v>90</v>
      </c>
      <c r="B195" s="184" t="s">
        <v>109</v>
      </c>
      <c r="C195" s="184" t="s">
        <v>375</v>
      </c>
      <c r="D195" s="184">
        <v>215.8</v>
      </c>
      <c r="E195" s="184" t="s">
        <v>508</v>
      </c>
      <c r="F195" s="184" t="s">
        <v>263</v>
      </c>
      <c r="G195" s="184" t="s">
        <v>190</v>
      </c>
      <c r="H195" s="184" t="s">
        <v>167</v>
      </c>
      <c r="I195" s="184">
        <v>235.0</v>
      </c>
      <c r="J195" s="184" t="s">
        <v>154</v>
      </c>
      <c r="K195" s="184" t="s">
        <v>155</v>
      </c>
      <c r="L195" s="184" t="s">
        <v>155</v>
      </c>
      <c r="M195" s="184">
        <v>110.0</v>
      </c>
      <c r="N195" s="184" t="s">
        <v>158</v>
      </c>
      <c r="O195" s="184" t="s">
        <v>328</v>
      </c>
      <c r="P195" s="184" t="s">
        <v>297</v>
      </c>
      <c r="Q195" s="184">
        <v>260.0</v>
      </c>
      <c r="R195" s="184">
        <v>605.0</v>
      </c>
      <c r="S195" s="186">
        <v>2.803521779425394</v>
      </c>
      <c r="T195" s="184">
        <v>5.0</v>
      </c>
    </row>
    <row r="196">
      <c r="A196" s="184" t="s">
        <v>90</v>
      </c>
      <c r="B196" s="184" t="s">
        <v>109</v>
      </c>
      <c r="C196" s="184" t="s">
        <v>260</v>
      </c>
      <c r="D196" s="184">
        <v>216.8</v>
      </c>
      <c r="E196" s="184" t="s">
        <v>509</v>
      </c>
      <c r="F196" s="184" t="s">
        <v>224</v>
      </c>
      <c r="G196" s="184" t="s">
        <v>151</v>
      </c>
      <c r="H196" s="184" t="s">
        <v>254</v>
      </c>
      <c r="I196" s="184">
        <v>205.0</v>
      </c>
      <c r="J196" s="184" t="s">
        <v>153</v>
      </c>
      <c r="K196" s="184" t="s">
        <v>193</v>
      </c>
      <c r="L196" s="184" t="s">
        <v>243</v>
      </c>
      <c r="M196" s="184">
        <v>115.0</v>
      </c>
      <c r="N196" s="184" t="s">
        <v>293</v>
      </c>
      <c r="O196" s="184" t="s">
        <v>510</v>
      </c>
      <c r="P196" s="184" t="s">
        <v>399</v>
      </c>
      <c r="Q196" s="184">
        <v>285.0</v>
      </c>
      <c r="R196" s="184">
        <v>605.0</v>
      </c>
      <c r="S196" s="186">
        <v>2.7905904059040587</v>
      </c>
      <c r="T196" s="184">
        <v>7.0</v>
      </c>
    </row>
    <row r="197">
      <c r="A197" s="184" t="s">
        <v>90</v>
      </c>
      <c r="B197" s="184" t="s">
        <v>109</v>
      </c>
      <c r="C197" s="184" t="s">
        <v>496</v>
      </c>
      <c r="D197" s="184">
        <v>218.2</v>
      </c>
      <c r="E197" s="184" t="s">
        <v>503</v>
      </c>
      <c r="F197" s="184" t="s">
        <v>182</v>
      </c>
      <c r="G197" s="184" t="s">
        <v>183</v>
      </c>
      <c r="H197" s="184" t="s">
        <v>167</v>
      </c>
      <c r="I197" s="184">
        <v>235.0</v>
      </c>
      <c r="J197" s="184" t="s">
        <v>207</v>
      </c>
      <c r="K197" s="184" t="s">
        <v>154</v>
      </c>
      <c r="L197" s="184" t="s">
        <v>227</v>
      </c>
      <c r="M197" s="184">
        <v>110.0</v>
      </c>
      <c r="N197" s="184" t="s">
        <v>166</v>
      </c>
      <c r="O197" s="184" t="s">
        <v>156</v>
      </c>
      <c r="P197" s="184" t="s">
        <v>167</v>
      </c>
      <c r="Q197" s="184">
        <v>235.0</v>
      </c>
      <c r="R197" s="184">
        <v>580.0</v>
      </c>
      <c r="S197" s="186">
        <v>2.6581118240146657</v>
      </c>
      <c r="T197" s="184">
        <v>7.0</v>
      </c>
    </row>
    <row r="198">
      <c r="A198" s="184" t="s">
        <v>90</v>
      </c>
      <c r="B198" s="184" t="s">
        <v>109</v>
      </c>
      <c r="C198" s="184" t="s">
        <v>368</v>
      </c>
      <c r="D198" s="184">
        <v>206.8</v>
      </c>
      <c r="E198" s="184" t="s">
        <v>504</v>
      </c>
      <c r="F198" s="184" t="s">
        <v>224</v>
      </c>
      <c r="G198" s="184" t="s">
        <v>162</v>
      </c>
      <c r="H198" s="184" t="s">
        <v>175</v>
      </c>
      <c r="I198" s="184">
        <v>195.0</v>
      </c>
      <c r="J198" s="184" t="s">
        <v>216</v>
      </c>
      <c r="K198" s="184" t="s">
        <v>153</v>
      </c>
      <c r="L198" s="184" t="s">
        <v>227</v>
      </c>
      <c r="M198" s="184">
        <v>105.0</v>
      </c>
      <c r="N198" s="184" t="s">
        <v>190</v>
      </c>
      <c r="O198" s="184" t="s">
        <v>167</v>
      </c>
      <c r="P198" s="184" t="s">
        <v>176</v>
      </c>
      <c r="Q198" s="184">
        <v>250.0</v>
      </c>
      <c r="R198" s="184">
        <v>550.0</v>
      </c>
      <c r="S198" s="186">
        <v>2.6595744680851063</v>
      </c>
      <c r="T198" s="184">
        <v>7.0</v>
      </c>
    </row>
    <row r="199">
      <c r="A199" s="184" t="s">
        <v>90</v>
      </c>
      <c r="B199" s="184" t="s">
        <v>109</v>
      </c>
      <c r="C199" s="184" t="s">
        <v>159</v>
      </c>
      <c r="D199" s="184">
        <v>203.0</v>
      </c>
      <c r="E199" s="184" t="s">
        <v>501</v>
      </c>
      <c r="F199" s="184" t="s">
        <v>211</v>
      </c>
      <c r="G199" s="184" t="s">
        <v>208</v>
      </c>
      <c r="H199" s="184" t="s">
        <v>254</v>
      </c>
      <c r="I199" s="184">
        <v>205.0</v>
      </c>
      <c r="J199" s="184" t="s">
        <v>164</v>
      </c>
      <c r="K199" s="184" t="s">
        <v>262</v>
      </c>
      <c r="L199" s="184" t="s">
        <v>165</v>
      </c>
      <c r="M199" s="184">
        <v>100.0</v>
      </c>
      <c r="N199" s="184" t="s">
        <v>175</v>
      </c>
      <c r="O199" s="184" t="s">
        <v>254</v>
      </c>
      <c r="P199" s="184" t="s">
        <v>183</v>
      </c>
      <c r="Q199" s="184">
        <v>220.0</v>
      </c>
      <c r="R199" s="184">
        <v>525.0</v>
      </c>
      <c r="S199" s="186">
        <v>2.586206896551724</v>
      </c>
      <c r="T199" s="184">
        <v>5.0</v>
      </c>
    </row>
    <row r="200">
      <c r="A200" s="184" t="s">
        <v>90</v>
      </c>
      <c r="B200" s="184" t="s">
        <v>109</v>
      </c>
      <c r="C200" s="184" t="s">
        <v>422</v>
      </c>
      <c r="D200" s="184">
        <v>204.0</v>
      </c>
      <c r="E200" s="184" t="s">
        <v>499</v>
      </c>
      <c r="F200" s="184" t="s">
        <v>150</v>
      </c>
      <c r="G200" s="184" t="s">
        <v>151</v>
      </c>
      <c r="H200" s="184" t="s">
        <v>254</v>
      </c>
      <c r="I200" s="184">
        <v>205.0</v>
      </c>
      <c r="J200" s="184" t="s">
        <v>172</v>
      </c>
      <c r="K200" s="184" t="s">
        <v>173</v>
      </c>
      <c r="L200" s="184" t="s">
        <v>216</v>
      </c>
      <c r="M200" s="184">
        <v>95.0</v>
      </c>
      <c r="N200" s="184" t="s">
        <v>175</v>
      </c>
      <c r="O200" s="184" t="s">
        <v>254</v>
      </c>
      <c r="P200" s="184" t="s">
        <v>320</v>
      </c>
      <c r="Q200" s="184">
        <v>205.0</v>
      </c>
      <c r="R200" s="184">
        <v>505.0</v>
      </c>
      <c r="S200" s="186">
        <v>2.4754901960784315</v>
      </c>
      <c r="T200" s="184">
        <v>8.0</v>
      </c>
    </row>
    <row r="201">
      <c r="A201" s="184" t="s">
        <v>90</v>
      </c>
      <c r="B201" s="184" t="s">
        <v>109</v>
      </c>
      <c r="C201" s="184" t="s">
        <v>285</v>
      </c>
      <c r="D201" s="184">
        <v>213.4</v>
      </c>
      <c r="E201" s="184" t="s">
        <v>502</v>
      </c>
      <c r="F201" s="184" t="s">
        <v>186</v>
      </c>
      <c r="G201" s="184" t="s">
        <v>202</v>
      </c>
      <c r="H201" s="184" t="s">
        <v>266</v>
      </c>
      <c r="I201" s="184">
        <v>155.0</v>
      </c>
      <c r="J201" s="184" t="s">
        <v>172</v>
      </c>
      <c r="K201" s="184" t="s">
        <v>206</v>
      </c>
      <c r="L201" s="184" t="s">
        <v>206</v>
      </c>
      <c r="M201" s="184">
        <v>75.0</v>
      </c>
      <c r="N201" s="184" t="s">
        <v>175</v>
      </c>
      <c r="O201" s="184" t="s">
        <v>166</v>
      </c>
      <c r="P201" s="184" t="s">
        <v>320</v>
      </c>
      <c r="Q201" s="184">
        <v>210.0</v>
      </c>
      <c r="R201" s="184">
        <v>440.0</v>
      </c>
      <c r="S201" s="186">
        <v>2.0618556701030926</v>
      </c>
      <c r="T201" s="184">
        <v>5.0</v>
      </c>
    </row>
    <row r="202">
      <c r="A202" s="184" t="s">
        <v>90</v>
      </c>
      <c r="B202" s="184" t="s">
        <v>109</v>
      </c>
      <c r="C202" s="184" t="s">
        <v>221</v>
      </c>
      <c r="D202" s="184">
        <v>219.0</v>
      </c>
      <c r="E202" s="184" t="s">
        <v>500</v>
      </c>
      <c r="F202" s="184" t="s">
        <v>201</v>
      </c>
      <c r="G202" s="184" t="s">
        <v>150</v>
      </c>
      <c r="H202" s="184" t="s">
        <v>211</v>
      </c>
      <c r="I202" s="184">
        <v>175.0</v>
      </c>
      <c r="J202" s="184" t="s">
        <v>153</v>
      </c>
      <c r="K202" s="184" t="s">
        <v>193</v>
      </c>
      <c r="L202" s="184" t="s">
        <v>197</v>
      </c>
      <c r="M202" s="184">
        <v>120.0</v>
      </c>
      <c r="N202" s="184" t="s">
        <v>263</v>
      </c>
      <c r="O202" s="184" t="s">
        <v>263</v>
      </c>
      <c r="P202" s="184" t="s">
        <v>263</v>
      </c>
      <c r="Q202" s="184">
        <v>0.0</v>
      </c>
      <c r="R202" s="184">
        <v>0.0</v>
      </c>
      <c r="S202" s="186">
        <v>0.0</v>
      </c>
      <c r="T202" s="184">
        <v>4.0</v>
      </c>
    </row>
    <row r="203">
      <c r="A203" s="184" t="s">
        <v>95</v>
      </c>
      <c r="B203" s="184" t="s">
        <v>109</v>
      </c>
      <c r="C203" s="184" t="s">
        <v>287</v>
      </c>
      <c r="D203" s="184">
        <v>229.0</v>
      </c>
      <c r="E203" s="184" t="s">
        <v>533</v>
      </c>
      <c r="F203" s="184" t="s">
        <v>235</v>
      </c>
      <c r="G203" s="184" t="s">
        <v>254</v>
      </c>
      <c r="H203" s="184" t="s">
        <v>156</v>
      </c>
      <c r="I203" s="184">
        <v>225.0</v>
      </c>
      <c r="J203" s="184" t="s">
        <v>164</v>
      </c>
      <c r="K203" s="184" t="s">
        <v>154</v>
      </c>
      <c r="L203" s="184" t="s">
        <v>243</v>
      </c>
      <c r="M203" s="184">
        <v>110.0</v>
      </c>
      <c r="N203" s="184" t="s">
        <v>329</v>
      </c>
      <c r="O203" s="184" t="s">
        <v>406</v>
      </c>
      <c r="P203" s="184" t="s">
        <v>514</v>
      </c>
      <c r="Q203" s="184">
        <v>310.0</v>
      </c>
      <c r="R203" s="184">
        <v>645.0</v>
      </c>
      <c r="S203" s="186">
        <v>2.816593886462882</v>
      </c>
      <c r="T203" s="184">
        <v>8.0</v>
      </c>
    </row>
    <row r="204">
      <c r="A204" s="184" t="s">
        <v>95</v>
      </c>
      <c r="B204" s="184" t="s">
        <v>109</v>
      </c>
      <c r="C204" s="184" t="s">
        <v>260</v>
      </c>
      <c r="D204" s="184">
        <v>227.8</v>
      </c>
      <c r="E204" s="184" t="s">
        <v>532</v>
      </c>
      <c r="F204" s="184" t="s">
        <v>151</v>
      </c>
      <c r="G204" s="184" t="s">
        <v>182</v>
      </c>
      <c r="H204" s="184" t="s">
        <v>191</v>
      </c>
      <c r="I204" s="184">
        <v>200.0</v>
      </c>
      <c r="J204" s="184" t="s">
        <v>193</v>
      </c>
      <c r="K204" s="184" t="s">
        <v>179</v>
      </c>
      <c r="L204" s="184" t="s">
        <v>234</v>
      </c>
      <c r="M204" s="184">
        <v>130.0</v>
      </c>
      <c r="N204" s="184" t="s">
        <v>328</v>
      </c>
      <c r="O204" s="184" t="s">
        <v>399</v>
      </c>
      <c r="P204" s="184" t="s">
        <v>469</v>
      </c>
      <c r="Q204" s="184">
        <v>305.0</v>
      </c>
      <c r="R204" s="184">
        <v>635.0</v>
      </c>
      <c r="S204" s="186">
        <v>2.7875329236172077</v>
      </c>
      <c r="T204" s="184">
        <v>8.0</v>
      </c>
    </row>
    <row r="205">
      <c r="A205" s="184" t="s">
        <v>95</v>
      </c>
      <c r="B205" s="184" t="s">
        <v>109</v>
      </c>
      <c r="C205" s="184" t="s">
        <v>260</v>
      </c>
      <c r="D205" s="184">
        <v>227.6</v>
      </c>
      <c r="E205" s="184" t="s">
        <v>526</v>
      </c>
      <c r="F205" s="184" t="s">
        <v>151</v>
      </c>
      <c r="G205" s="184" t="s">
        <v>175</v>
      </c>
      <c r="H205" s="184" t="s">
        <v>254</v>
      </c>
      <c r="I205" s="184">
        <v>205.0</v>
      </c>
      <c r="J205" s="184" t="s">
        <v>155</v>
      </c>
      <c r="K205" s="184" t="s">
        <v>155</v>
      </c>
      <c r="L205" s="184" t="s">
        <v>197</v>
      </c>
      <c r="M205" s="184">
        <v>120.0</v>
      </c>
      <c r="N205" s="184" t="s">
        <v>297</v>
      </c>
      <c r="O205" s="184" t="s">
        <v>490</v>
      </c>
      <c r="P205" s="184" t="s">
        <v>527</v>
      </c>
      <c r="Q205" s="184">
        <v>280.0</v>
      </c>
      <c r="R205" s="184">
        <v>605.0</v>
      </c>
      <c r="S205" s="186">
        <v>2.65817223198594</v>
      </c>
      <c r="T205" s="184">
        <v>5.0</v>
      </c>
    </row>
    <row r="206">
      <c r="A206" s="184" t="s">
        <v>95</v>
      </c>
      <c r="B206" s="184" t="s">
        <v>109</v>
      </c>
      <c r="C206" s="184" t="s">
        <v>177</v>
      </c>
      <c r="D206" s="184">
        <v>231.2</v>
      </c>
      <c r="E206" s="184" t="s">
        <v>531</v>
      </c>
      <c r="F206" s="184" t="s">
        <v>186</v>
      </c>
      <c r="G206" s="184" t="s">
        <v>224</v>
      </c>
      <c r="H206" s="184" t="s">
        <v>151</v>
      </c>
      <c r="I206" s="184">
        <v>185.0</v>
      </c>
      <c r="J206" s="184" t="s">
        <v>216</v>
      </c>
      <c r="K206" s="184" t="s">
        <v>193</v>
      </c>
      <c r="L206" s="184" t="s">
        <v>243</v>
      </c>
      <c r="M206" s="184">
        <v>115.0</v>
      </c>
      <c r="N206" s="184" t="s">
        <v>176</v>
      </c>
      <c r="O206" s="184" t="s">
        <v>399</v>
      </c>
      <c r="P206" s="184" t="s">
        <v>469</v>
      </c>
      <c r="Q206" s="184">
        <v>305.0</v>
      </c>
      <c r="R206" s="184">
        <v>605.0</v>
      </c>
      <c r="S206" s="186">
        <v>2.6167820069204155</v>
      </c>
      <c r="T206" s="184">
        <v>8.0</v>
      </c>
    </row>
    <row r="207">
      <c r="A207" s="184" t="s">
        <v>95</v>
      </c>
      <c r="B207" s="184" t="s">
        <v>109</v>
      </c>
      <c r="C207" s="184" t="s">
        <v>184</v>
      </c>
      <c r="D207" s="184">
        <v>229.6</v>
      </c>
      <c r="E207" s="184" t="s">
        <v>523</v>
      </c>
      <c r="F207" s="184" t="s">
        <v>166</v>
      </c>
      <c r="G207" s="184" t="s">
        <v>320</v>
      </c>
      <c r="H207" s="184" t="s">
        <v>191</v>
      </c>
      <c r="I207" s="184">
        <v>210.0</v>
      </c>
      <c r="J207" s="184" t="s">
        <v>153</v>
      </c>
      <c r="K207" s="184" t="s">
        <v>154</v>
      </c>
      <c r="L207" s="184" t="s">
        <v>155</v>
      </c>
      <c r="M207" s="184">
        <v>110.0</v>
      </c>
      <c r="N207" s="184" t="s">
        <v>308</v>
      </c>
      <c r="O207" s="184" t="s">
        <v>176</v>
      </c>
      <c r="P207" s="184" t="s">
        <v>325</v>
      </c>
      <c r="Q207" s="184">
        <v>275.0</v>
      </c>
      <c r="R207" s="184">
        <v>595.0</v>
      </c>
      <c r="S207" s="186">
        <v>2.591463414634146</v>
      </c>
      <c r="T207" s="184">
        <v>6.0</v>
      </c>
    </row>
    <row r="208">
      <c r="A208" s="184" t="s">
        <v>95</v>
      </c>
      <c r="B208" s="184" t="s">
        <v>109</v>
      </c>
      <c r="C208" s="184" t="s">
        <v>251</v>
      </c>
      <c r="D208" s="184">
        <v>222.0</v>
      </c>
      <c r="E208" s="184" t="s">
        <v>528</v>
      </c>
      <c r="F208" s="184" t="s">
        <v>254</v>
      </c>
      <c r="G208" s="184" t="s">
        <v>183</v>
      </c>
      <c r="H208" s="184" t="s">
        <v>191</v>
      </c>
      <c r="I208" s="184">
        <v>220.0</v>
      </c>
      <c r="J208" s="184" t="s">
        <v>153</v>
      </c>
      <c r="K208" s="184" t="s">
        <v>227</v>
      </c>
      <c r="L208" s="184" t="s">
        <v>227</v>
      </c>
      <c r="M208" s="184">
        <v>105.0</v>
      </c>
      <c r="N208" s="184" t="s">
        <v>293</v>
      </c>
      <c r="O208" s="184" t="s">
        <v>527</v>
      </c>
      <c r="P208" s="184" t="s">
        <v>527</v>
      </c>
      <c r="Q208" s="184">
        <v>265.0</v>
      </c>
      <c r="R208" s="184">
        <v>590.0</v>
      </c>
      <c r="S208" s="186">
        <v>2.6576576576576576</v>
      </c>
      <c r="T208" s="184">
        <v>4.0</v>
      </c>
    </row>
    <row r="209">
      <c r="A209" s="184" t="s">
        <v>95</v>
      </c>
      <c r="B209" s="184" t="s">
        <v>109</v>
      </c>
      <c r="C209" s="184" t="s">
        <v>321</v>
      </c>
      <c r="D209" s="184">
        <v>235.8</v>
      </c>
      <c r="E209" s="184" t="s">
        <v>517</v>
      </c>
      <c r="F209" s="184" t="s">
        <v>162</v>
      </c>
      <c r="G209" s="184" t="s">
        <v>151</v>
      </c>
      <c r="H209" s="184" t="s">
        <v>182</v>
      </c>
      <c r="I209" s="184">
        <v>200.0</v>
      </c>
      <c r="J209" s="184" t="s">
        <v>193</v>
      </c>
      <c r="K209" s="184" t="s">
        <v>243</v>
      </c>
      <c r="L209" s="184" t="s">
        <v>243</v>
      </c>
      <c r="M209" s="184">
        <v>115.0</v>
      </c>
      <c r="N209" s="184" t="s">
        <v>182</v>
      </c>
      <c r="O209" s="184" t="s">
        <v>166</v>
      </c>
      <c r="P209" s="184" t="s">
        <v>156</v>
      </c>
      <c r="Q209" s="184">
        <v>225.0</v>
      </c>
      <c r="R209" s="184">
        <v>540.0</v>
      </c>
      <c r="S209" s="186">
        <v>2.2900763358778624</v>
      </c>
      <c r="T209" s="184">
        <v>6.0</v>
      </c>
    </row>
    <row r="210">
      <c r="A210" s="184" t="s">
        <v>33</v>
      </c>
      <c r="B210" s="184" t="s">
        <v>109</v>
      </c>
      <c r="C210" s="184" t="s">
        <v>168</v>
      </c>
      <c r="D210" s="184">
        <v>90.8</v>
      </c>
      <c r="E210" s="184" t="s">
        <v>233</v>
      </c>
      <c r="F210" s="184" t="s">
        <v>234</v>
      </c>
      <c r="G210" s="184" t="s">
        <v>170</v>
      </c>
      <c r="H210" s="184" t="s">
        <v>202</v>
      </c>
      <c r="I210" s="184">
        <v>155.0</v>
      </c>
      <c r="J210" s="184" t="s">
        <v>172</v>
      </c>
      <c r="K210" s="184" t="s">
        <v>210</v>
      </c>
      <c r="L210" s="184" t="s">
        <v>206</v>
      </c>
      <c r="M210" s="184">
        <v>80.0</v>
      </c>
      <c r="N210" s="184" t="s">
        <v>224</v>
      </c>
      <c r="O210" s="184" t="s">
        <v>235</v>
      </c>
      <c r="P210" s="184" t="s">
        <v>236</v>
      </c>
      <c r="Q210" s="184">
        <v>180.0</v>
      </c>
      <c r="R210" s="184">
        <v>415.0</v>
      </c>
      <c r="S210" s="186">
        <v>4.570484581497798</v>
      </c>
      <c r="T210" s="184">
        <v>7.0</v>
      </c>
    </row>
    <row r="211">
      <c r="A211" s="184" t="s">
        <v>33</v>
      </c>
      <c r="B211" s="184" t="s">
        <v>109</v>
      </c>
      <c r="C211" s="184" t="s">
        <v>237</v>
      </c>
      <c r="D211" s="184">
        <v>94.4</v>
      </c>
      <c r="E211" s="184" t="s">
        <v>238</v>
      </c>
      <c r="F211" s="184" t="s">
        <v>193</v>
      </c>
      <c r="G211" s="184" t="s">
        <v>186</v>
      </c>
      <c r="H211" s="184" t="s">
        <v>239</v>
      </c>
      <c r="I211" s="184">
        <v>135.0</v>
      </c>
      <c r="J211" s="184" t="s">
        <v>220</v>
      </c>
      <c r="K211" s="184" t="s">
        <v>195</v>
      </c>
      <c r="L211" s="184" t="s">
        <v>210</v>
      </c>
      <c r="M211" s="184">
        <v>80.0</v>
      </c>
      <c r="N211" s="184" t="s">
        <v>170</v>
      </c>
      <c r="O211" s="184" t="s">
        <v>161</v>
      </c>
      <c r="P211" s="184" t="s">
        <v>235</v>
      </c>
      <c r="Q211" s="184">
        <v>180.0</v>
      </c>
      <c r="R211" s="184">
        <v>395.0</v>
      </c>
      <c r="S211" s="186">
        <v>4.1843220338983045</v>
      </c>
      <c r="T211" s="184">
        <v>8.0</v>
      </c>
    </row>
    <row r="212">
      <c r="A212" s="184" t="s">
        <v>33</v>
      </c>
      <c r="B212" s="184" t="s">
        <v>109</v>
      </c>
      <c r="C212" s="184" t="s">
        <v>240</v>
      </c>
      <c r="D212" s="184">
        <v>83.6</v>
      </c>
      <c r="E212" s="184" t="s">
        <v>241</v>
      </c>
      <c r="F212" s="184" t="s">
        <v>164</v>
      </c>
      <c r="G212" s="184" t="s">
        <v>154</v>
      </c>
      <c r="H212" s="184" t="s">
        <v>227</v>
      </c>
      <c r="I212" s="184">
        <v>110.0</v>
      </c>
      <c r="J212" s="184" t="s">
        <v>188</v>
      </c>
      <c r="K212" s="184" t="s">
        <v>195</v>
      </c>
      <c r="L212" s="184" t="s">
        <v>172</v>
      </c>
      <c r="M212" s="184">
        <v>75.0</v>
      </c>
      <c r="N212" s="184" t="s">
        <v>171</v>
      </c>
      <c r="O212" s="184" t="s">
        <v>224</v>
      </c>
      <c r="P212" s="184" t="s">
        <v>181</v>
      </c>
      <c r="Q212" s="184">
        <v>190.0</v>
      </c>
      <c r="R212" s="184">
        <v>375.0</v>
      </c>
      <c r="S212" s="186">
        <v>4.4856459330143545</v>
      </c>
      <c r="T212" s="184">
        <v>8.0</v>
      </c>
    </row>
    <row r="213">
      <c r="A213" s="184" t="s">
        <v>33</v>
      </c>
      <c r="B213" s="184" t="s">
        <v>109</v>
      </c>
      <c r="C213" s="184" t="s">
        <v>159</v>
      </c>
      <c r="D213" s="184">
        <v>95.0</v>
      </c>
      <c r="E213" s="184" t="s">
        <v>242</v>
      </c>
      <c r="F213" s="184" t="s">
        <v>154</v>
      </c>
      <c r="G213" s="184" t="s">
        <v>193</v>
      </c>
      <c r="H213" s="184" t="s">
        <v>243</v>
      </c>
      <c r="I213" s="184">
        <v>115.0</v>
      </c>
      <c r="J213" s="184" t="s">
        <v>217</v>
      </c>
      <c r="K213" s="184">
        <v>65.0</v>
      </c>
      <c r="L213" s="184" t="s">
        <v>244</v>
      </c>
      <c r="M213" s="184">
        <v>55.0</v>
      </c>
      <c r="N213" s="184" t="s">
        <v>245</v>
      </c>
      <c r="O213" s="184" t="s">
        <v>161</v>
      </c>
      <c r="P213" s="184" t="s">
        <v>181</v>
      </c>
      <c r="Q213" s="184">
        <v>190.0</v>
      </c>
      <c r="R213" s="184">
        <v>360.0</v>
      </c>
      <c r="S213" s="186">
        <v>3.789473684210526</v>
      </c>
      <c r="T213" s="184">
        <v>6.0</v>
      </c>
    </row>
    <row r="214">
      <c r="A214" s="184" t="s">
        <v>33</v>
      </c>
      <c r="B214" s="184" t="s">
        <v>109</v>
      </c>
      <c r="C214" s="184" t="s">
        <v>168</v>
      </c>
      <c r="D214" s="184">
        <v>95.3</v>
      </c>
      <c r="E214" s="184" t="s">
        <v>246</v>
      </c>
      <c r="F214" s="184" t="s">
        <v>216</v>
      </c>
      <c r="G214" s="184" t="s">
        <v>153</v>
      </c>
      <c r="H214" s="184" t="s">
        <v>154</v>
      </c>
      <c r="I214" s="184">
        <v>110.0</v>
      </c>
      <c r="J214" s="184" t="s">
        <v>220</v>
      </c>
      <c r="K214" s="184" t="s">
        <v>188</v>
      </c>
      <c r="L214" s="184" t="s">
        <v>231</v>
      </c>
      <c r="M214" s="184">
        <v>65.0</v>
      </c>
      <c r="N214" s="184" t="s">
        <v>202</v>
      </c>
      <c r="O214" s="184" t="s">
        <v>224</v>
      </c>
      <c r="P214" s="184" t="s">
        <v>203</v>
      </c>
      <c r="Q214" s="184">
        <v>170.0</v>
      </c>
      <c r="R214" s="184">
        <v>345.0</v>
      </c>
      <c r="S214" s="186">
        <v>3.620146904512067</v>
      </c>
      <c r="T214" s="184">
        <v>8.0</v>
      </c>
    </row>
    <row r="215">
      <c r="A215" s="184" t="s">
        <v>33</v>
      </c>
      <c r="B215" s="184" t="s">
        <v>109</v>
      </c>
      <c r="C215" s="184" t="s">
        <v>247</v>
      </c>
      <c r="D215" s="184">
        <v>92.0</v>
      </c>
      <c r="E215" s="184" t="s">
        <v>248</v>
      </c>
      <c r="F215" s="184" t="s">
        <v>164</v>
      </c>
      <c r="G215" s="184" t="s">
        <v>154</v>
      </c>
      <c r="H215" s="184" t="s">
        <v>243</v>
      </c>
      <c r="I215" s="184">
        <v>110.0</v>
      </c>
      <c r="J215" s="184" t="s">
        <v>223</v>
      </c>
      <c r="K215" s="184" t="s">
        <v>220</v>
      </c>
      <c r="L215" s="184" t="s">
        <v>231</v>
      </c>
      <c r="M215" s="184">
        <v>60.0</v>
      </c>
      <c r="N215" s="184" t="s">
        <v>179</v>
      </c>
      <c r="O215" s="184" t="s">
        <v>245</v>
      </c>
      <c r="P215" s="184" t="s">
        <v>203</v>
      </c>
      <c r="Q215" s="184">
        <v>170.0</v>
      </c>
      <c r="R215" s="184">
        <v>340.0</v>
      </c>
      <c r="S215" s="186">
        <v>3.6956521739130435</v>
      </c>
      <c r="T215" s="184">
        <v>7.0</v>
      </c>
    </row>
    <row r="216">
      <c r="A216" s="184" t="s">
        <v>33</v>
      </c>
      <c r="B216" s="184" t="s">
        <v>109</v>
      </c>
      <c r="C216" s="184" t="s">
        <v>249</v>
      </c>
      <c r="D216" s="184">
        <v>93.5</v>
      </c>
      <c r="E216" s="184" t="s">
        <v>250</v>
      </c>
      <c r="F216" s="184" t="s">
        <v>216</v>
      </c>
      <c r="G216" s="184" t="s">
        <v>216</v>
      </c>
      <c r="H216" s="184" t="s">
        <v>164</v>
      </c>
      <c r="I216" s="184">
        <v>100.0</v>
      </c>
      <c r="J216" s="184" t="s">
        <v>223</v>
      </c>
      <c r="K216" s="184" t="s">
        <v>217</v>
      </c>
      <c r="L216" s="184" t="s">
        <v>188</v>
      </c>
      <c r="M216" s="184">
        <v>65.0</v>
      </c>
      <c r="N216" s="184" t="s">
        <v>245</v>
      </c>
      <c r="O216" s="184" t="s">
        <v>202</v>
      </c>
      <c r="P216" s="184" t="s">
        <v>161</v>
      </c>
      <c r="Q216" s="184">
        <v>160.0</v>
      </c>
      <c r="R216" s="184">
        <v>325.0</v>
      </c>
      <c r="S216" s="186">
        <v>3.4759358288770055</v>
      </c>
      <c r="T216" s="184">
        <v>9.0</v>
      </c>
    </row>
    <row r="217">
      <c r="A217" s="184" t="s">
        <v>33</v>
      </c>
      <c r="B217" s="184" t="s">
        <v>109</v>
      </c>
      <c r="C217" s="184" t="s">
        <v>251</v>
      </c>
      <c r="D217" s="184">
        <v>91.0</v>
      </c>
      <c r="E217" s="184" t="s">
        <v>252</v>
      </c>
      <c r="F217" s="184" t="s">
        <v>163</v>
      </c>
      <c r="G217" s="184" t="s">
        <v>216</v>
      </c>
      <c r="H217" s="184" t="s">
        <v>207</v>
      </c>
      <c r="I217" s="184">
        <v>95.0</v>
      </c>
      <c r="J217" s="184" t="s">
        <v>220</v>
      </c>
      <c r="K217" s="184" t="s">
        <v>188</v>
      </c>
      <c r="L217" s="184" t="s">
        <v>244</v>
      </c>
      <c r="M217" s="184">
        <v>65.0</v>
      </c>
      <c r="N217" s="184" t="s">
        <v>179</v>
      </c>
      <c r="O217" s="184" t="s">
        <v>186</v>
      </c>
      <c r="P217" s="184" t="s">
        <v>245</v>
      </c>
      <c r="Q217" s="184">
        <v>145.0</v>
      </c>
      <c r="R217" s="184">
        <v>305.0</v>
      </c>
      <c r="S217" s="186">
        <v>3.3516483516483517</v>
      </c>
      <c r="T217" s="184">
        <v>7.0</v>
      </c>
    </row>
    <row r="218">
      <c r="A218" s="184" t="s">
        <v>99</v>
      </c>
      <c r="B218" s="184" t="s">
        <v>109</v>
      </c>
      <c r="C218" s="184" t="s">
        <v>478</v>
      </c>
      <c r="D218" s="184">
        <v>270.4</v>
      </c>
      <c r="E218" s="184" t="s">
        <v>534</v>
      </c>
      <c r="F218" s="184" t="s">
        <v>405</v>
      </c>
      <c r="G218" s="184" t="s">
        <v>325</v>
      </c>
      <c r="H218" s="184" t="s">
        <v>516</v>
      </c>
      <c r="I218" s="184">
        <v>275.0</v>
      </c>
      <c r="J218" s="184" t="s">
        <v>245</v>
      </c>
      <c r="K218" s="184" t="s">
        <v>202</v>
      </c>
      <c r="L218" s="184" t="s">
        <v>201</v>
      </c>
      <c r="M218" s="184">
        <v>155.0</v>
      </c>
      <c r="N218" s="184" t="s">
        <v>399</v>
      </c>
      <c r="O218" s="184" t="s">
        <v>407</v>
      </c>
      <c r="P218" s="184" t="s">
        <v>535</v>
      </c>
      <c r="Q218" s="184">
        <v>340.0</v>
      </c>
      <c r="R218" s="184">
        <v>770.0</v>
      </c>
      <c r="S218" s="186">
        <v>2.8476331360946747</v>
      </c>
      <c r="T218" s="184">
        <v>6.0</v>
      </c>
    </row>
    <row r="219">
      <c r="A219" s="184" t="s">
        <v>99</v>
      </c>
      <c r="B219" s="184" t="s">
        <v>109</v>
      </c>
      <c r="C219" s="184" t="s">
        <v>251</v>
      </c>
      <c r="D219" s="184">
        <v>251.2</v>
      </c>
      <c r="E219" s="184" t="s">
        <v>524</v>
      </c>
      <c r="F219" s="184" t="s">
        <v>190</v>
      </c>
      <c r="G219" s="184" t="s">
        <v>158</v>
      </c>
      <c r="H219" s="184" t="s">
        <v>525</v>
      </c>
      <c r="I219" s="184">
        <v>240.0</v>
      </c>
      <c r="J219" s="184" t="s">
        <v>179</v>
      </c>
      <c r="K219" s="184" t="s">
        <v>186</v>
      </c>
      <c r="L219" s="184" t="s">
        <v>316</v>
      </c>
      <c r="M219" s="184">
        <v>135.0</v>
      </c>
      <c r="N219" s="184" t="s">
        <v>293</v>
      </c>
      <c r="O219" s="184" t="s">
        <v>510</v>
      </c>
      <c r="P219" s="184" t="s">
        <v>510</v>
      </c>
      <c r="Q219" s="184">
        <v>265.0</v>
      </c>
      <c r="R219" s="184">
        <v>640.0</v>
      </c>
      <c r="S219" s="186">
        <v>2.547770700636943</v>
      </c>
      <c r="T219" s="184">
        <v>5.0</v>
      </c>
    </row>
    <row r="220">
      <c r="A220" s="184" t="s">
        <v>99</v>
      </c>
      <c r="B220" s="184" t="s">
        <v>109</v>
      </c>
      <c r="C220" s="184" t="s">
        <v>260</v>
      </c>
      <c r="D220" s="184">
        <v>290.0</v>
      </c>
      <c r="E220" s="184" t="s">
        <v>529</v>
      </c>
      <c r="F220" s="184" t="s">
        <v>254</v>
      </c>
      <c r="G220" s="184" t="s">
        <v>191</v>
      </c>
      <c r="H220" s="184" t="s">
        <v>156</v>
      </c>
      <c r="I220" s="184">
        <v>225.0</v>
      </c>
      <c r="J220" s="184" t="s">
        <v>153</v>
      </c>
      <c r="K220" s="184" t="s">
        <v>154</v>
      </c>
      <c r="L220" s="184" t="s">
        <v>193</v>
      </c>
      <c r="M220" s="184">
        <v>115.0</v>
      </c>
      <c r="N220" s="184" t="s">
        <v>490</v>
      </c>
      <c r="O220" s="184" t="s">
        <v>459</v>
      </c>
      <c r="P220" s="184" t="s">
        <v>530</v>
      </c>
      <c r="Q220" s="184">
        <v>295.0</v>
      </c>
      <c r="R220" s="184">
        <v>635.0</v>
      </c>
      <c r="S220" s="186">
        <v>2.189655172413793</v>
      </c>
      <c r="T220" s="184">
        <v>7.0</v>
      </c>
    </row>
    <row r="221">
      <c r="A221" s="184" t="s">
        <v>99</v>
      </c>
      <c r="B221" s="184" t="s">
        <v>109</v>
      </c>
      <c r="C221" s="184" t="s">
        <v>478</v>
      </c>
      <c r="D221" s="184">
        <v>277.0</v>
      </c>
      <c r="E221" s="184" t="s">
        <v>521</v>
      </c>
      <c r="F221" s="184" t="s">
        <v>211</v>
      </c>
      <c r="G221" s="184" t="s">
        <v>190</v>
      </c>
      <c r="H221" s="184" t="s">
        <v>271</v>
      </c>
      <c r="I221" s="184">
        <v>215.0</v>
      </c>
      <c r="J221" s="184" t="s">
        <v>179</v>
      </c>
      <c r="K221" s="184" t="s">
        <v>170</v>
      </c>
      <c r="L221" s="184" t="s">
        <v>316</v>
      </c>
      <c r="M221" s="184">
        <v>140.0</v>
      </c>
      <c r="N221" s="184" t="s">
        <v>190</v>
      </c>
      <c r="O221" s="184" t="s">
        <v>255</v>
      </c>
      <c r="P221" s="184" t="s">
        <v>328</v>
      </c>
      <c r="Q221" s="184">
        <v>260.0</v>
      </c>
      <c r="R221" s="184">
        <v>615.0</v>
      </c>
      <c r="S221" s="186">
        <v>2.220216606498195</v>
      </c>
      <c r="T221" s="184">
        <v>6.0</v>
      </c>
    </row>
    <row r="222">
      <c r="A222" s="184" t="s">
        <v>99</v>
      </c>
      <c r="B222" s="184" t="s">
        <v>109</v>
      </c>
      <c r="C222" s="184" t="s">
        <v>268</v>
      </c>
      <c r="D222" s="184">
        <v>290.4</v>
      </c>
      <c r="E222" s="184" t="s">
        <v>520</v>
      </c>
      <c r="F222" s="184" t="s">
        <v>295</v>
      </c>
      <c r="G222" s="184" t="s">
        <v>328</v>
      </c>
      <c r="H222" s="184" t="s">
        <v>506</v>
      </c>
      <c r="I222" s="184">
        <v>260.0</v>
      </c>
      <c r="J222" s="184" t="s">
        <v>154</v>
      </c>
      <c r="K222" s="184" t="s">
        <v>197</v>
      </c>
      <c r="L222" s="184" t="s">
        <v>198</v>
      </c>
      <c r="M222" s="184">
        <v>120.0</v>
      </c>
      <c r="N222" s="184" t="s">
        <v>308</v>
      </c>
      <c r="O222" s="184" t="s">
        <v>157</v>
      </c>
      <c r="P222" s="184" t="s">
        <v>389</v>
      </c>
      <c r="Q222" s="184">
        <v>230.0</v>
      </c>
      <c r="R222" s="184">
        <v>610.0</v>
      </c>
      <c r="S222" s="186">
        <v>2.100550964187328</v>
      </c>
      <c r="T222" s="184">
        <v>4.0</v>
      </c>
    </row>
    <row r="223">
      <c r="A223" s="184" t="s">
        <v>99</v>
      </c>
      <c r="B223" s="184" t="s">
        <v>109</v>
      </c>
      <c r="C223" s="184" t="s">
        <v>375</v>
      </c>
      <c r="D223" s="184">
        <v>271.4</v>
      </c>
      <c r="E223" s="184" t="s">
        <v>522</v>
      </c>
      <c r="F223" s="184" t="s">
        <v>186</v>
      </c>
      <c r="G223" s="184" t="s">
        <v>203</v>
      </c>
      <c r="H223" s="184" t="s">
        <v>152</v>
      </c>
      <c r="I223" s="184">
        <v>170.0</v>
      </c>
      <c r="J223" s="184" t="s">
        <v>193</v>
      </c>
      <c r="K223" s="184" t="s">
        <v>243</v>
      </c>
      <c r="L223" s="184" t="s">
        <v>243</v>
      </c>
      <c r="M223" s="184">
        <v>115.0</v>
      </c>
      <c r="N223" s="184" t="s">
        <v>158</v>
      </c>
      <c r="O223" s="184" t="s">
        <v>449</v>
      </c>
      <c r="P223" s="184" t="s">
        <v>449</v>
      </c>
      <c r="Q223" s="184">
        <v>240.0</v>
      </c>
      <c r="R223" s="184">
        <v>525.0</v>
      </c>
      <c r="S223" s="186">
        <v>1.9344141488577746</v>
      </c>
      <c r="T223" s="184">
        <v>4.0</v>
      </c>
    </row>
    <row r="224">
      <c r="A224" s="184" t="s">
        <v>99</v>
      </c>
      <c r="B224" s="184" t="s">
        <v>109</v>
      </c>
      <c r="C224" s="184" t="s">
        <v>287</v>
      </c>
      <c r="D224" s="184">
        <v>313.2</v>
      </c>
      <c r="E224" s="184" t="s">
        <v>519</v>
      </c>
      <c r="F224" s="184" t="s">
        <v>235</v>
      </c>
      <c r="G224" s="184" t="s">
        <v>182</v>
      </c>
      <c r="H224" s="184" t="s">
        <v>301</v>
      </c>
      <c r="I224" s="184">
        <v>200.0</v>
      </c>
      <c r="J224" s="184" t="s">
        <v>164</v>
      </c>
      <c r="K224" s="184" t="s">
        <v>165</v>
      </c>
      <c r="L224" s="184" t="s">
        <v>154</v>
      </c>
      <c r="M224" s="184">
        <v>110.0</v>
      </c>
      <c r="N224" s="184" t="s">
        <v>254</v>
      </c>
      <c r="O224" s="184" t="s">
        <v>271</v>
      </c>
      <c r="P224" s="184" t="s">
        <v>389</v>
      </c>
      <c r="Q224" s="184">
        <v>205.0</v>
      </c>
      <c r="R224" s="184">
        <v>515.0</v>
      </c>
      <c r="S224" s="186">
        <v>1.644316730523627</v>
      </c>
      <c r="T224" s="184">
        <v>5.0</v>
      </c>
    </row>
    <row r="225">
      <c r="A225" s="184" t="s">
        <v>99</v>
      </c>
      <c r="B225" s="184" t="s">
        <v>109</v>
      </c>
      <c r="C225" s="184" t="s">
        <v>260</v>
      </c>
      <c r="D225" s="184">
        <v>250.2</v>
      </c>
      <c r="E225" s="184" t="s">
        <v>518</v>
      </c>
      <c r="F225" s="184" t="s">
        <v>186</v>
      </c>
      <c r="G225" s="184" t="s">
        <v>316</v>
      </c>
      <c r="H225" s="184" t="s">
        <v>316</v>
      </c>
      <c r="I225" s="184">
        <v>135.0</v>
      </c>
      <c r="J225" s="184" t="s">
        <v>216</v>
      </c>
      <c r="K225" s="184" t="s">
        <v>193</v>
      </c>
      <c r="L225" s="184" t="s">
        <v>155</v>
      </c>
      <c r="M225" s="184">
        <v>115.0</v>
      </c>
      <c r="N225" s="184" t="s">
        <v>254</v>
      </c>
      <c r="O225" s="184" t="s">
        <v>190</v>
      </c>
      <c r="P225" s="184" t="s">
        <v>156</v>
      </c>
      <c r="Q225" s="184">
        <v>225.0</v>
      </c>
      <c r="R225" s="184">
        <v>475.0</v>
      </c>
      <c r="S225" s="186">
        <v>1.8984812150279777</v>
      </c>
      <c r="T225" s="184">
        <v>6.0</v>
      </c>
    </row>
    <row r="226">
      <c r="A226" s="184"/>
      <c r="B226" s="184"/>
      <c r="C226" s="184"/>
      <c r="D226" s="184"/>
      <c r="E226" s="184"/>
      <c r="F226" s="184"/>
      <c r="G226" s="184"/>
      <c r="H226" s="184"/>
      <c r="I226" s="184"/>
      <c r="J226" s="184"/>
      <c r="K226" s="184"/>
      <c r="L226" s="184"/>
      <c r="M226" s="184"/>
      <c r="N226" s="184"/>
      <c r="O226" s="184"/>
      <c r="P226" s="184"/>
      <c r="Q226" s="184"/>
      <c r="R226" s="184"/>
      <c r="S226" s="186"/>
      <c r="T226" s="184">
        <v>0.0</v>
      </c>
    </row>
    <row r="227">
      <c r="A227" s="184"/>
      <c r="B227" s="184"/>
      <c r="C227" s="184"/>
      <c r="D227" s="184"/>
      <c r="E227" s="184"/>
      <c r="F227" s="184"/>
      <c r="G227" s="184"/>
      <c r="H227" s="184"/>
      <c r="I227" s="184"/>
      <c r="J227" s="184"/>
      <c r="K227" s="184"/>
      <c r="L227" s="184"/>
      <c r="M227" s="184"/>
      <c r="N227" s="184"/>
      <c r="O227" s="184"/>
      <c r="P227" s="184"/>
      <c r="Q227" s="184"/>
      <c r="R227" s="184"/>
      <c r="S227" s="186"/>
      <c r="T227" s="184">
        <v>0.0</v>
      </c>
    </row>
    <row r="228">
      <c r="A228" s="184"/>
      <c r="B228" s="184"/>
      <c r="C228" s="184"/>
      <c r="D228" s="184"/>
      <c r="E228" s="184"/>
      <c r="F228" s="184"/>
      <c r="G228" s="184"/>
      <c r="H228" s="184"/>
      <c r="I228" s="184"/>
      <c r="J228" s="184"/>
      <c r="K228" s="184"/>
      <c r="L228" s="184"/>
      <c r="M228" s="184"/>
      <c r="N228" s="184"/>
      <c r="O228" s="184"/>
      <c r="P228" s="184"/>
      <c r="Q228" s="184"/>
      <c r="R228" s="184"/>
      <c r="S228" s="186"/>
      <c r="T228" s="184">
        <v>0.0</v>
      </c>
    </row>
    <row r="229">
      <c r="A229" s="184"/>
      <c r="B229" s="184"/>
      <c r="C229" s="184"/>
      <c r="D229" s="184"/>
      <c r="E229" s="184"/>
      <c r="F229" s="184"/>
      <c r="G229" s="184"/>
      <c r="H229" s="184"/>
      <c r="I229" s="184"/>
      <c r="J229" s="184"/>
      <c r="K229" s="184"/>
      <c r="L229" s="184"/>
      <c r="M229" s="184"/>
      <c r="N229" s="184"/>
      <c r="O229" s="184"/>
      <c r="P229" s="184"/>
      <c r="Q229" s="184"/>
      <c r="R229" s="184"/>
      <c r="S229" s="186"/>
      <c r="T229" s="184">
        <v>0.0</v>
      </c>
    </row>
    <row r="230">
      <c r="A230" s="184"/>
      <c r="B230" s="184"/>
      <c r="C230" s="184"/>
      <c r="D230" s="184"/>
      <c r="E230" s="184"/>
      <c r="F230" s="184"/>
      <c r="G230" s="184"/>
      <c r="H230" s="184"/>
      <c r="I230" s="184"/>
      <c r="J230" s="184"/>
      <c r="K230" s="184"/>
      <c r="L230" s="184"/>
      <c r="M230" s="184"/>
      <c r="N230" s="184"/>
      <c r="O230" s="184"/>
      <c r="P230" s="184"/>
      <c r="Q230" s="184"/>
      <c r="R230" s="184"/>
      <c r="S230" s="186"/>
      <c r="T230" s="184">
        <v>0.0</v>
      </c>
    </row>
    <row r="231">
      <c r="A231" s="184"/>
      <c r="B231" s="184"/>
      <c r="C231" s="184"/>
      <c r="D231" s="184"/>
      <c r="E231" s="184"/>
      <c r="F231" s="184"/>
      <c r="G231" s="184"/>
      <c r="H231" s="184"/>
      <c r="I231" s="184"/>
      <c r="J231" s="184"/>
      <c r="K231" s="184"/>
      <c r="L231" s="184"/>
      <c r="M231" s="184"/>
      <c r="N231" s="184"/>
      <c r="O231" s="184"/>
      <c r="P231" s="184"/>
      <c r="Q231" s="184"/>
      <c r="R231" s="184"/>
      <c r="S231" s="186"/>
      <c r="T231" s="184">
        <v>0.0</v>
      </c>
    </row>
    <row r="232">
      <c r="A232" s="184"/>
      <c r="B232" s="184"/>
      <c r="C232" s="184"/>
      <c r="D232" s="184"/>
      <c r="E232" s="184"/>
      <c r="F232" s="184"/>
      <c r="G232" s="184"/>
      <c r="H232" s="184"/>
      <c r="I232" s="184"/>
      <c r="J232" s="184"/>
      <c r="K232" s="184"/>
      <c r="L232" s="184"/>
      <c r="M232" s="184"/>
      <c r="N232" s="184"/>
      <c r="O232" s="184"/>
      <c r="P232" s="184"/>
      <c r="Q232" s="184"/>
      <c r="R232" s="184"/>
      <c r="S232" s="186"/>
      <c r="T232" s="184">
        <v>0.0</v>
      </c>
    </row>
    <row r="233">
      <c r="A233" s="184"/>
      <c r="B233" s="184"/>
      <c r="C233" s="184"/>
      <c r="D233" s="184"/>
      <c r="E233" s="184"/>
      <c r="F233" s="184"/>
      <c r="G233" s="184"/>
      <c r="H233" s="184"/>
      <c r="I233" s="184"/>
      <c r="J233" s="184"/>
      <c r="K233" s="184"/>
      <c r="L233" s="184"/>
      <c r="M233" s="184"/>
      <c r="N233" s="184"/>
      <c r="O233" s="184"/>
      <c r="P233" s="184"/>
      <c r="Q233" s="184"/>
      <c r="R233" s="184"/>
      <c r="S233" s="186"/>
      <c r="T233" s="184">
        <v>0.0</v>
      </c>
    </row>
    <row r="234">
      <c r="A234" s="184"/>
      <c r="B234" s="184"/>
      <c r="C234" s="184"/>
      <c r="D234" s="184"/>
      <c r="E234" s="184"/>
      <c r="F234" s="184"/>
      <c r="G234" s="184"/>
      <c r="H234" s="184"/>
      <c r="I234" s="184"/>
      <c r="J234" s="184"/>
      <c r="K234" s="184"/>
      <c r="L234" s="184"/>
      <c r="M234" s="184"/>
      <c r="N234" s="184"/>
      <c r="O234" s="184"/>
      <c r="P234" s="184"/>
      <c r="Q234" s="184"/>
      <c r="R234" s="184"/>
      <c r="S234" s="186"/>
      <c r="T234" s="184">
        <v>0.0</v>
      </c>
    </row>
    <row r="235">
      <c r="A235" s="184"/>
      <c r="B235" s="184"/>
      <c r="C235" s="184"/>
      <c r="D235" s="184"/>
      <c r="E235" s="184"/>
      <c r="F235" s="184"/>
      <c r="G235" s="184"/>
      <c r="H235" s="184"/>
      <c r="I235" s="184"/>
      <c r="J235" s="184"/>
      <c r="K235" s="184"/>
      <c r="L235" s="184"/>
      <c r="M235" s="184"/>
      <c r="N235" s="184"/>
      <c r="O235" s="184"/>
      <c r="P235" s="184"/>
      <c r="Q235" s="184"/>
      <c r="R235" s="184"/>
      <c r="S235" s="186"/>
      <c r="T235" s="184">
        <v>0.0</v>
      </c>
    </row>
    <row r="236">
      <c r="A236" s="184"/>
      <c r="B236" s="184"/>
      <c r="C236" s="184"/>
      <c r="D236" s="184"/>
      <c r="E236" s="184"/>
      <c r="F236" s="184"/>
      <c r="G236" s="184"/>
      <c r="H236" s="184"/>
      <c r="I236" s="184"/>
      <c r="J236" s="184"/>
      <c r="K236" s="184"/>
      <c r="L236" s="184"/>
      <c r="M236" s="184"/>
      <c r="N236" s="184"/>
      <c r="O236" s="184"/>
      <c r="P236" s="184"/>
      <c r="Q236" s="184"/>
      <c r="R236" s="184"/>
      <c r="S236" s="186"/>
      <c r="T236" s="184">
        <v>0.0</v>
      </c>
    </row>
    <row r="237">
      <c r="A237" s="184"/>
      <c r="B237" s="184"/>
      <c r="C237" s="184"/>
      <c r="D237" s="184"/>
      <c r="E237" s="184"/>
      <c r="F237" s="184"/>
      <c r="G237" s="184"/>
      <c r="H237" s="184"/>
      <c r="I237" s="184"/>
      <c r="J237" s="184"/>
      <c r="K237" s="184"/>
      <c r="L237" s="184"/>
      <c r="M237" s="184"/>
      <c r="N237" s="184"/>
      <c r="O237" s="184"/>
      <c r="P237" s="184"/>
      <c r="Q237" s="184"/>
      <c r="R237" s="184"/>
      <c r="S237" s="186"/>
      <c r="T237" s="184">
        <v>0.0</v>
      </c>
    </row>
    <row r="238">
      <c r="A238" s="184"/>
      <c r="B238" s="184"/>
      <c r="C238" s="184"/>
      <c r="D238" s="184"/>
      <c r="E238" s="184"/>
      <c r="F238" s="184"/>
      <c r="G238" s="184"/>
      <c r="H238" s="184"/>
      <c r="I238" s="184"/>
      <c r="J238" s="184"/>
      <c r="K238" s="184"/>
      <c r="L238" s="184"/>
      <c r="M238" s="184"/>
      <c r="N238" s="184"/>
      <c r="O238" s="184"/>
      <c r="P238" s="184"/>
      <c r="Q238" s="184"/>
      <c r="R238" s="184"/>
      <c r="S238" s="186"/>
      <c r="T238" s="184">
        <v>0.0</v>
      </c>
    </row>
    <row r="239">
      <c r="A239" s="184"/>
      <c r="B239" s="184"/>
      <c r="C239" s="184"/>
      <c r="D239" s="184"/>
      <c r="E239" s="184"/>
      <c r="F239" s="184"/>
      <c r="G239" s="184"/>
      <c r="H239" s="184"/>
      <c r="I239" s="184"/>
      <c r="J239" s="184"/>
      <c r="K239" s="184"/>
      <c r="L239" s="184"/>
      <c r="M239" s="184"/>
      <c r="N239" s="184"/>
      <c r="O239" s="184"/>
      <c r="P239" s="184"/>
      <c r="Q239" s="184"/>
      <c r="R239" s="184"/>
      <c r="S239" s="186"/>
      <c r="T239" s="184">
        <v>0.0</v>
      </c>
    </row>
    <row r="240">
      <c r="A240" s="184"/>
      <c r="B240" s="184"/>
      <c r="C240" s="184"/>
      <c r="D240" s="184"/>
      <c r="E240" s="184"/>
      <c r="F240" s="184"/>
      <c r="G240" s="184"/>
      <c r="H240" s="184"/>
      <c r="I240" s="184"/>
      <c r="J240" s="184"/>
      <c r="K240" s="184"/>
      <c r="L240" s="184"/>
      <c r="M240" s="184"/>
      <c r="N240" s="184"/>
      <c r="O240" s="184"/>
      <c r="P240" s="184"/>
      <c r="Q240" s="184"/>
      <c r="R240" s="184"/>
      <c r="S240" s="186"/>
      <c r="T240" s="184">
        <v>0.0</v>
      </c>
    </row>
    <row r="241">
      <c r="A241" s="184"/>
      <c r="B241" s="184"/>
      <c r="C241" s="184"/>
      <c r="D241" s="184"/>
      <c r="E241" s="184"/>
      <c r="F241" s="184"/>
      <c r="G241" s="184"/>
      <c r="H241" s="184"/>
      <c r="I241" s="184"/>
      <c r="J241" s="184"/>
      <c r="K241" s="184"/>
      <c r="L241" s="184"/>
      <c r="M241" s="184"/>
      <c r="N241" s="184"/>
      <c r="O241" s="184"/>
      <c r="P241" s="184"/>
      <c r="Q241" s="184"/>
      <c r="R241" s="184"/>
      <c r="S241" s="186"/>
      <c r="T241" s="184">
        <v>0.0</v>
      </c>
    </row>
    <row r="242">
      <c r="A242" s="184"/>
      <c r="B242" s="184"/>
      <c r="C242" s="184"/>
      <c r="D242" s="184"/>
      <c r="E242" s="184"/>
      <c r="F242" s="184"/>
      <c r="G242" s="184"/>
      <c r="H242" s="184"/>
      <c r="I242" s="184"/>
      <c r="J242" s="184"/>
      <c r="K242" s="184"/>
      <c r="L242" s="184"/>
      <c r="M242" s="184"/>
      <c r="N242" s="184"/>
      <c r="O242" s="184"/>
      <c r="P242" s="184"/>
      <c r="Q242" s="184"/>
      <c r="R242" s="184"/>
      <c r="S242" s="186"/>
      <c r="T242" s="184">
        <v>0.0</v>
      </c>
    </row>
    <row r="243">
      <c r="A243" s="184"/>
      <c r="B243" s="184"/>
      <c r="C243" s="184"/>
      <c r="D243" s="184"/>
      <c r="E243" s="184"/>
      <c r="F243" s="184"/>
      <c r="G243" s="184"/>
      <c r="H243" s="184"/>
      <c r="I243" s="184"/>
      <c r="J243" s="184"/>
      <c r="K243" s="184"/>
      <c r="L243" s="184"/>
      <c r="M243" s="184"/>
      <c r="N243" s="184"/>
      <c r="O243" s="184"/>
      <c r="P243" s="184"/>
      <c r="Q243" s="184"/>
      <c r="R243" s="184"/>
      <c r="S243" s="186"/>
      <c r="T243" s="184">
        <v>0.0</v>
      </c>
    </row>
    <row r="244">
      <c r="A244" s="184"/>
      <c r="B244" s="184"/>
      <c r="C244" s="184"/>
      <c r="D244" s="184"/>
      <c r="E244" s="184"/>
      <c r="F244" s="184"/>
      <c r="G244" s="184"/>
      <c r="H244" s="184"/>
      <c r="I244" s="184"/>
      <c r="J244" s="184"/>
      <c r="K244" s="184"/>
      <c r="L244" s="184"/>
      <c r="M244" s="184"/>
      <c r="N244" s="184"/>
      <c r="O244" s="184"/>
      <c r="P244" s="184"/>
      <c r="Q244" s="184"/>
      <c r="R244" s="184"/>
      <c r="S244" s="186"/>
      <c r="T244" s="184">
        <v>0.0</v>
      </c>
    </row>
    <row r="245">
      <c r="A245" s="184"/>
      <c r="B245" s="184"/>
      <c r="C245" s="184"/>
      <c r="D245" s="184"/>
      <c r="E245" s="184"/>
      <c r="F245" s="184"/>
      <c r="G245" s="184"/>
      <c r="H245" s="184"/>
      <c r="I245" s="184"/>
      <c r="J245" s="184"/>
      <c r="K245" s="184"/>
      <c r="L245" s="184"/>
      <c r="M245" s="184"/>
      <c r="N245" s="184"/>
      <c r="O245" s="184"/>
      <c r="P245" s="184"/>
      <c r="Q245" s="184"/>
      <c r="R245" s="184"/>
      <c r="S245" s="186"/>
      <c r="T245" s="184">
        <v>0.0</v>
      </c>
    </row>
    <row r="246">
      <c r="A246" s="184"/>
      <c r="B246" s="184"/>
      <c r="C246" s="184"/>
      <c r="D246" s="184"/>
      <c r="E246" s="184"/>
      <c r="F246" s="184"/>
      <c r="G246" s="184"/>
      <c r="H246" s="184"/>
      <c r="I246" s="184"/>
      <c r="J246" s="184"/>
      <c r="K246" s="184"/>
      <c r="L246" s="184"/>
      <c r="M246" s="184"/>
      <c r="N246" s="184"/>
      <c r="O246" s="184"/>
      <c r="P246" s="184"/>
      <c r="Q246" s="184"/>
      <c r="R246" s="184"/>
      <c r="S246" s="186"/>
      <c r="T246" s="184">
        <v>0.0</v>
      </c>
    </row>
    <row r="247">
      <c r="A247" s="184"/>
      <c r="B247" s="184"/>
      <c r="C247" s="184"/>
      <c r="D247" s="184"/>
      <c r="E247" s="184"/>
      <c r="F247" s="184"/>
      <c r="G247" s="184"/>
      <c r="H247" s="184"/>
      <c r="I247" s="184"/>
      <c r="J247" s="184"/>
      <c r="K247" s="184"/>
      <c r="L247" s="184"/>
      <c r="M247" s="184"/>
      <c r="N247" s="184"/>
      <c r="O247" s="184"/>
      <c r="P247" s="184"/>
      <c r="Q247" s="184"/>
      <c r="R247" s="184"/>
      <c r="S247" s="186"/>
      <c r="T247" s="184">
        <v>0.0</v>
      </c>
    </row>
    <row r="248">
      <c r="A248" s="184"/>
      <c r="B248" s="184"/>
      <c r="C248" s="184"/>
      <c r="D248" s="184"/>
      <c r="E248" s="184"/>
      <c r="F248" s="184"/>
      <c r="G248" s="184"/>
      <c r="H248" s="184"/>
      <c r="I248" s="184"/>
      <c r="J248" s="184"/>
      <c r="K248" s="184"/>
      <c r="L248" s="184"/>
      <c r="M248" s="184"/>
      <c r="N248" s="184"/>
      <c r="O248" s="184"/>
      <c r="P248" s="184"/>
      <c r="Q248" s="184"/>
      <c r="R248" s="184"/>
      <c r="S248" s="186"/>
      <c r="T248" s="184">
        <v>0.0</v>
      </c>
    </row>
    <row r="249">
      <c r="A249" s="184"/>
      <c r="B249" s="184"/>
      <c r="C249" s="184"/>
      <c r="D249" s="184"/>
      <c r="E249" s="184"/>
      <c r="F249" s="184"/>
      <c r="G249" s="184"/>
      <c r="H249" s="184"/>
      <c r="I249" s="184"/>
      <c r="J249" s="184"/>
      <c r="K249" s="184"/>
      <c r="L249" s="184"/>
      <c r="M249" s="184"/>
      <c r="N249" s="184"/>
      <c r="O249" s="184"/>
      <c r="P249" s="184"/>
      <c r="Q249" s="184"/>
      <c r="R249" s="184"/>
      <c r="S249" s="186"/>
      <c r="T249" s="184">
        <v>0.0</v>
      </c>
    </row>
    <row r="250">
      <c r="A250" s="184"/>
      <c r="B250" s="184"/>
      <c r="C250" s="184"/>
      <c r="D250" s="184"/>
      <c r="E250" s="184"/>
      <c r="F250" s="184"/>
      <c r="G250" s="184"/>
      <c r="H250" s="184"/>
      <c r="I250" s="184"/>
      <c r="J250" s="184"/>
      <c r="K250" s="184"/>
      <c r="L250" s="184"/>
      <c r="M250" s="184"/>
      <c r="N250" s="184"/>
      <c r="O250" s="184"/>
      <c r="P250" s="184"/>
      <c r="Q250" s="184"/>
      <c r="R250" s="184"/>
      <c r="S250" s="186"/>
      <c r="T250" s="184">
        <v>0.0</v>
      </c>
    </row>
    <row r="251">
      <c r="A251" s="184"/>
      <c r="B251" s="184"/>
      <c r="C251" s="184"/>
      <c r="D251" s="184"/>
      <c r="E251" s="184"/>
      <c r="F251" s="184"/>
      <c r="G251" s="184"/>
      <c r="H251" s="184"/>
      <c r="I251" s="184"/>
      <c r="J251" s="184"/>
      <c r="K251" s="184"/>
      <c r="L251" s="184"/>
      <c r="M251" s="184"/>
      <c r="N251" s="184"/>
      <c r="O251" s="184"/>
      <c r="P251" s="184"/>
      <c r="Q251" s="184"/>
      <c r="R251" s="184"/>
      <c r="S251" s="186"/>
      <c r="T251" s="184">
        <v>0.0</v>
      </c>
    </row>
    <row r="252">
      <c r="A252" s="184"/>
      <c r="B252" s="184"/>
      <c r="C252" s="184"/>
      <c r="D252" s="184"/>
      <c r="E252" s="184"/>
      <c r="F252" s="184"/>
      <c r="G252" s="184"/>
      <c r="H252" s="184"/>
      <c r="I252" s="184"/>
      <c r="J252" s="184"/>
      <c r="K252" s="184"/>
      <c r="L252" s="184"/>
      <c r="M252" s="184"/>
      <c r="N252" s="184"/>
      <c r="O252" s="184"/>
      <c r="P252" s="184"/>
      <c r="Q252" s="184"/>
      <c r="R252" s="184"/>
      <c r="S252" s="186"/>
      <c r="T252" s="184">
        <v>0.0</v>
      </c>
    </row>
    <row r="253">
      <c r="A253" s="184"/>
      <c r="B253" s="184"/>
      <c r="C253" s="184"/>
      <c r="D253" s="184"/>
      <c r="E253" s="184"/>
      <c r="F253" s="184"/>
      <c r="G253" s="184"/>
      <c r="H253" s="184"/>
      <c r="I253" s="184"/>
      <c r="J253" s="184"/>
      <c r="K253" s="184"/>
      <c r="L253" s="184"/>
      <c r="M253" s="184"/>
      <c r="N253" s="184"/>
      <c r="O253" s="184"/>
      <c r="P253" s="184"/>
      <c r="Q253" s="184"/>
      <c r="R253" s="184"/>
      <c r="S253" s="186"/>
      <c r="T253" s="184">
        <v>0.0</v>
      </c>
    </row>
    <row r="254">
      <c r="A254" s="184"/>
      <c r="B254" s="184"/>
      <c r="C254" s="184"/>
      <c r="D254" s="184"/>
      <c r="E254" s="184"/>
      <c r="F254" s="184"/>
      <c r="G254" s="184"/>
      <c r="H254" s="184"/>
      <c r="I254" s="184"/>
      <c r="J254" s="184"/>
      <c r="K254" s="184"/>
      <c r="L254" s="184"/>
      <c r="M254" s="184"/>
      <c r="N254" s="184"/>
      <c r="O254" s="184"/>
      <c r="P254" s="184"/>
      <c r="Q254" s="184"/>
      <c r="R254" s="184"/>
      <c r="S254" s="186"/>
      <c r="T254" s="184">
        <v>0.0</v>
      </c>
    </row>
    <row r="255">
      <c r="A255" s="184"/>
      <c r="B255" s="184"/>
      <c r="C255" s="184"/>
      <c r="D255" s="184"/>
      <c r="E255" s="184"/>
      <c r="F255" s="184"/>
      <c r="G255" s="184"/>
      <c r="H255" s="184"/>
      <c r="I255" s="184"/>
      <c r="J255" s="184"/>
      <c r="K255" s="184"/>
      <c r="L255" s="184"/>
      <c r="M255" s="184"/>
      <c r="N255" s="184"/>
      <c r="O255" s="184"/>
      <c r="P255" s="184"/>
      <c r="Q255" s="184"/>
      <c r="R255" s="184"/>
      <c r="S255" s="186"/>
      <c r="T255" s="184">
        <v>0.0</v>
      </c>
    </row>
    <row r="256">
      <c r="A256" s="184"/>
      <c r="B256" s="184"/>
      <c r="C256" s="184"/>
      <c r="D256" s="184"/>
      <c r="E256" s="184"/>
      <c r="F256" s="184"/>
      <c r="G256" s="184"/>
      <c r="H256" s="184"/>
      <c r="I256" s="184"/>
      <c r="J256" s="184"/>
      <c r="K256" s="184"/>
      <c r="L256" s="184"/>
      <c r="M256" s="184"/>
      <c r="N256" s="184"/>
      <c r="O256" s="184"/>
      <c r="P256" s="184"/>
      <c r="Q256" s="184"/>
      <c r="R256" s="184"/>
      <c r="S256" s="186"/>
      <c r="T256" s="184">
        <v>0.0</v>
      </c>
    </row>
    <row r="257">
      <c r="A257" s="184"/>
      <c r="B257" s="184"/>
      <c r="C257" s="184"/>
      <c r="D257" s="184"/>
      <c r="E257" s="184"/>
      <c r="F257" s="184"/>
      <c r="G257" s="184"/>
      <c r="H257" s="184"/>
      <c r="I257" s="184"/>
      <c r="J257" s="184"/>
      <c r="K257" s="184"/>
      <c r="L257" s="184"/>
      <c r="M257" s="184"/>
      <c r="N257" s="184"/>
      <c r="O257" s="184"/>
      <c r="P257" s="184"/>
      <c r="Q257" s="184"/>
      <c r="R257" s="184"/>
      <c r="S257" s="186"/>
      <c r="T257" s="184">
        <v>0.0</v>
      </c>
    </row>
    <row r="258">
      <c r="A258" s="184"/>
      <c r="B258" s="184"/>
      <c r="C258" s="184"/>
      <c r="D258" s="184"/>
      <c r="E258" s="184"/>
      <c r="F258" s="184"/>
      <c r="G258" s="184"/>
      <c r="H258" s="184"/>
      <c r="I258" s="184"/>
      <c r="J258" s="184"/>
      <c r="K258" s="184"/>
      <c r="L258" s="184"/>
      <c r="M258" s="184"/>
      <c r="N258" s="184"/>
      <c r="O258" s="184"/>
      <c r="P258" s="184"/>
      <c r="Q258" s="184"/>
      <c r="R258" s="184"/>
      <c r="S258" s="186"/>
      <c r="T258" s="184">
        <v>0.0</v>
      </c>
    </row>
    <row r="259">
      <c r="A259" s="184"/>
      <c r="B259" s="184"/>
      <c r="C259" s="184"/>
      <c r="D259" s="184"/>
      <c r="E259" s="184"/>
      <c r="F259" s="184"/>
      <c r="G259" s="184"/>
      <c r="H259" s="184"/>
      <c r="I259" s="184"/>
      <c r="J259" s="184"/>
      <c r="K259" s="184"/>
      <c r="L259" s="184"/>
      <c r="M259" s="184"/>
      <c r="N259" s="184"/>
      <c r="O259" s="184"/>
      <c r="P259" s="184"/>
      <c r="Q259" s="184"/>
      <c r="R259" s="184"/>
      <c r="S259" s="186"/>
      <c r="T259" s="184">
        <v>0.0</v>
      </c>
    </row>
    <row r="260">
      <c r="A260" s="184"/>
      <c r="B260" s="184"/>
      <c r="C260" s="184"/>
      <c r="D260" s="184"/>
      <c r="E260" s="184"/>
      <c r="F260" s="184"/>
      <c r="G260" s="184"/>
      <c r="H260" s="184"/>
      <c r="I260" s="184"/>
      <c r="J260" s="184"/>
      <c r="K260" s="184"/>
      <c r="L260" s="184"/>
      <c r="M260" s="184"/>
      <c r="N260" s="184"/>
      <c r="O260" s="184"/>
      <c r="P260" s="184"/>
      <c r="Q260" s="184"/>
      <c r="R260" s="184"/>
      <c r="S260" s="186"/>
      <c r="T260" s="184">
        <v>0.0</v>
      </c>
    </row>
    <row r="261">
      <c r="A261" s="184"/>
      <c r="B261" s="184"/>
      <c r="C261" s="184"/>
      <c r="D261" s="184"/>
      <c r="E261" s="184"/>
      <c r="F261" s="184"/>
      <c r="G261" s="184"/>
      <c r="H261" s="184"/>
      <c r="I261" s="184"/>
      <c r="J261" s="184"/>
      <c r="K261" s="184"/>
      <c r="L261" s="184"/>
      <c r="M261" s="184"/>
      <c r="N261" s="184"/>
      <c r="O261" s="184"/>
      <c r="P261" s="184"/>
      <c r="Q261" s="184"/>
      <c r="R261" s="184"/>
      <c r="S261" s="186"/>
      <c r="T261" s="184">
        <v>0.0</v>
      </c>
    </row>
    <row r="262">
      <c r="A262" s="184"/>
      <c r="B262" s="184"/>
      <c r="C262" s="184"/>
      <c r="D262" s="184"/>
      <c r="E262" s="184"/>
      <c r="F262" s="184"/>
      <c r="G262" s="184"/>
      <c r="H262" s="184"/>
      <c r="I262" s="184"/>
      <c r="J262" s="184"/>
      <c r="K262" s="184"/>
      <c r="L262" s="184"/>
      <c r="M262" s="184"/>
      <c r="N262" s="184"/>
      <c r="O262" s="184"/>
      <c r="P262" s="184"/>
      <c r="Q262" s="184"/>
      <c r="R262" s="184"/>
      <c r="S262" s="186"/>
      <c r="T262" s="184">
        <v>0.0</v>
      </c>
    </row>
    <row r="263">
      <c r="A263" s="184"/>
      <c r="B263" s="184"/>
      <c r="C263" s="184"/>
      <c r="D263" s="184"/>
      <c r="E263" s="184"/>
      <c r="F263" s="184"/>
      <c r="G263" s="184"/>
      <c r="H263" s="184"/>
      <c r="I263" s="184"/>
      <c r="J263" s="184"/>
      <c r="K263" s="184"/>
      <c r="L263" s="184"/>
      <c r="M263" s="184"/>
      <c r="N263" s="184"/>
      <c r="O263" s="184"/>
      <c r="P263" s="184"/>
      <c r="Q263" s="184"/>
      <c r="R263" s="184"/>
      <c r="S263" s="186"/>
      <c r="T263" s="184">
        <v>0.0</v>
      </c>
    </row>
    <row r="264">
      <c r="A264" s="184"/>
      <c r="B264" s="184"/>
      <c r="C264" s="184"/>
      <c r="D264" s="184"/>
      <c r="E264" s="184"/>
      <c r="F264" s="184"/>
      <c r="G264" s="184"/>
      <c r="H264" s="184"/>
      <c r="I264" s="184"/>
      <c r="J264" s="184"/>
      <c r="K264" s="184"/>
      <c r="L264" s="184"/>
      <c r="M264" s="184"/>
      <c r="N264" s="184"/>
      <c r="O264" s="184"/>
      <c r="P264" s="184"/>
      <c r="Q264" s="184"/>
      <c r="R264" s="184"/>
      <c r="S264" s="186"/>
      <c r="T264" s="184">
        <v>0.0</v>
      </c>
    </row>
    <row r="265">
      <c r="A265" s="184"/>
      <c r="B265" s="184"/>
      <c r="C265" s="184"/>
      <c r="D265" s="184"/>
      <c r="E265" s="184"/>
      <c r="F265" s="184"/>
      <c r="G265" s="184"/>
      <c r="H265" s="184"/>
      <c r="I265" s="184"/>
      <c r="J265" s="184"/>
      <c r="K265" s="184"/>
      <c r="L265" s="184"/>
      <c r="M265" s="184"/>
      <c r="N265" s="184"/>
      <c r="O265" s="184"/>
      <c r="P265" s="184"/>
      <c r="Q265" s="184"/>
      <c r="R265" s="184"/>
      <c r="S265" s="186"/>
      <c r="T265" s="184">
        <v>0.0</v>
      </c>
    </row>
    <row r="266">
      <c r="A266" s="184"/>
      <c r="B266" s="184"/>
      <c r="C266" s="184"/>
      <c r="D266" s="184"/>
      <c r="E266" s="184"/>
      <c r="F266" s="184"/>
      <c r="G266" s="184"/>
      <c r="H266" s="184"/>
      <c r="I266" s="184"/>
      <c r="J266" s="184"/>
      <c r="K266" s="184"/>
      <c r="L266" s="184"/>
      <c r="M266" s="184"/>
      <c r="N266" s="184"/>
      <c r="O266" s="184"/>
      <c r="P266" s="184"/>
      <c r="Q266" s="184"/>
      <c r="R266" s="184"/>
      <c r="S266" s="186"/>
      <c r="T266" s="184">
        <v>0.0</v>
      </c>
    </row>
    <row r="267">
      <c r="A267" s="184"/>
      <c r="B267" s="184"/>
      <c r="C267" s="184"/>
      <c r="D267" s="184"/>
      <c r="E267" s="184"/>
      <c r="F267" s="184"/>
      <c r="G267" s="184"/>
      <c r="H267" s="184"/>
      <c r="I267" s="184"/>
      <c r="J267" s="184"/>
      <c r="K267" s="184"/>
      <c r="L267" s="184"/>
      <c r="M267" s="184"/>
      <c r="N267" s="184"/>
      <c r="O267" s="184"/>
      <c r="P267" s="184"/>
      <c r="Q267" s="184"/>
      <c r="R267" s="184"/>
      <c r="S267" s="186"/>
      <c r="T267" s="184">
        <v>0.0</v>
      </c>
    </row>
    <row r="268">
      <c r="A268" s="184"/>
      <c r="B268" s="184"/>
      <c r="C268" s="184"/>
      <c r="D268" s="184"/>
      <c r="E268" s="184"/>
      <c r="F268" s="184"/>
      <c r="G268" s="184"/>
      <c r="H268" s="184"/>
      <c r="I268" s="184"/>
      <c r="J268" s="184"/>
      <c r="K268" s="184"/>
      <c r="L268" s="184"/>
      <c r="M268" s="184"/>
      <c r="N268" s="184"/>
      <c r="O268" s="184"/>
      <c r="P268" s="184"/>
      <c r="Q268" s="184"/>
      <c r="R268" s="184"/>
      <c r="S268" s="186"/>
      <c r="T268" s="184">
        <v>0.0</v>
      </c>
    </row>
    <row r="269">
      <c r="A269" s="184"/>
      <c r="B269" s="184"/>
      <c r="C269" s="184"/>
      <c r="D269" s="184"/>
      <c r="E269" s="184"/>
      <c r="F269" s="184"/>
      <c r="G269" s="184"/>
      <c r="H269" s="184"/>
      <c r="I269" s="184"/>
      <c r="J269" s="184"/>
      <c r="K269" s="184"/>
      <c r="L269" s="184"/>
      <c r="M269" s="184"/>
      <c r="N269" s="184"/>
      <c r="O269" s="184"/>
      <c r="P269" s="184"/>
      <c r="Q269" s="184"/>
      <c r="R269" s="184"/>
      <c r="S269" s="186"/>
      <c r="T269" s="184">
        <v>0.0</v>
      </c>
    </row>
    <row r="270">
      <c r="A270" s="184"/>
      <c r="B270" s="184"/>
      <c r="C270" s="184"/>
      <c r="D270" s="184"/>
      <c r="E270" s="184"/>
      <c r="F270" s="184"/>
      <c r="G270" s="184"/>
      <c r="H270" s="184"/>
      <c r="I270" s="184"/>
      <c r="J270" s="184"/>
      <c r="K270" s="184"/>
      <c r="L270" s="184"/>
      <c r="M270" s="184"/>
      <c r="N270" s="184"/>
      <c r="O270" s="184"/>
      <c r="P270" s="184"/>
      <c r="Q270" s="184"/>
      <c r="R270" s="184"/>
      <c r="S270" s="186"/>
      <c r="T270" s="184">
        <v>0.0</v>
      </c>
    </row>
    <row r="271">
      <c r="A271" s="184"/>
      <c r="B271" s="184"/>
      <c r="C271" s="184"/>
      <c r="D271" s="184"/>
      <c r="E271" s="184"/>
      <c r="F271" s="184"/>
      <c r="G271" s="184"/>
      <c r="H271" s="184"/>
      <c r="I271" s="184"/>
      <c r="J271" s="184"/>
      <c r="K271" s="184"/>
      <c r="L271" s="184"/>
      <c r="M271" s="184"/>
      <c r="N271" s="184"/>
      <c r="O271" s="184"/>
      <c r="P271" s="184"/>
      <c r="Q271" s="184"/>
      <c r="R271" s="184"/>
      <c r="S271" s="186"/>
      <c r="T271" s="184">
        <v>0.0</v>
      </c>
    </row>
    <row r="272">
      <c r="A272" s="184"/>
      <c r="B272" s="184"/>
      <c r="C272" s="184"/>
      <c r="D272" s="184"/>
      <c r="E272" s="184"/>
      <c r="F272" s="184"/>
      <c r="G272" s="184"/>
      <c r="H272" s="184"/>
      <c r="I272" s="184"/>
      <c r="J272" s="184"/>
      <c r="K272" s="184"/>
      <c r="L272" s="184"/>
      <c r="M272" s="184"/>
      <c r="N272" s="184"/>
      <c r="O272" s="184"/>
      <c r="P272" s="184"/>
      <c r="Q272" s="184"/>
      <c r="R272" s="184"/>
      <c r="S272" s="186"/>
      <c r="T272" s="184">
        <v>0.0</v>
      </c>
    </row>
    <row r="273">
      <c r="A273" s="184"/>
      <c r="B273" s="184"/>
      <c r="C273" s="184"/>
      <c r="D273" s="184"/>
      <c r="E273" s="184"/>
      <c r="F273" s="184"/>
      <c r="G273" s="184"/>
      <c r="H273" s="184"/>
      <c r="I273" s="184"/>
      <c r="J273" s="184"/>
      <c r="K273" s="184"/>
      <c r="L273" s="184"/>
      <c r="M273" s="184"/>
      <c r="N273" s="184"/>
      <c r="O273" s="184"/>
      <c r="P273" s="184"/>
      <c r="Q273" s="184"/>
      <c r="R273" s="184"/>
      <c r="S273" s="186"/>
      <c r="T273" s="184">
        <v>0.0</v>
      </c>
    </row>
    <row r="274">
      <c r="A274" s="184"/>
      <c r="B274" s="184"/>
      <c r="C274" s="184"/>
      <c r="D274" s="184"/>
      <c r="E274" s="184"/>
      <c r="F274" s="184"/>
      <c r="G274" s="184"/>
      <c r="H274" s="184"/>
      <c r="I274" s="184"/>
      <c r="J274" s="184"/>
      <c r="K274" s="184"/>
      <c r="L274" s="184"/>
      <c r="M274" s="184"/>
      <c r="N274" s="184"/>
      <c r="O274" s="184"/>
      <c r="P274" s="184"/>
      <c r="Q274" s="184"/>
      <c r="R274" s="184"/>
      <c r="S274" s="186"/>
      <c r="T274" s="184">
        <v>0.0</v>
      </c>
    </row>
    <row r="275">
      <c r="A275" s="184"/>
      <c r="B275" s="184"/>
      <c r="C275" s="184"/>
      <c r="D275" s="184"/>
      <c r="E275" s="184"/>
      <c r="F275" s="184"/>
      <c r="G275" s="184"/>
      <c r="H275" s="184"/>
      <c r="I275" s="184"/>
      <c r="J275" s="184"/>
      <c r="K275" s="184"/>
      <c r="L275" s="184"/>
      <c r="M275" s="184"/>
      <c r="N275" s="184"/>
      <c r="O275" s="184"/>
      <c r="P275" s="184"/>
      <c r="Q275" s="184"/>
      <c r="R275" s="184"/>
      <c r="S275" s="186"/>
      <c r="T275" s="184">
        <v>0.0</v>
      </c>
    </row>
    <row r="276">
      <c r="A276" s="184"/>
      <c r="B276" s="184"/>
      <c r="C276" s="184"/>
      <c r="D276" s="184"/>
      <c r="E276" s="184"/>
      <c r="F276" s="184"/>
      <c r="G276" s="184"/>
      <c r="H276" s="184"/>
      <c r="I276" s="184"/>
      <c r="J276" s="184"/>
      <c r="K276" s="184"/>
      <c r="L276" s="184"/>
      <c r="M276" s="184"/>
      <c r="N276" s="184"/>
      <c r="O276" s="184"/>
      <c r="P276" s="184"/>
      <c r="Q276" s="184"/>
      <c r="R276" s="184"/>
      <c r="S276" s="186"/>
      <c r="T276" s="184">
        <v>0.0</v>
      </c>
    </row>
    <row r="277">
      <c r="A277" s="184"/>
      <c r="B277" s="184"/>
      <c r="C277" s="184"/>
      <c r="D277" s="184"/>
      <c r="E277" s="184"/>
      <c r="F277" s="184"/>
      <c r="G277" s="184"/>
      <c r="H277" s="184"/>
      <c r="I277" s="184"/>
      <c r="J277" s="184"/>
      <c r="K277" s="184"/>
      <c r="L277" s="184"/>
      <c r="M277" s="184"/>
      <c r="N277" s="184"/>
      <c r="O277" s="184"/>
      <c r="P277" s="184"/>
      <c r="Q277" s="184"/>
      <c r="R277" s="184"/>
      <c r="S277" s="186"/>
      <c r="T277" s="184">
        <v>0.0</v>
      </c>
    </row>
    <row r="278">
      <c r="A278" s="184"/>
      <c r="B278" s="184"/>
      <c r="C278" s="184"/>
      <c r="D278" s="184"/>
      <c r="E278" s="184"/>
      <c r="F278" s="184"/>
      <c r="G278" s="184"/>
      <c r="H278" s="184"/>
      <c r="I278" s="184"/>
      <c r="J278" s="184"/>
      <c r="K278" s="184"/>
      <c r="L278" s="184"/>
      <c r="M278" s="184"/>
      <c r="N278" s="184"/>
      <c r="O278" s="184"/>
      <c r="P278" s="184"/>
      <c r="Q278" s="184"/>
      <c r="R278" s="184"/>
      <c r="S278" s="186"/>
      <c r="T278" s="184">
        <v>0.0</v>
      </c>
    </row>
    <row r="279">
      <c r="A279" s="184"/>
      <c r="B279" s="184"/>
      <c r="C279" s="184"/>
      <c r="D279" s="184"/>
      <c r="E279" s="184"/>
      <c r="F279" s="184"/>
      <c r="G279" s="184"/>
      <c r="H279" s="184"/>
      <c r="I279" s="184"/>
      <c r="J279" s="184"/>
      <c r="K279" s="184"/>
      <c r="L279" s="184"/>
      <c r="M279" s="184"/>
      <c r="N279" s="184"/>
      <c r="O279" s="184"/>
      <c r="P279" s="184"/>
      <c r="Q279" s="184"/>
      <c r="R279" s="184"/>
      <c r="S279" s="186"/>
      <c r="T279" s="184">
        <v>0.0</v>
      </c>
    </row>
    <row r="280">
      <c r="A280" s="184"/>
      <c r="B280" s="184"/>
      <c r="C280" s="184"/>
      <c r="D280" s="184"/>
      <c r="E280" s="184"/>
      <c r="F280" s="184"/>
      <c r="G280" s="184"/>
      <c r="H280" s="184"/>
      <c r="I280" s="184"/>
      <c r="J280" s="184"/>
      <c r="K280" s="184"/>
      <c r="L280" s="184"/>
      <c r="M280" s="184"/>
      <c r="N280" s="184"/>
      <c r="O280" s="184"/>
      <c r="P280" s="184"/>
      <c r="Q280" s="184"/>
      <c r="R280" s="184"/>
      <c r="S280" s="186"/>
      <c r="T280" s="184">
        <v>0.0</v>
      </c>
    </row>
    <row r="281">
      <c r="A281" s="184"/>
      <c r="B281" s="184"/>
      <c r="C281" s="184"/>
      <c r="D281" s="184"/>
      <c r="E281" s="184"/>
      <c r="F281" s="184"/>
      <c r="G281" s="184"/>
      <c r="H281" s="184"/>
      <c r="I281" s="184"/>
      <c r="J281" s="184"/>
      <c r="K281" s="184"/>
      <c r="L281" s="184"/>
      <c r="M281" s="184"/>
      <c r="N281" s="184"/>
      <c r="O281" s="184"/>
      <c r="P281" s="184"/>
      <c r="Q281" s="184"/>
      <c r="R281" s="184"/>
      <c r="S281" s="186"/>
      <c r="T281" s="184">
        <v>0.0</v>
      </c>
    </row>
    <row r="282">
      <c r="A282" s="184"/>
      <c r="B282" s="184"/>
      <c r="C282" s="184"/>
      <c r="D282" s="184"/>
      <c r="E282" s="184"/>
      <c r="F282" s="184"/>
      <c r="G282" s="184"/>
      <c r="H282" s="184"/>
      <c r="I282" s="184"/>
      <c r="J282" s="184"/>
      <c r="K282" s="184"/>
      <c r="L282" s="184"/>
      <c r="M282" s="184"/>
      <c r="N282" s="184"/>
      <c r="O282" s="184"/>
      <c r="P282" s="184"/>
      <c r="Q282" s="184"/>
      <c r="R282" s="184"/>
      <c r="S282" s="186"/>
      <c r="T282" s="184">
        <v>0.0</v>
      </c>
    </row>
    <row r="283">
      <c r="A283" s="184"/>
      <c r="B283" s="184"/>
      <c r="C283" s="184"/>
      <c r="D283" s="184"/>
      <c r="E283" s="184"/>
      <c r="F283" s="184"/>
      <c r="G283" s="184"/>
      <c r="H283" s="184"/>
      <c r="I283" s="184"/>
      <c r="J283" s="184"/>
      <c r="K283" s="184"/>
      <c r="L283" s="184"/>
      <c r="M283" s="184"/>
      <c r="N283" s="184"/>
      <c r="O283" s="184"/>
      <c r="P283" s="184"/>
      <c r="Q283" s="184"/>
      <c r="R283" s="184"/>
      <c r="S283" s="186"/>
      <c r="T283" s="184">
        <v>0.0</v>
      </c>
    </row>
    <row r="284">
      <c r="A284" s="184"/>
      <c r="B284" s="184"/>
      <c r="C284" s="184"/>
      <c r="D284" s="184"/>
      <c r="E284" s="184"/>
      <c r="F284" s="184"/>
      <c r="G284" s="184"/>
      <c r="H284" s="184"/>
      <c r="I284" s="184"/>
      <c r="J284" s="184"/>
      <c r="K284" s="184"/>
      <c r="L284" s="184"/>
      <c r="M284" s="184"/>
      <c r="N284" s="184"/>
      <c r="O284" s="184"/>
      <c r="P284" s="184"/>
      <c r="Q284" s="184"/>
      <c r="R284" s="184"/>
      <c r="S284" s="186"/>
      <c r="T284" s="184">
        <v>0.0</v>
      </c>
    </row>
    <row r="285">
      <c r="A285" s="184"/>
      <c r="B285" s="184"/>
      <c r="C285" s="184"/>
      <c r="D285" s="184"/>
      <c r="E285" s="184"/>
      <c r="F285" s="184"/>
      <c r="G285" s="184"/>
      <c r="H285" s="184"/>
      <c r="I285" s="184"/>
      <c r="J285" s="184"/>
      <c r="K285" s="184"/>
      <c r="L285" s="184"/>
      <c r="M285" s="184"/>
      <c r="N285" s="184"/>
      <c r="O285" s="184"/>
      <c r="P285" s="184"/>
      <c r="Q285" s="184"/>
      <c r="R285" s="184"/>
      <c r="S285" s="186"/>
      <c r="T285" s="184">
        <v>0.0</v>
      </c>
    </row>
    <row r="286">
      <c r="A286" s="184"/>
      <c r="B286" s="184"/>
      <c r="C286" s="184"/>
      <c r="D286" s="184"/>
      <c r="E286" s="184"/>
      <c r="F286" s="184"/>
      <c r="G286" s="184"/>
      <c r="H286" s="184"/>
      <c r="I286" s="184"/>
      <c r="J286" s="184"/>
      <c r="K286" s="184"/>
      <c r="L286" s="184"/>
      <c r="M286" s="184"/>
      <c r="N286" s="184"/>
      <c r="O286" s="184"/>
      <c r="P286" s="184"/>
      <c r="Q286" s="184"/>
      <c r="R286" s="184"/>
      <c r="S286" s="186"/>
      <c r="T286" s="184">
        <v>0.0</v>
      </c>
    </row>
    <row r="287">
      <c r="A287" s="184"/>
      <c r="B287" s="184"/>
      <c r="C287" s="184"/>
      <c r="D287" s="184"/>
      <c r="E287" s="184"/>
      <c r="F287" s="184"/>
      <c r="G287" s="184"/>
      <c r="H287" s="184"/>
      <c r="I287" s="184"/>
      <c r="J287" s="184"/>
      <c r="K287" s="184"/>
      <c r="L287" s="184"/>
      <c r="M287" s="184"/>
      <c r="N287" s="184"/>
      <c r="O287" s="184"/>
      <c r="P287" s="184"/>
      <c r="Q287" s="184"/>
      <c r="R287" s="184"/>
      <c r="S287" s="186"/>
      <c r="T287" s="184">
        <v>0.0</v>
      </c>
    </row>
    <row r="288">
      <c r="A288" s="184"/>
      <c r="B288" s="184"/>
      <c r="C288" s="184"/>
      <c r="D288" s="184"/>
      <c r="E288" s="184"/>
      <c r="F288" s="184"/>
      <c r="G288" s="184"/>
      <c r="H288" s="184"/>
      <c r="I288" s="184"/>
      <c r="J288" s="184"/>
      <c r="K288" s="184"/>
      <c r="L288" s="184"/>
      <c r="M288" s="184"/>
      <c r="N288" s="184"/>
      <c r="O288" s="184"/>
      <c r="P288" s="184"/>
      <c r="Q288" s="184"/>
      <c r="R288" s="184"/>
      <c r="S288" s="186"/>
      <c r="T288" s="184">
        <v>0.0</v>
      </c>
    </row>
    <row r="289">
      <c r="A289" s="184"/>
      <c r="B289" s="184"/>
      <c r="C289" s="184"/>
      <c r="D289" s="184"/>
      <c r="E289" s="184"/>
      <c r="F289" s="184"/>
      <c r="G289" s="184"/>
      <c r="H289" s="184"/>
      <c r="I289" s="184"/>
      <c r="J289" s="184"/>
      <c r="K289" s="184"/>
      <c r="L289" s="184"/>
      <c r="M289" s="184"/>
      <c r="N289" s="184"/>
      <c r="O289" s="184"/>
      <c r="P289" s="184"/>
      <c r="Q289" s="184"/>
      <c r="R289" s="184"/>
      <c r="S289" s="186"/>
      <c r="T289" s="184">
        <v>0.0</v>
      </c>
    </row>
    <row r="290">
      <c r="A290" s="184"/>
      <c r="B290" s="184"/>
      <c r="C290" s="184"/>
      <c r="D290" s="184"/>
      <c r="E290" s="184"/>
      <c r="F290" s="184"/>
      <c r="G290" s="184"/>
      <c r="H290" s="184"/>
      <c r="I290" s="184"/>
      <c r="J290" s="184"/>
      <c r="K290" s="184"/>
      <c r="L290" s="184"/>
      <c r="M290" s="184"/>
      <c r="N290" s="184"/>
      <c r="O290" s="184"/>
      <c r="P290" s="184"/>
      <c r="Q290" s="184"/>
      <c r="R290" s="184"/>
      <c r="S290" s="186"/>
      <c r="T290" s="184">
        <v>0.0</v>
      </c>
    </row>
    <row r="291">
      <c r="A291" s="184"/>
      <c r="B291" s="184"/>
      <c r="C291" s="184"/>
      <c r="D291" s="184"/>
      <c r="E291" s="184"/>
      <c r="F291" s="184"/>
      <c r="G291" s="184"/>
      <c r="H291" s="184"/>
      <c r="I291" s="184"/>
      <c r="J291" s="184"/>
      <c r="K291" s="184"/>
      <c r="L291" s="184"/>
      <c r="M291" s="184"/>
      <c r="N291" s="184"/>
      <c r="O291" s="184"/>
      <c r="P291" s="184"/>
      <c r="Q291" s="184"/>
      <c r="R291" s="184"/>
      <c r="S291" s="186"/>
      <c r="T291" s="184">
        <v>0.0</v>
      </c>
    </row>
    <row r="292">
      <c r="A292" s="184"/>
      <c r="B292" s="184"/>
      <c r="C292" s="184"/>
      <c r="D292" s="184"/>
      <c r="E292" s="184"/>
      <c r="F292" s="184"/>
      <c r="G292" s="184"/>
      <c r="H292" s="184"/>
      <c r="I292" s="184"/>
      <c r="J292" s="184"/>
      <c r="K292" s="184"/>
      <c r="L292" s="184"/>
      <c r="M292" s="184"/>
      <c r="N292" s="184"/>
      <c r="O292" s="184"/>
      <c r="P292" s="184"/>
      <c r="Q292" s="184"/>
      <c r="R292" s="184"/>
      <c r="S292" s="186"/>
      <c r="T292" s="184">
        <v>0.0</v>
      </c>
    </row>
    <row r="293">
      <c r="A293" s="184"/>
      <c r="B293" s="184"/>
      <c r="C293" s="184"/>
      <c r="D293" s="184"/>
      <c r="E293" s="184"/>
      <c r="F293" s="184"/>
      <c r="G293" s="184"/>
      <c r="H293" s="184"/>
      <c r="I293" s="184"/>
      <c r="J293" s="184"/>
      <c r="K293" s="184"/>
      <c r="L293" s="184"/>
      <c r="M293" s="184"/>
      <c r="N293" s="184"/>
      <c r="O293" s="184"/>
      <c r="P293" s="184"/>
      <c r="Q293" s="184"/>
      <c r="R293" s="184"/>
      <c r="S293" s="186"/>
      <c r="T293" s="184">
        <v>0.0</v>
      </c>
    </row>
    <row r="294">
      <c r="A294" s="184"/>
      <c r="B294" s="184"/>
      <c r="C294" s="184"/>
      <c r="D294" s="184"/>
      <c r="E294" s="184"/>
      <c r="F294" s="184"/>
      <c r="G294" s="184"/>
      <c r="H294" s="184"/>
      <c r="I294" s="184"/>
      <c r="J294" s="184"/>
      <c r="K294" s="184"/>
      <c r="L294" s="184"/>
      <c r="M294" s="184"/>
      <c r="N294" s="184"/>
      <c r="O294" s="184"/>
      <c r="P294" s="184"/>
      <c r="Q294" s="184"/>
      <c r="R294" s="184"/>
      <c r="S294" s="186"/>
      <c r="T294" s="184">
        <v>0.0</v>
      </c>
    </row>
    <row r="295">
      <c r="A295" s="184"/>
      <c r="B295" s="184"/>
      <c r="C295" s="184"/>
      <c r="D295" s="184"/>
      <c r="E295" s="184"/>
      <c r="F295" s="184"/>
      <c r="G295" s="184"/>
      <c r="H295" s="184"/>
      <c r="I295" s="184"/>
      <c r="J295" s="184"/>
      <c r="K295" s="184"/>
      <c r="L295" s="184"/>
      <c r="M295" s="184"/>
      <c r="N295" s="184"/>
      <c r="O295" s="184"/>
      <c r="P295" s="184"/>
      <c r="Q295" s="184"/>
      <c r="R295" s="184"/>
      <c r="S295" s="186"/>
      <c r="T295" s="184">
        <v>0.0</v>
      </c>
    </row>
    <row r="296">
      <c r="A296" s="184"/>
      <c r="B296" s="184"/>
      <c r="C296" s="184"/>
      <c r="D296" s="184"/>
      <c r="E296" s="184"/>
      <c r="F296" s="184"/>
      <c r="G296" s="184"/>
      <c r="H296" s="184"/>
      <c r="I296" s="184"/>
      <c r="J296" s="184"/>
      <c r="K296" s="184"/>
      <c r="L296" s="184"/>
      <c r="M296" s="184"/>
      <c r="N296" s="184"/>
      <c r="O296" s="184"/>
      <c r="P296" s="184"/>
      <c r="Q296" s="184"/>
      <c r="R296" s="184"/>
      <c r="S296" s="186"/>
      <c r="T296" s="184">
        <v>0.0</v>
      </c>
    </row>
    <row r="297">
      <c r="A297" s="184"/>
      <c r="B297" s="184"/>
      <c r="C297" s="184"/>
      <c r="D297" s="184"/>
      <c r="E297" s="184"/>
      <c r="F297" s="184"/>
      <c r="G297" s="184"/>
      <c r="H297" s="184"/>
      <c r="I297" s="184"/>
      <c r="J297" s="184"/>
      <c r="K297" s="184"/>
      <c r="L297" s="184"/>
      <c r="M297" s="184"/>
      <c r="N297" s="184"/>
      <c r="O297" s="184"/>
      <c r="P297" s="184"/>
      <c r="Q297" s="184"/>
      <c r="R297" s="184"/>
      <c r="S297" s="186"/>
      <c r="T297" s="184">
        <v>0.0</v>
      </c>
    </row>
    <row r="298">
      <c r="A298" s="184"/>
      <c r="B298" s="184"/>
      <c r="C298" s="184"/>
      <c r="D298" s="184"/>
      <c r="E298" s="184"/>
      <c r="F298" s="184"/>
      <c r="G298" s="184"/>
      <c r="H298" s="184"/>
      <c r="I298" s="184"/>
      <c r="J298" s="184"/>
      <c r="K298" s="184"/>
      <c r="L298" s="184"/>
      <c r="M298" s="184"/>
      <c r="N298" s="184"/>
      <c r="O298" s="184"/>
      <c r="P298" s="184"/>
      <c r="Q298" s="184"/>
      <c r="R298" s="184"/>
      <c r="S298" s="186"/>
      <c r="T298" s="184">
        <v>0.0</v>
      </c>
    </row>
    <row r="299">
      <c r="A299" s="184"/>
      <c r="B299" s="184"/>
      <c r="C299" s="184"/>
      <c r="D299" s="184"/>
      <c r="E299" s="184"/>
      <c r="F299" s="184"/>
      <c r="G299" s="184"/>
      <c r="H299" s="184"/>
      <c r="I299" s="184"/>
      <c r="J299" s="184"/>
      <c r="K299" s="184"/>
      <c r="L299" s="184"/>
      <c r="M299" s="184"/>
      <c r="N299" s="184"/>
      <c r="O299" s="184"/>
      <c r="P299" s="184"/>
      <c r="Q299" s="184"/>
      <c r="R299" s="184"/>
      <c r="S299" s="186"/>
      <c r="T299" s="184">
        <v>0.0</v>
      </c>
    </row>
    <row r="300">
      <c r="A300" s="184"/>
      <c r="B300" s="184"/>
      <c r="C300" s="184"/>
      <c r="D300" s="184"/>
      <c r="E300" s="184"/>
      <c r="F300" s="184"/>
      <c r="G300" s="184"/>
      <c r="H300" s="184"/>
      <c r="I300" s="184"/>
      <c r="J300" s="184"/>
      <c r="K300" s="184"/>
      <c r="L300" s="184"/>
      <c r="M300" s="184"/>
      <c r="N300" s="184"/>
      <c r="O300" s="184"/>
      <c r="P300" s="184"/>
      <c r="Q300" s="184"/>
      <c r="R300" s="184"/>
      <c r="S300" s="186"/>
      <c r="T300" s="184">
        <v>0.0</v>
      </c>
    </row>
    <row r="301">
      <c r="A301" s="184"/>
      <c r="B301" s="184"/>
      <c r="C301" s="184"/>
      <c r="D301" s="184"/>
      <c r="E301" s="184"/>
      <c r="F301" s="184"/>
      <c r="G301" s="184"/>
      <c r="H301" s="184"/>
      <c r="I301" s="184"/>
      <c r="J301" s="184"/>
      <c r="K301" s="184"/>
      <c r="L301" s="184"/>
      <c r="M301" s="184"/>
      <c r="N301" s="184"/>
      <c r="O301" s="184"/>
      <c r="P301" s="184"/>
      <c r="Q301" s="184"/>
      <c r="R301" s="184"/>
      <c r="S301" s="186"/>
      <c r="T301" s="184">
        <v>0.0</v>
      </c>
    </row>
    <row r="302">
      <c r="A302" s="184"/>
      <c r="B302" s="184"/>
      <c r="C302" s="184"/>
      <c r="D302" s="184"/>
      <c r="E302" s="184"/>
      <c r="F302" s="184"/>
      <c r="G302" s="184"/>
      <c r="H302" s="184"/>
      <c r="I302" s="184"/>
      <c r="J302" s="184"/>
      <c r="K302" s="184"/>
      <c r="L302" s="184"/>
      <c r="M302" s="184"/>
      <c r="N302" s="184"/>
      <c r="O302" s="184"/>
      <c r="P302" s="184"/>
      <c r="Q302" s="184"/>
      <c r="R302" s="184"/>
      <c r="S302" s="186"/>
      <c r="T302" s="184">
        <v>0.0</v>
      </c>
    </row>
    <row r="303">
      <c r="A303" s="184"/>
      <c r="B303" s="184"/>
      <c r="C303" s="184"/>
      <c r="D303" s="184"/>
      <c r="E303" s="184"/>
      <c r="F303" s="184"/>
      <c r="G303" s="184"/>
      <c r="H303" s="184"/>
      <c r="I303" s="184"/>
      <c r="J303" s="184"/>
      <c r="K303" s="184"/>
      <c r="L303" s="184"/>
      <c r="M303" s="184"/>
      <c r="N303" s="184"/>
      <c r="O303" s="184"/>
      <c r="P303" s="184"/>
      <c r="Q303" s="184"/>
      <c r="R303" s="184"/>
      <c r="S303" s="186"/>
      <c r="T303" s="184">
        <v>0.0</v>
      </c>
    </row>
    <row r="304">
      <c r="A304" s="184"/>
      <c r="B304" s="184"/>
      <c r="C304" s="184"/>
      <c r="D304" s="184"/>
      <c r="E304" s="184"/>
      <c r="F304" s="184"/>
      <c r="G304" s="184"/>
      <c r="H304" s="184"/>
      <c r="I304" s="184"/>
      <c r="J304" s="184"/>
      <c r="K304" s="184"/>
      <c r="L304" s="184"/>
      <c r="M304" s="184"/>
      <c r="N304" s="184"/>
      <c r="O304" s="184"/>
      <c r="P304" s="184"/>
      <c r="Q304" s="184"/>
      <c r="R304" s="184"/>
      <c r="S304" s="186"/>
      <c r="T304" s="184">
        <v>0.0</v>
      </c>
    </row>
    <row r="305">
      <c r="A305" s="184"/>
      <c r="B305" s="184"/>
      <c r="C305" s="184"/>
      <c r="D305" s="184"/>
      <c r="E305" s="184"/>
      <c r="F305" s="184"/>
      <c r="G305" s="184"/>
      <c r="H305" s="184"/>
      <c r="I305" s="184"/>
      <c r="J305" s="184"/>
      <c r="K305" s="184"/>
      <c r="L305" s="184"/>
      <c r="M305" s="184"/>
      <c r="N305" s="184"/>
      <c r="O305" s="184"/>
      <c r="P305" s="184"/>
      <c r="Q305" s="184"/>
      <c r="R305" s="184"/>
      <c r="S305" s="186"/>
      <c r="T305" s="184">
        <v>0.0</v>
      </c>
    </row>
    <row r="306">
      <c r="A306" s="184"/>
      <c r="B306" s="184"/>
      <c r="C306" s="184"/>
      <c r="D306" s="184"/>
      <c r="E306" s="184"/>
      <c r="F306" s="184"/>
      <c r="G306" s="184"/>
      <c r="H306" s="184"/>
      <c r="I306" s="184"/>
      <c r="J306" s="184"/>
      <c r="K306" s="184"/>
      <c r="L306" s="184"/>
      <c r="M306" s="184"/>
      <c r="N306" s="184"/>
      <c r="O306" s="184"/>
      <c r="P306" s="184"/>
      <c r="Q306" s="184"/>
      <c r="R306" s="184"/>
      <c r="S306" s="186"/>
      <c r="T306" s="184">
        <v>0.0</v>
      </c>
    </row>
    <row r="307">
      <c r="A307" s="184"/>
      <c r="B307" s="184"/>
      <c r="C307" s="184"/>
      <c r="D307" s="184"/>
      <c r="E307" s="184"/>
      <c r="F307" s="184"/>
      <c r="G307" s="184"/>
      <c r="H307" s="184"/>
      <c r="I307" s="184"/>
      <c r="J307" s="184"/>
      <c r="K307" s="184"/>
      <c r="L307" s="184"/>
      <c r="M307" s="184"/>
      <c r="N307" s="184"/>
      <c r="O307" s="184"/>
      <c r="P307" s="184"/>
      <c r="Q307" s="184"/>
      <c r="R307" s="184"/>
      <c r="S307" s="186"/>
      <c r="T307" s="184">
        <v>0.0</v>
      </c>
    </row>
    <row r="308">
      <c r="A308" s="184"/>
      <c r="B308" s="184"/>
      <c r="C308" s="184"/>
      <c r="D308" s="184"/>
      <c r="E308" s="184"/>
      <c r="F308" s="184"/>
      <c r="G308" s="184"/>
      <c r="H308" s="184"/>
      <c r="I308" s="184"/>
      <c r="J308" s="184"/>
      <c r="K308" s="184"/>
      <c r="L308" s="184"/>
      <c r="M308" s="184"/>
      <c r="N308" s="184"/>
      <c r="O308" s="184"/>
      <c r="P308" s="184"/>
      <c r="Q308" s="184"/>
      <c r="R308" s="184"/>
      <c r="S308" s="186"/>
      <c r="T308" s="184">
        <v>0.0</v>
      </c>
    </row>
    <row r="309">
      <c r="A309" s="184"/>
      <c r="B309" s="184"/>
      <c r="C309" s="184"/>
      <c r="D309" s="184"/>
      <c r="E309" s="184"/>
      <c r="F309" s="184"/>
      <c r="G309" s="184"/>
      <c r="H309" s="184"/>
      <c r="I309" s="184"/>
      <c r="J309" s="184"/>
      <c r="K309" s="184"/>
      <c r="L309" s="184"/>
      <c r="M309" s="184"/>
      <c r="N309" s="184"/>
      <c r="O309" s="184"/>
      <c r="P309" s="184"/>
      <c r="Q309" s="184"/>
      <c r="R309" s="184"/>
      <c r="S309" s="186"/>
      <c r="T309" s="184">
        <v>0.0</v>
      </c>
    </row>
    <row r="310">
      <c r="A310" s="184"/>
      <c r="B310" s="184"/>
      <c r="C310" s="184"/>
      <c r="D310" s="184"/>
      <c r="E310" s="184"/>
      <c r="F310" s="184"/>
      <c r="G310" s="184"/>
      <c r="H310" s="184"/>
      <c r="I310" s="184"/>
      <c r="J310" s="184"/>
      <c r="K310" s="184"/>
      <c r="L310" s="184"/>
      <c r="M310" s="184"/>
      <c r="N310" s="184"/>
      <c r="O310" s="184"/>
      <c r="P310" s="184"/>
      <c r="Q310" s="184"/>
      <c r="R310" s="184"/>
      <c r="S310" s="186"/>
      <c r="T310" s="184">
        <v>0.0</v>
      </c>
    </row>
    <row r="311">
      <c r="A311" s="184"/>
      <c r="B311" s="184"/>
      <c r="C311" s="184"/>
      <c r="D311" s="184"/>
      <c r="E311" s="184"/>
      <c r="F311" s="184"/>
      <c r="G311" s="184"/>
      <c r="H311" s="184"/>
      <c r="I311" s="184"/>
      <c r="J311" s="184"/>
      <c r="K311" s="184"/>
      <c r="L311" s="184"/>
      <c r="M311" s="184"/>
      <c r="N311" s="184"/>
      <c r="O311" s="184"/>
      <c r="P311" s="184"/>
      <c r="Q311" s="184"/>
      <c r="R311" s="184"/>
      <c r="S311" s="186"/>
      <c r="T311" s="184">
        <v>0.0</v>
      </c>
    </row>
    <row r="312">
      <c r="A312" s="184"/>
      <c r="B312" s="184"/>
      <c r="C312" s="184"/>
      <c r="D312" s="184"/>
      <c r="E312" s="184"/>
      <c r="F312" s="184"/>
      <c r="G312" s="184"/>
      <c r="H312" s="184"/>
      <c r="I312" s="184"/>
      <c r="J312" s="184"/>
      <c r="K312" s="184"/>
      <c r="L312" s="184"/>
      <c r="M312" s="184"/>
      <c r="N312" s="184"/>
      <c r="O312" s="184"/>
      <c r="P312" s="184"/>
      <c r="Q312" s="184"/>
      <c r="R312" s="184"/>
      <c r="S312" s="186"/>
      <c r="T312" s="184">
        <v>0.0</v>
      </c>
    </row>
    <row r="313">
      <c r="A313" s="184"/>
      <c r="B313" s="184"/>
      <c r="C313" s="184"/>
      <c r="D313" s="184"/>
      <c r="E313" s="184"/>
      <c r="F313" s="184"/>
      <c r="G313" s="184"/>
      <c r="H313" s="184"/>
      <c r="I313" s="184"/>
      <c r="J313" s="184"/>
      <c r="K313" s="184"/>
      <c r="L313" s="184"/>
      <c r="M313" s="184"/>
      <c r="N313" s="184"/>
      <c r="O313" s="184"/>
      <c r="P313" s="184"/>
      <c r="Q313" s="184"/>
      <c r="R313" s="184"/>
      <c r="S313" s="186"/>
      <c r="T313" s="184">
        <v>0.0</v>
      </c>
    </row>
    <row r="314">
      <c r="A314" s="184"/>
      <c r="B314" s="184"/>
      <c r="C314" s="184"/>
      <c r="D314" s="184"/>
      <c r="E314" s="184"/>
      <c r="F314" s="184"/>
      <c r="G314" s="184"/>
      <c r="H314" s="184"/>
      <c r="I314" s="184"/>
      <c r="J314" s="184"/>
      <c r="K314" s="184"/>
      <c r="L314" s="184"/>
      <c r="M314" s="184"/>
      <c r="N314" s="184"/>
      <c r="O314" s="184"/>
      <c r="P314" s="184"/>
      <c r="Q314" s="184"/>
      <c r="R314" s="184"/>
      <c r="S314" s="186"/>
      <c r="T314" s="184">
        <v>0.0</v>
      </c>
    </row>
    <row r="315">
      <c r="A315" s="184"/>
      <c r="B315" s="184"/>
      <c r="C315" s="184"/>
      <c r="D315" s="184"/>
      <c r="E315" s="184"/>
      <c r="F315" s="184"/>
      <c r="G315" s="184"/>
      <c r="H315" s="184"/>
      <c r="I315" s="184"/>
      <c r="J315" s="184"/>
      <c r="K315" s="184"/>
      <c r="L315" s="184"/>
      <c r="M315" s="184"/>
      <c r="N315" s="184"/>
      <c r="O315" s="184"/>
      <c r="P315" s="184"/>
      <c r="Q315" s="184"/>
      <c r="R315" s="184"/>
      <c r="S315" s="186"/>
      <c r="T315" s="184">
        <v>0.0</v>
      </c>
    </row>
    <row r="316">
      <c r="A316" s="184"/>
      <c r="B316" s="184"/>
      <c r="C316" s="184"/>
      <c r="D316" s="184"/>
      <c r="E316" s="184"/>
      <c r="F316" s="184"/>
      <c r="G316" s="184"/>
      <c r="H316" s="184"/>
      <c r="I316" s="184"/>
      <c r="J316" s="184"/>
      <c r="K316" s="184"/>
      <c r="L316" s="184"/>
      <c r="M316" s="184"/>
      <c r="N316" s="184"/>
      <c r="O316" s="184"/>
      <c r="P316" s="184"/>
      <c r="Q316" s="184"/>
      <c r="R316" s="184"/>
      <c r="S316" s="186"/>
      <c r="T316" s="184">
        <v>0.0</v>
      </c>
    </row>
    <row r="317">
      <c r="A317" s="184"/>
      <c r="B317" s="184"/>
      <c r="C317" s="184"/>
      <c r="D317" s="184"/>
      <c r="E317" s="184"/>
      <c r="F317" s="184"/>
      <c r="G317" s="184"/>
      <c r="H317" s="184"/>
      <c r="I317" s="184"/>
      <c r="J317" s="184"/>
      <c r="K317" s="184"/>
      <c r="L317" s="184"/>
      <c r="M317" s="184"/>
      <c r="N317" s="184"/>
      <c r="O317" s="184"/>
      <c r="P317" s="184"/>
      <c r="Q317" s="184"/>
      <c r="R317" s="184"/>
      <c r="S317" s="186"/>
      <c r="T317" s="184">
        <v>0.0</v>
      </c>
    </row>
    <row r="318">
      <c r="A318" s="184"/>
      <c r="B318" s="184"/>
      <c r="C318" s="184"/>
      <c r="D318" s="184"/>
      <c r="E318" s="184"/>
      <c r="F318" s="184"/>
      <c r="G318" s="184"/>
      <c r="H318" s="184"/>
      <c r="I318" s="184"/>
      <c r="J318" s="184"/>
      <c r="K318" s="184"/>
      <c r="L318" s="184"/>
      <c r="M318" s="184"/>
      <c r="N318" s="184"/>
      <c r="O318" s="184"/>
      <c r="P318" s="184"/>
      <c r="Q318" s="184"/>
      <c r="R318" s="184"/>
      <c r="S318" s="186"/>
      <c r="T318" s="184">
        <v>0.0</v>
      </c>
    </row>
    <row r="319">
      <c r="A319" s="184"/>
      <c r="B319" s="184"/>
      <c r="C319" s="184"/>
      <c r="D319" s="184"/>
      <c r="E319" s="184"/>
      <c r="F319" s="184"/>
      <c r="G319" s="184"/>
      <c r="H319" s="184"/>
      <c r="I319" s="184"/>
      <c r="J319" s="184"/>
      <c r="K319" s="184"/>
      <c r="L319" s="184"/>
      <c r="M319" s="184"/>
      <c r="N319" s="184"/>
      <c r="O319" s="184"/>
      <c r="P319" s="184"/>
      <c r="Q319" s="184"/>
      <c r="R319" s="184"/>
      <c r="S319" s="186"/>
      <c r="T319" s="184">
        <v>0.0</v>
      </c>
    </row>
    <row r="320">
      <c r="A320" s="184"/>
      <c r="B320" s="184"/>
      <c r="C320" s="184"/>
      <c r="D320" s="184"/>
      <c r="E320" s="184"/>
      <c r="F320" s="184"/>
      <c r="G320" s="184"/>
      <c r="H320" s="184"/>
      <c r="I320" s="184"/>
      <c r="J320" s="184"/>
      <c r="K320" s="184"/>
      <c r="L320" s="184"/>
      <c r="M320" s="184"/>
      <c r="N320" s="184"/>
      <c r="O320" s="184"/>
      <c r="P320" s="184"/>
      <c r="Q320" s="184"/>
      <c r="R320" s="184"/>
      <c r="S320" s="186"/>
      <c r="T320" s="184">
        <v>0.0</v>
      </c>
    </row>
    <row r="321">
      <c r="A321" s="184"/>
      <c r="B321" s="184"/>
      <c r="C321" s="184"/>
      <c r="D321" s="184"/>
      <c r="E321" s="184"/>
      <c r="F321" s="184"/>
      <c r="G321" s="184"/>
      <c r="H321" s="184"/>
      <c r="I321" s="184"/>
      <c r="J321" s="184"/>
      <c r="K321" s="184"/>
      <c r="L321" s="184"/>
      <c r="M321" s="184"/>
      <c r="N321" s="184"/>
      <c r="O321" s="184"/>
      <c r="P321" s="184"/>
      <c r="Q321" s="184"/>
      <c r="R321" s="184"/>
      <c r="S321" s="186"/>
      <c r="T321" s="184">
        <v>0.0</v>
      </c>
    </row>
    <row r="322">
      <c r="A322" s="184"/>
      <c r="B322" s="184"/>
      <c r="C322" s="184"/>
      <c r="D322" s="184"/>
      <c r="E322" s="184"/>
      <c r="F322" s="184"/>
      <c r="G322" s="184"/>
      <c r="H322" s="184"/>
      <c r="I322" s="184"/>
      <c r="J322" s="184"/>
      <c r="K322" s="184"/>
      <c r="L322" s="184"/>
      <c r="M322" s="184"/>
      <c r="N322" s="184"/>
      <c r="O322" s="184"/>
      <c r="P322" s="184"/>
      <c r="Q322" s="184"/>
      <c r="R322" s="184"/>
      <c r="S322" s="186"/>
      <c r="T322" s="184">
        <v>0.0</v>
      </c>
    </row>
    <row r="323">
      <c r="A323" s="184"/>
      <c r="B323" s="184"/>
      <c r="C323" s="184"/>
      <c r="D323" s="184"/>
      <c r="E323" s="184"/>
      <c r="F323" s="184"/>
      <c r="G323" s="184"/>
      <c r="H323" s="184"/>
      <c r="I323" s="184"/>
      <c r="J323" s="184"/>
      <c r="K323" s="184"/>
      <c r="L323" s="184"/>
      <c r="M323" s="184"/>
      <c r="N323" s="184"/>
      <c r="O323" s="184"/>
      <c r="P323" s="184"/>
      <c r="Q323" s="184"/>
      <c r="R323" s="184"/>
      <c r="S323" s="186"/>
      <c r="T323" s="184">
        <v>0.0</v>
      </c>
    </row>
    <row r="324">
      <c r="A324" s="184"/>
      <c r="B324" s="184"/>
      <c r="C324" s="184"/>
      <c r="D324" s="184"/>
      <c r="E324" s="184"/>
      <c r="F324" s="184"/>
      <c r="G324" s="184"/>
      <c r="H324" s="184"/>
      <c r="I324" s="184"/>
      <c r="J324" s="184"/>
      <c r="K324" s="184"/>
      <c r="L324" s="184"/>
      <c r="M324" s="184"/>
      <c r="N324" s="184"/>
      <c r="O324" s="184"/>
      <c r="P324" s="184"/>
      <c r="Q324" s="184"/>
      <c r="R324" s="184"/>
      <c r="S324" s="186"/>
      <c r="T324" s="184">
        <v>0.0</v>
      </c>
    </row>
    <row r="325">
      <c r="A325" s="184"/>
      <c r="B325" s="184"/>
      <c r="C325" s="184"/>
      <c r="D325" s="184"/>
      <c r="E325" s="184"/>
      <c r="F325" s="184"/>
      <c r="G325" s="184"/>
      <c r="H325" s="184"/>
      <c r="I325" s="184"/>
      <c r="J325" s="184"/>
      <c r="K325" s="184"/>
      <c r="L325" s="184"/>
      <c r="M325" s="184"/>
      <c r="N325" s="184"/>
      <c r="O325" s="184"/>
      <c r="P325" s="184"/>
      <c r="Q325" s="184"/>
      <c r="R325" s="184"/>
      <c r="S325" s="186"/>
      <c r="T325" s="184">
        <v>0.0</v>
      </c>
    </row>
    <row r="326">
      <c r="A326" s="184"/>
      <c r="B326" s="184"/>
      <c r="C326" s="184"/>
      <c r="D326" s="184"/>
      <c r="E326" s="184"/>
      <c r="F326" s="184"/>
      <c r="G326" s="184"/>
      <c r="H326" s="184"/>
      <c r="I326" s="184"/>
      <c r="J326" s="184"/>
      <c r="K326" s="184"/>
      <c r="L326" s="184"/>
      <c r="M326" s="184"/>
      <c r="N326" s="184"/>
      <c r="O326" s="184"/>
      <c r="P326" s="184"/>
      <c r="Q326" s="184"/>
      <c r="R326" s="184"/>
      <c r="S326" s="186"/>
      <c r="T326" s="184">
        <v>0.0</v>
      </c>
    </row>
    <row r="327">
      <c r="A327" s="184"/>
      <c r="B327" s="184"/>
      <c r="C327" s="184"/>
      <c r="D327" s="184"/>
      <c r="E327" s="184"/>
      <c r="F327" s="184"/>
      <c r="G327" s="184"/>
      <c r="H327" s="184"/>
      <c r="I327" s="184"/>
      <c r="J327" s="184"/>
      <c r="K327" s="184"/>
      <c r="L327" s="184"/>
      <c r="M327" s="184"/>
      <c r="N327" s="184"/>
      <c r="O327" s="184"/>
      <c r="P327" s="184"/>
      <c r="Q327" s="184"/>
      <c r="R327" s="184"/>
      <c r="S327" s="186"/>
      <c r="T327" s="184">
        <v>0.0</v>
      </c>
    </row>
    <row r="328">
      <c r="A328" s="184"/>
      <c r="B328" s="184"/>
      <c r="C328" s="184"/>
      <c r="D328" s="184"/>
      <c r="E328" s="184"/>
      <c r="F328" s="184"/>
      <c r="G328" s="184"/>
      <c r="H328" s="184"/>
      <c r="I328" s="184"/>
      <c r="J328" s="184"/>
      <c r="K328" s="184"/>
      <c r="L328" s="184"/>
      <c r="M328" s="184"/>
      <c r="N328" s="184"/>
      <c r="O328" s="184"/>
      <c r="P328" s="184"/>
      <c r="Q328" s="184"/>
      <c r="R328" s="184"/>
      <c r="S328" s="186"/>
      <c r="T328" s="184">
        <v>0.0</v>
      </c>
    </row>
    <row r="329">
      <c r="A329" s="184"/>
      <c r="B329" s="184"/>
      <c r="C329" s="184"/>
      <c r="D329" s="184"/>
      <c r="E329" s="184"/>
      <c r="F329" s="184"/>
      <c r="G329" s="184"/>
      <c r="H329" s="184"/>
      <c r="I329" s="184"/>
      <c r="J329" s="184"/>
      <c r="K329" s="184"/>
      <c r="L329" s="184"/>
      <c r="M329" s="184"/>
      <c r="N329" s="184"/>
      <c r="O329" s="184"/>
      <c r="P329" s="184"/>
      <c r="Q329" s="184"/>
      <c r="R329" s="184"/>
      <c r="S329" s="186"/>
      <c r="T329" s="184">
        <v>0.0</v>
      </c>
    </row>
    <row r="330">
      <c r="A330" s="184"/>
      <c r="B330" s="184"/>
      <c r="C330" s="184"/>
      <c r="D330" s="184"/>
      <c r="E330" s="184"/>
      <c r="F330" s="184"/>
      <c r="G330" s="184"/>
      <c r="H330" s="184"/>
      <c r="I330" s="184"/>
      <c r="J330" s="184"/>
      <c r="K330" s="184"/>
      <c r="L330" s="184"/>
      <c r="M330" s="184"/>
      <c r="N330" s="184"/>
      <c r="O330" s="184"/>
      <c r="P330" s="184"/>
      <c r="Q330" s="184"/>
      <c r="R330" s="184"/>
      <c r="S330" s="186"/>
      <c r="T330" s="184">
        <v>0.0</v>
      </c>
    </row>
    <row r="331">
      <c r="A331" s="184"/>
      <c r="B331" s="184"/>
      <c r="C331" s="184"/>
      <c r="D331" s="184"/>
      <c r="E331" s="184"/>
      <c r="F331" s="184"/>
      <c r="G331" s="184"/>
      <c r="H331" s="184"/>
      <c r="I331" s="184"/>
      <c r="J331" s="184"/>
      <c r="K331" s="184"/>
      <c r="L331" s="184"/>
      <c r="M331" s="184"/>
      <c r="N331" s="184"/>
      <c r="O331" s="184"/>
      <c r="P331" s="184"/>
      <c r="Q331" s="184"/>
      <c r="R331" s="184"/>
      <c r="S331" s="186"/>
      <c r="T331" s="184">
        <v>0.0</v>
      </c>
    </row>
    <row r="332">
      <c r="A332" s="184"/>
      <c r="B332" s="184"/>
      <c r="C332" s="184"/>
      <c r="D332" s="184"/>
      <c r="E332" s="184"/>
      <c r="F332" s="184"/>
      <c r="G332" s="184"/>
      <c r="H332" s="184"/>
      <c r="I332" s="184"/>
      <c r="J332" s="184"/>
      <c r="K332" s="184"/>
      <c r="L332" s="184"/>
      <c r="M332" s="184"/>
      <c r="N332" s="184"/>
      <c r="O332" s="184"/>
      <c r="P332" s="184"/>
      <c r="Q332" s="184"/>
      <c r="R332" s="184"/>
      <c r="S332" s="186"/>
      <c r="T332" s="184">
        <v>0.0</v>
      </c>
    </row>
    <row r="333">
      <c r="A333" s="184"/>
      <c r="B333" s="184"/>
      <c r="C333" s="184"/>
      <c r="D333" s="184"/>
      <c r="E333" s="184"/>
      <c r="F333" s="184"/>
      <c r="G333" s="184"/>
      <c r="H333" s="184"/>
      <c r="I333" s="184"/>
      <c r="J333" s="184"/>
      <c r="K333" s="184"/>
      <c r="L333" s="184"/>
      <c r="M333" s="184"/>
      <c r="N333" s="184"/>
      <c r="O333" s="184"/>
      <c r="P333" s="184"/>
      <c r="Q333" s="184"/>
      <c r="R333" s="184"/>
      <c r="S333" s="186"/>
      <c r="T333" s="184">
        <v>0.0</v>
      </c>
    </row>
    <row r="334">
      <c r="A334" s="184"/>
      <c r="B334" s="184"/>
      <c r="C334" s="184"/>
      <c r="D334" s="184"/>
      <c r="E334" s="184"/>
      <c r="F334" s="184"/>
      <c r="G334" s="184"/>
      <c r="H334" s="184"/>
      <c r="I334" s="184"/>
      <c r="J334" s="184"/>
      <c r="K334" s="184"/>
      <c r="L334" s="184"/>
      <c r="M334" s="184"/>
      <c r="N334" s="184"/>
      <c r="O334" s="184"/>
      <c r="P334" s="184"/>
      <c r="Q334" s="184"/>
      <c r="R334" s="184"/>
      <c r="S334" s="186"/>
      <c r="T334" s="184">
        <v>0.0</v>
      </c>
    </row>
    <row r="335">
      <c r="A335" s="184"/>
      <c r="B335" s="184"/>
      <c r="C335" s="184"/>
      <c r="D335" s="184"/>
      <c r="E335" s="184"/>
      <c r="F335" s="184"/>
      <c r="G335" s="184"/>
      <c r="H335" s="184"/>
      <c r="I335" s="184"/>
      <c r="J335" s="184"/>
      <c r="K335" s="184"/>
      <c r="L335" s="184"/>
      <c r="M335" s="184"/>
      <c r="N335" s="184"/>
      <c r="O335" s="184"/>
      <c r="P335" s="184"/>
      <c r="Q335" s="184"/>
      <c r="R335" s="184"/>
      <c r="S335" s="186"/>
      <c r="T335" s="184">
        <v>0.0</v>
      </c>
    </row>
    <row r="336">
      <c r="A336" s="184"/>
      <c r="B336" s="184"/>
      <c r="C336" s="184"/>
      <c r="D336" s="184"/>
      <c r="E336" s="184"/>
      <c r="F336" s="184"/>
      <c r="G336" s="184"/>
      <c r="H336" s="184"/>
      <c r="I336" s="184"/>
      <c r="J336" s="184"/>
      <c r="K336" s="184"/>
      <c r="L336" s="184"/>
      <c r="M336" s="184"/>
      <c r="N336" s="184"/>
      <c r="O336" s="184"/>
      <c r="P336" s="184"/>
      <c r="Q336" s="184"/>
      <c r="R336" s="184"/>
      <c r="S336" s="186"/>
      <c r="T336" s="184">
        <v>0.0</v>
      </c>
    </row>
    <row r="337">
      <c r="A337" s="184"/>
      <c r="B337" s="184"/>
      <c r="C337" s="184"/>
      <c r="D337" s="184"/>
      <c r="E337" s="184"/>
      <c r="F337" s="184"/>
      <c r="G337" s="184"/>
      <c r="H337" s="184"/>
      <c r="I337" s="184"/>
      <c r="J337" s="184"/>
      <c r="K337" s="184"/>
      <c r="L337" s="184"/>
      <c r="M337" s="184"/>
      <c r="N337" s="184"/>
      <c r="O337" s="184"/>
      <c r="P337" s="184"/>
      <c r="Q337" s="184"/>
      <c r="R337" s="184"/>
      <c r="S337" s="186"/>
      <c r="T337" s="184">
        <v>0.0</v>
      </c>
    </row>
    <row r="338">
      <c r="A338" s="184"/>
      <c r="B338" s="184"/>
      <c r="C338" s="184"/>
      <c r="D338" s="184"/>
      <c r="E338" s="184"/>
      <c r="F338" s="184"/>
      <c r="G338" s="184"/>
      <c r="H338" s="184"/>
      <c r="I338" s="184"/>
      <c r="J338" s="184"/>
      <c r="K338" s="184"/>
      <c r="L338" s="184"/>
      <c r="M338" s="184"/>
      <c r="N338" s="184"/>
      <c r="O338" s="184"/>
      <c r="P338" s="184"/>
      <c r="Q338" s="184"/>
      <c r="R338" s="184"/>
      <c r="S338" s="186"/>
      <c r="T338" s="184">
        <v>0.0</v>
      </c>
    </row>
    <row r="339">
      <c r="A339" s="184"/>
      <c r="B339" s="184"/>
      <c r="C339" s="184"/>
      <c r="D339" s="184"/>
      <c r="E339" s="184"/>
      <c r="F339" s="184"/>
      <c r="G339" s="184"/>
      <c r="H339" s="184"/>
      <c r="I339" s="184"/>
      <c r="J339" s="184"/>
      <c r="K339" s="184"/>
      <c r="L339" s="184"/>
      <c r="M339" s="184"/>
      <c r="N339" s="184"/>
      <c r="O339" s="184"/>
      <c r="P339" s="184"/>
      <c r="Q339" s="184"/>
      <c r="R339" s="184"/>
      <c r="S339" s="186"/>
      <c r="T339" s="184">
        <v>0.0</v>
      </c>
    </row>
    <row r="340">
      <c r="A340" s="184"/>
      <c r="B340" s="184"/>
      <c r="C340" s="184"/>
      <c r="D340" s="184"/>
      <c r="E340" s="184"/>
      <c r="F340" s="184"/>
      <c r="G340" s="184"/>
      <c r="H340" s="184"/>
      <c r="I340" s="184"/>
      <c r="J340" s="184"/>
      <c r="K340" s="184"/>
      <c r="L340" s="184"/>
      <c r="M340" s="184"/>
      <c r="N340" s="184"/>
      <c r="O340" s="184"/>
      <c r="P340" s="184"/>
      <c r="Q340" s="184"/>
      <c r="R340" s="184"/>
      <c r="S340" s="186"/>
      <c r="T340" s="184">
        <v>0.0</v>
      </c>
    </row>
    <row r="341">
      <c r="A341" s="184"/>
      <c r="B341" s="184"/>
      <c r="C341" s="184"/>
      <c r="D341" s="184"/>
      <c r="E341" s="184"/>
      <c r="F341" s="184"/>
      <c r="G341" s="184"/>
      <c r="H341" s="184"/>
      <c r="I341" s="184"/>
      <c r="J341" s="184"/>
      <c r="K341" s="184"/>
      <c r="L341" s="184"/>
      <c r="M341" s="184"/>
      <c r="N341" s="184"/>
      <c r="O341" s="184"/>
      <c r="P341" s="184"/>
      <c r="Q341" s="184"/>
      <c r="R341" s="184"/>
      <c r="S341" s="186"/>
      <c r="T341" s="184">
        <v>0.0</v>
      </c>
    </row>
    <row r="342">
      <c r="A342" s="184"/>
      <c r="B342" s="184"/>
      <c r="C342" s="184"/>
      <c r="D342" s="184"/>
      <c r="E342" s="184"/>
      <c r="F342" s="184"/>
      <c r="G342" s="184"/>
      <c r="H342" s="184"/>
      <c r="I342" s="184"/>
      <c r="J342" s="184"/>
      <c r="K342" s="184"/>
      <c r="L342" s="184"/>
      <c r="M342" s="184"/>
      <c r="N342" s="184"/>
      <c r="O342" s="184"/>
      <c r="P342" s="184"/>
      <c r="Q342" s="184"/>
      <c r="R342" s="184"/>
      <c r="S342" s="186"/>
      <c r="T342" s="184">
        <v>0.0</v>
      </c>
    </row>
    <row r="343">
      <c r="A343" s="184"/>
      <c r="B343" s="184"/>
      <c r="C343" s="184"/>
      <c r="D343" s="184"/>
      <c r="E343" s="184"/>
      <c r="F343" s="184"/>
      <c r="G343" s="184"/>
      <c r="H343" s="184"/>
      <c r="I343" s="184"/>
      <c r="J343" s="184"/>
      <c r="K343" s="184"/>
      <c r="L343" s="184"/>
      <c r="M343" s="184"/>
      <c r="N343" s="184"/>
      <c r="O343" s="184"/>
      <c r="P343" s="184"/>
      <c r="Q343" s="184"/>
      <c r="R343" s="184"/>
      <c r="S343" s="186"/>
      <c r="T343" s="184">
        <v>0.0</v>
      </c>
    </row>
    <row r="344">
      <c r="A344" s="184"/>
      <c r="B344" s="184"/>
      <c r="C344" s="184"/>
      <c r="D344" s="184"/>
      <c r="E344" s="184"/>
      <c r="F344" s="184"/>
      <c r="G344" s="184"/>
      <c r="H344" s="184"/>
      <c r="I344" s="184"/>
      <c r="J344" s="184"/>
      <c r="K344" s="184"/>
      <c r="L344" s="184"/>
      <c r="M344" s="184"/>
      <c r="N344" s="184"/>
      <c r="O344" s="184"/>
      <c r="P344" s="184"/>
      <c r="Q344" s="184"/>
      <c r="R344" s="184"/>
      <c r="S344" s="186"/>
      <c r="T344" s="184">
        <v>0.0</v>
      </c>
    </row>
    <row r="345">
      <c r="A345" s="184"/>
      <c r="B345" s="184"/>
      <c r="C345" s="184"/>
      <c r="D345" s="184"/>
      <c r="E345" s="184"/>
      <c r="F345" s="184"/>
      <c r="G345" s="184"/>
      <c r="H345" s="184"/>
      <c r="I345" s="184"/>
      <c r="J345" s="184"/>
      <c r="K345" s="184"/>
      <c r="L345" s="184"/>
      <c r="M345" s="184"/>
      <c r="N345" s="184"/>
      <c r="O345" s="184"/>
      <c r="P345" s="184"/>
      <c r="Q345" s="184"/>
      <c r="R345" s="184"/>
      <c r="S345" s="186"/>
      <c r="T345" s="184">
        <v>0.0</v>
      </c>
    </row>
    <row r="346">
      <c r="A346" s="184"/>
      <c r="B346" s="184"/>
      <c r="C346" s="184"/>
      <c r="D346" s="184"/>
      <c r="E346" s="184"/>
      <c r="F346" s="184"/>
      <c r="G346" s="184"/>
      <c r="H346" s="184"/>
      <c r="I346" s="184"/>
      <c r="J346" s="184"/>
      <c r="K346" s="184"/>
      <c r="L346" s="184"/>
      <c r="M346" s="184"/>
      <c r="N346" s="184"/>
      <c r="O346" s="184"/>
      <c r="P346" s="184"/>
      <c r="Q346" s="184"/>
      <c r="R346" s="184"/>
      <c r="S346" s="186"/>
      <c r="T346" s="184">
        <v>0.0</v>
      </c>
    </row>
    <row r="347">
      <c r="A347" s="184"/>
      <c r="B347" s="184"/>
      <c r="C347" s="184"/>
      <c r="D347" s="184"/>
      <c r="E347" s="184"/>
      <c r="F347" s="184"/>
      <c r="G347" s="184"/>
      <c r="H347" s="184"/>
      <c r="I347" s="184"/>
      <c r="J347" s="184"/>
      <c r="K347" s="184"/>
      <c r="L347" s="184"/>
      <c r="M347" s="184"/>
      <c r="N347" s="184"/>
      <c r="O347" s="184"/>
      <c r="P347" s="184"/>
      <c r="Q347" s="184"/>
      <c r="R347" s="184"/>
      <c r="S347" s="186"/>
      <c r="T347" s="184">
        <v>0.0</v>
      </c>
    </row>
    <row r="348">
      <c r="A348" s="184"/>
      <c r="B348" s="184"/>
      <c r="C348" s="184"/>
      <c r="D348" s="184"/>
      <c r="E348" s="184"/>
      <c r="F348" s="184"/>
      <c r="G348" s="184"/>
      <c r="H348" s="184"/>
      <c r="I348" s="184"/>
      <c r="J348" s="184"/>
      <c r="K348" s="184"/>
      <c r="L348" s="184"/>
      <c r="M348" s="184"/>
      <c r="N348" s="184"/>
      <c r="O348" s="184"/>
      <c r="P348" s="184"/>
      <c r="Q348" s="184"/>
      <c r="R348" s="184"/>
      <c r="S348" s="186"/>
      <c r="T348" s="184">
        <v>0.0</v>
      </c>
    </row>
    <row r="349">
      <c r="A349" s="184"/>
      <c r="B349" s="184"/>
      <c r="C349" s="184"/>
      <c r="D349" s="184"/>
      <c r="E349" s="184"/>
      <c r="F349" s="184"/>
      <c r="G349" s="184"/>
      <c r="H349" s="184"/>
      <c r="I349" s="184"/>
      <c r="J349" s="184"/>
      <c r="K349" s="184"/>
      <c r="L349" s="184"/>
      <c r="M349" s="184"/>
      <c r="N349" s="184"/>
      <c r="O349" s="184"/>
      <c r="P349" s="184"/>
      <c r="Q349" s="184"/>
      <c r="R349" s="184"/>
      <c r="S349" s="186"/>
      <c r="T349" s="184">
        <v>0.0</v>
      </c>
    </row>
    <row r="350">
      <c r="A350" s="184"/>
      <c r="B350" s="184"/>
      <c r="C350" s="184"/>
      <c r="D350" s="184"/>
      <c r="E350" s="184"/>
      <c r="F350" s="184"/>
      <c r="G350" s="184"/>
      <c r="H350" s="184"/>
      <c r="I350" s="184"/>
      <c r="J350" s="184"/>
      <c r="K350" s="184"/>
      <c r="L350" s="184"/>
      <c r="M350" s="184"/>
      <c r="N350" s="184"/>
      <c r="O350" s="184"/>
      <c r="P350" s="184"/>
      <c r="Q350" s="184"/>
      <c r="R350" s="184"/>
      <c r="S350" s="186"/>
      <c r="T350" s="184">
        <v>0.0</v>
      </c>
    </row>
    <row r="351">
      <c r="A351" s="184"/>
      <c r="B351" s="184"/>
      <c r="C351" s="184"/>
      <c r="D351" s="184"/>
      <c r="E351" s="184"/>
      <c r="F351" s="184"/>
      <c r="G351" s="184"/>
      <c r="H351" s="184"/>
      <c r="I351" s="184"/>
      <c r="J351" s="184"/>
      <c r="K351" s="184"/>
      <c r="L351" s="184"/>
      <c r="M351" s="184"/>
      <c r="N351" s="184"/>
      <c r="O351" s="184"/>
      <c r="P351" s="184"/>
      <c r="Q351" s="184"/>
      <c r="R351" s="184"/>
      <c r="S351" s="186"/>
      <c r="T351" s="184">
        <v>0.0</v>
      </c>
    </row>
    <row r="352">
      <c r="A352" s="184"/>
      <c r="B352" s="184"/>
      <c r="C352" s="184"/>
      <c r="D352" s="184"/>
      <c r="E352" s="184"/>
      <c r="F352" s="184"/>
      <c r="G352" s="184"/>
      <c r="H352" s="184"/>
      <c r="I352" s="184"/>
      <c r="J352" s="184"/>
      <c r="K352" s="184"/>
      <c r="L352" s="184"/>
      <c r="M352" s="184"/>
      <c r="N352" s="184"/>
      <c r="O352" s="184"/>
      <c r="P352" s="184"/>
      <c r="Q352" s="184"/>
      <c r="R352" s="184"/>
      <c r="S352" s="186"/>
      <c r="T352" s="184">
        <v>0.0</v>
      </c>
    </row>
    <row r="353">
      <c r="A353" s="184"/>
      <c r="B353" s="184"/>
      <c r="C353" s="184"/>
      <c r="D353" s="184"/>
      <c r="E353" s="184"/>
      <c r="F353" s="184"/>
      <c r="G353" s="184"/>
      <c r="H353" s="184"/>
      <c r="I353" s="184"/>
      <c r="J353" s="184"/>
      <c r="K353" s="184"/>
      <c r="L353" s="184"/>
      <c r="M353" s="184"/>
      <c r="N353" s="184"/>
      <c r="O353" s="184"/>
      <c r="P353" s="184"/>
      <c r="Q353" s="184"/>
      <c r="R353" s="184"/>
      <c r="S353" s="186"/>
      <c r="T353" s="184">
        <v>0.0</v>
      </c>
    </row>
    <row r="354">
      <c r="A354" s="184"/>
      <c r="B354" s="184"/>
      <c r="C354" s="184"/>
      <c r="D354" s="184"/>
      <c r="E354" s="184"/>
      <c r="F354" s="184"/>
      <c r="G354" s="184"/>
      <c r="H354" s="184"/>
      <c r="I354" s="184"/>
      <c r="J354" s="184"/>
      <c r="K354" s="184"/>
      <c r="L354" s="184"/>
      <c r="M354" s="184"/>
      <c r="N354" s="184"/>
      <c r="O354" s="184"/>
      <c r="P354" s="184"/>
      <c r="Q354" s="184"/>
      <c r="R354" s="184"/>
      <c r="S354" s="186"/>
      <c r="T354" s="184">
        <v>0.0</v>
      </c>
    </row>
    <row r="355">
      <c r="A355" s="184"/>
      <c r="B355" s="184"/>
      <c r="C355" s="184"/>
      <c r="D355" s="184"/>
      <c r="E355" s="184"/>
      <c r="F355" s="184"/>
      <c r="G355" s="184"/>
      <c r="H355" s="184"/>
      <c r="I355" s="184"/>
      <c r="J355" s="184"/>
      <c r="K355" s="184"/>
      <c r="L355" s="184"/>
      <c r="M355" s="184"/>
      <c r="N355" s="184"/>
      <c r="O355" s="184"/>
      <c r="P355" s="184"/>
      <c r="Q355" s="184"/>
      <c r="R355" s="184"/>
      <c r="S355" s="186"/>
      <c r="T355" s="184">
        <v>0.0</v>
      </c>
    </row>
    <row r="356">
      <c r="A356" s="184"/>
      <c r="B356" s="184"/>
      <c r="C356" s="184"/>
      <c r="D356" s="184"/>
      <c r="E356" s="184"/>
      <c r="F356" s="184"/>
      <c r="G356" s="184"/>
      <c r="H356" s="184"/>
      <c r="I356" s="184"/>
      <c r="J356" s="184"/>
      <c r="K356" s="184"/>
      <c r="L356" s="184"/>
      <c r="M356" s="184"/>
      <c r="N356" s="184"/>
      <c r="O356" s="184"/>
      <c r="P356" s="184"/>
      <c r="Q356" s="184"/>
      <c r="R356" s="184"/>
      <c r="S356" s="186"/>
      <c r="T356" s="184">
        <v>0.0</v>
      </c>
    </row>
    <row r="357">
      <c r="A357" s="184"/>
      <c r="B357" s="184"/>
      <c r="C357" s="184"/>
      <c r="D357" s="184"/>
      <c r="E357" s="184"/>
      <c r="F357" s="184"/>
      <c r="G357" s="184"/>
      <c r="H357" s="184"/>
      <c r="I357" s="184"/>
      <c r="J357" s="184"/>
      <c r="K357" s="184"/>
      <c r="L357" s="184"/>
      <c r="M357" s="184"/>
      <c r="N357" s="184"/>
      <c r="O357" s="184"/>
      <c r="P357" s="184"/>
      <c r="Q357" s="184"/>
      <c r="R357" s="184"/>
      <c r="S357" s="186"/>
      <c r="T357" s="184">
        <v>0.0</v>
      </c>
    </row>
    <row r="358">
      <c r="A358" s="184"/>
      <c r="B358" s="184"/>
      <c r="C358" s="184"/>
      <c r="D358" s="184"/>
      <c r="E358" s="184"/>
      <c r="F358" s="184"/>
      <c r="G358" s="184"/>
      <c r="H358" s="184"/>
      <c r="I358" s="184"/>
      <c r="J358" s="184"/>
      <c r="K358" s="184"/>
      <c r="L358" s="184"/>
      <c r="M358" s="184"/>
      <c r="N358" s="184"/>
      <c r="O358" s="184"/>
      <c r="P358" s="184"/>
      <c r="Q358" s="184"/>
      <c r="R358" s="184"/>
      <c r="S358" s="186"/>
      <c r="T358" s="184">
        <v>0.0</v>
      </c>
    </row>
    <row r="359">
      <c r="A359" s="184"/>
      <c r="B359" s="184"/>
      <c r="C359" s="184"/>
      <c r="D359" s="184"/>
      <c r="E359" s="184"/>
      <c r="F359" s="184"/>
      <c r="G359" s="184"/>
      <c r="H359" s="184"/>
      <c r="I359" s="184"/>
      <c r="J359" s="184"/>
      <c r="K359" s="184"/>
      <c r="L359" s="184"/>
      <c r="M359" s="184"/>
      <c r="N359" s="184"/>
      <c r="O359" s="184"/>
      <c r="P359" s="184"/>
      <c r="Q359" s="184"/>
      <c r="R359" s="184"/>
      <c r="S359" s="186"/>
      <c r="T359" s="184">
        <v>0.0</v>
      </c>
    </row>
    <row r="360">
      <c r="A360" s="184"/>
      <c r="B360" s="184"/>
      <c r="C360" s="184"/>
      <c r="D360" s="184"/>
      <c r="E360" s="184"/>
      <c r="F360" s="184"/>
      <c r="G360" s="184"/>
      <c r="H360" s="184"/>
      <c r="I360" s="184"/>
      <c r="J360" s="184"/>
      <c r="K360" s="184"/>
      <c r="L360" s="184"/>
      <c r="M360" s="184"/>
      <c r="N360" s="184"/>
      <c r="O360" s="184"/>
      <c r="P360" s="184"/>
      <c r="Q360" s="184"/>
      <c r="R360" s="184"/>
      <c r="S360" s="186"/>
      <c r="T360" s="184">
        <v>0.0</v>
      </c>
    </row>
    <row r="361">
      <c r="A361" s="184"/>
      <c r="B361" s="184"/>
      <c r="C361" s="184"/>
      <c r="D361" s="184"/>
      <c r="E361" s="184"/>
      <c r="F361" s="184"/>
      <c r="G361" s="184"/>
      <c r="H361" s="184"/>
      <c r="I361" s="184"/>
      <c r="J361" s="184"/>
      <c r="K361" s="184"/>
      <c r="L361" s="184"/>
      <c r="M361" s="184"/>
      <c r="N361" s="184"/>
      <c r="O361" s="184"/>
      <c r="P361" s="184"/>
      <c r="Q361" s="184"/>
      <c r="R361" s="184"/>
      <c r="S361" s="186"/>
      <c r="T361" s="184">
        <v>0.0</v>
      </c>
    </row>
    <row r="362">
      <c r="A362" s="184"/>
      <c r="B362" s="184"/>
      <c r="C362" s="184"/>
      <c r="D362" s="184"/>
      <c r="E362" s="184"/>
      <c r="F362" s="184"/>
      <c r="G362" s="184"/>
      <c r="H362" s="184"/>
      <c r="I362" s="184"/>
      <c r="J362" s="184"/>
      <c r="K362" s="184"/>
      <c r="L362" s="184"/>
      <c r="M362" s="184"/>
      <c r="N362" s="184"/>
      <c r="O362" s="184"/>
      <c r="P362" s="184"/>
      <c r="Q362" s="184"/>
      <c r="R362" s="184"/>
      <c r="S362" s="186"/>
      <c r="T362" s="184">
        <v>0.0</v>
      </c>
    </row>
    <row r="363">
      <c r="A363" s="184"/>
      <c r="B363" s="184"/>
      <c r="C363" s="184"/>
      <c r="D363" s="184"/>
      <c r="E363" s="184"/>
      <c r="F363" s="184"/>
      <c r="G363" s="184"/>
      <c r="H363" s="184"/>
      <c r="I363" s="184"/>
      <c r="J363" s="184"/>
      <c r="K363" s="184"/>
      <c r="L363" s="184"/>
      <c r="M363" s="184"/>
      <c r="N363" s="184"/>
      <c r="O363" s="184"/>
      <c r="P363" s="184"/>
      <c r="Q363" s="184"/>
      <c r="R363" s="184"/>
      <c r="S363" s="186"/>
      <c r="T363" s="184">
        <v>0.0</v>
      </c>
    </row>
    <row r="364">
      <c r="A364" s="184"/>
      <c r="B364" s="184"/>
      <c r="C364" s="184"/>
      <c r="D364" s="184"/>
      <c r="E364" s="184"/>
      <c r="F364" s="184"/>
      <c r="G364" s="184"/>
      <c r="H364" s="184"/>
      <c r="I364" s="184"/>
      <c r="J364" s="184"/>
      <c r="K364" s="184"/>
      <c r="L364" s="184"/>
      <c r="M364" s="184"/>
      <c r="N364" s="184"/>
      <c r="O364" s="184"/>
      <c r="P364" s="184"/>
      <c r="Q364" s="184"/>
      <c r="R364" s="184"/>
      <c r="S364" s="186"/>
      <c r="T364" s="184">
        <v>0.0</v>
      </c>
    </row>
    <row r="365">
      <c r="A365" s="184"/>
      <c r="B365" s="184"/>
      <c r="C365" s="184"/>
      <c r="D365" s="184"/>
      <c r="E365" s="184"/>
      <c r="F365" s="184"/>
      <c r="G365" s="184"/>
      <c r="H365" s="184"/>
      <c r="I365" s="184"/>
      <c r="J365" s="184"/>
      <c r="K365" s="184"/>
      <c r="L365" s="184"/>
      <c r="M365" s="184"/>
      <c r="N365" s="184"/>
      <c r="O365" s="184"/>
      <c r="P365" s="184"/>
      <c r="Q365" s="184"/>
      <c r="R365" s="184"/>
      <c r="S365" s="186"/>
      <c r="T365" s="184">
        <v>0.0</v>
      </c>
    </row>
    <row r="366">
      <c r="A366" s="184"/>
      <c r="B366" s="184"/>
      <c r="C366" s="184"/>
      <c r="D366" s="184"/>
      <c r="E366" s="184"/>
      <c r="F366" s="184"/>
      <c r="G366" s="184"/>
      <c r="H366" s="184"/>
      <c r="I366" s="184"/>
      <c r="J366" s="184"/>
      <c r="K366" s="184"/>
      <c r="L366" s="184"/>
      <c r="M366" s="184"/>
      <c r="N366" s="184"/>
      <c r="O366" s="184"/>
      <c r="P366" s="184"/>
      <c r="Q366" s="184"/>
      <c r="R366" s="184"/>
      <c r="S366" s="186"/>
      <c r="T366" s="184">
        <v>0.0</v>
      </c>
    </row>
    <row r="367">
      <c r="A367" s="184"/>
      <c r="B367" s="184"/>
      <c r="C367" s="184"/>
      <c r="D367" s="184"/>
      <c r="E367" s="184"/>
      <c r="F367" s="184"/>
      <c r="G367" s="184"/>
      <c r="H367" s="184"/>
      <c r="I367" s="184"/>
      <c r="J367" s="184"/>
      <c r="K367" s="184"/>
      <c r="L367" s="184"/>
      <c r="M367" s="184"/>
      <c r="N367" s="184"/>
      <c r="O367" s="184"/>
      <c r="P367" s="184"/>
      <c r="Q367" s="184"/>
      <c r="R367" s="184"/>
      <c r="S367" s="186"/>
      <c r="T367" s="184">
        <v>0.0</v>
      </c>
    </row>
    <row r="368">
      <c r="A368" s="184"/>
      <c r="B368" s="184"/>
      <c r="C368" s="184"/>
      <c r="D368" s="184"/>
      <c r="E368" s="184"/>
      <c r="F368" s="184"/>
      <c r="G368" s="184"/>
      <c r="H368" s="184"/>
      <c r="I368" s="184"/>
      <c r="J368" s="184"/>
      <c r="K368" s="184"/>
      <c r="L368" s="184"/>
      <c r="M368" s="184"/>
      <c r="N368" s="184"/>
      <c r="O368" s="184"/>
      <c r="P368" s="184"/>
      <c r="Q368" s="184"/>
      <c r="R368" s="184"/>
      <c r="S368" s="186"/>
      <c r="T368" s="184">
        <v>0.0</v>
      </c>
    </row>
    <row r="369">
      <c r="A369" s="184"/>
      <c r="B369" s="184"/>
      <c r="C369" s="184"/>
      <c r="D369" s="184"/>
      <c r="E369" s="184"/>
      <c r="F369" s="184"/>
      <c r="G369" s="184"/>
      <c r="H369" s="184"/>
      <c r="I369" s="184"/>
      <c r="J369" s="184"/>
      <c r="K369" s="184"/>
      <c r="L369" s="184"/>
      <c r="M369" s="184"/>
      <c r="N369" s="184"/>
      <c r="O369" s="184"/>
      <c r="P369" s="184"/>
      <c r="Q369" s="184"/>
      <c r="R369" s="184"/>
      <c r="S369" s="186"/>
      <c r="T369" s="184">
        <v>0.0</v>
      </c>
    </row>
    <row r="370">
      <c r="A370" s="184"/>
      <c r="B370" s="184"/>
      <c r="C370" s="184"/>
      <c r="D370" s="184"/>
      <c r="E370" s="184"/>
      <c r="F370" s="184"/>
      <c r="G370" s="184"/>
      <c r="H370" s="184"/>
      <c r="I370" s="184"/>
      <c r="J370" s="184"/>
      <c r="K370" s="184"/>
      <c r="L370" s="184"/>
      <c r="M370" s="184"/>
      <c r="N370" s="184"/>
      <c r="O370" s="184"/>
      <c r="P370" s="184"/>
      <c r="Q370" s="184"/>
      <c r="R370" s="184"/>
      <c r="S370" s="186"/>
      <c r="T370" s="184">
        <v>0.0</v>
      </c>
    </row>
    <row r="371">
      <c r="A371" s="184"/>
      <c r="B371" s="184"/>
      <c r="C371" s="184"/>
      <c r="D371" s="184"/>
      <c r="E371" s="184"/>
      <c r="F371" s="184"/>
      <c r="G371" s="184"/>
      <c r="H371" s="184"/>
      <c r="I371" s="184"/>
      <c r="J371" s="184"/>
      <c r="K371" s="184"/>
      <c r="L371" s="184"/>
      <c r="M371" s="184"/>
      <c r="N371" s="184"/>
      <c r="O371" s="184"/>
      <c r="P371" s="184"/>
      <c r="Q371" s="184"/>
      <c r="R371" s="184"/>
      <c r="S371" s="186"/>
      <c r="T371" s="184">
        <v>0.0</v>
      </c>
    </row>
    <row r="372">
      <c r="A372" s="184"/>
      <c r="B372" s="184"/>
      <c r="C372" s="184"/>
      <c r="D372" s="184"/>
      <c r="E372" s="184"/>
      <c r="F372" s="184"/>
      <c r="G372" s="184"/>
      <c r="H372" s="184"/>
      <c r="I372" s="184"/>
      <c r="J372" s="184"/>
      <c r="K372" s="184"/>
      <c r="L372" s="184"/>
      <c r="M372" s="184"/>
      <c r="N372" s="184"/>
      <c r="O372" s="184"/>
      <c r="P372" s="184"/>
      <c r="Q372" s="184"/>
      <c r="R372" s="184"/>
      <c r="S372" s="186"/>
      <c r="T372" s="184">
        <v>0.0</v>
      </c>
    </row>
    <row r="373">
      <c r="A373" s="184"/>
      <c r="B373" s="184"/>
      <c r="C373" s="184"/>
      <c r="D373" s="184"/>
      <c r="E373" s="184"/>
      <c r="F373" s="184"/>
      <c r="G373" s="184"/>
      <c r="H373" s="184"/>
      <c r="I373" s="184"/>
      <c r="J373" s="184"/>
      <c r="K373" s="184"/>
      <c r="L373" s="184"/>
      <c r="M373" s="184"/>
      <c r="N373" s="184"/>
      <c r="O373" s="184"/>
      <c r="P373" s="184"/>
      <c r="Q373" s="184"/>
      <c r="R373" s="184"/>
      <c r="S373" s="186"/>
      <c r="T373" s="184">
        <v>0.0</v>
      </c>
    </row>
    <row r="374">
      <c r="A374" s="184"/>
      <c r="B374" s="184"/>
      <c r="C374" s="184"/>
      <c r="D374" s="184"/>
      <c r="E374" s="184"/>
      <c r="F374" s="184"/>
      <c r="G374" s="184"/>
      <c r="H374" s="184"/>
      <c r="I374" s="184"/>
      <c r="J374" s="184"/>
      <c r="K374" s="184"/>
      <c r="L374" s="184"/>
      <c r="M374" s="184"/>
      <c r="N374" s="184"/>
      <c r="O374" s="184"/>
      <c r="P374" s="184"/>
      <c r="Q374" s="184"/>
      <c r="R374" s="184"/>
      <c r="S374" s="186"/>
      <c r="T374" s="184">
        <v>0.0</v>
      </c>
    </row>
    <row r="375">
      <c r="A375" s="184"/>
      <c r="B375" s="184"/>
      <c r="C375" s="184"/>
      <c r="D375" s="184"/>
      <c r="E375" s="184"/>
      <c r="F375" s="184"/>
      <c r="G375" s="184"/>
      <c r="H375" s="184"/>
      <c r="I375" s="184"/>
      <c r="J375" s="184"/>
      <c r="K375" s="184"/>
      <c r="L375" s="184"/>
      <c r="M375" s="184"/>
      <c r="N375" s="184"/>
      <c r="O375" s="184"/>
      <c r="P375" s="184"/>
      <c r="Q375" s="184"/>
      <c r="R375" s="184"/>
      <c r="S375" s="186"/>
      <c r="T375" s="184">
        <v>0.0</v>
      </c>
    </row>
    <row r="376">
      <c r="A376" s="184"/>
      <c r="B376" s="184"/>
      <c r="C376" s="184"/>
      <c r="D376" s="184"/>
      <c r="E376" s="184"/>
      <c r="F376" s="184"/>
      <c r="G376" s="184"/>
      <c r="H376" s="184"/>
      <c r="I376" s="184"/>
      <c r="J376" s="184"/>
      <c r="K376" s="184"/>
      <c r="L376" s="184"/>
      <c r="M376" s="184"/>
      <c r="N376" s="184"/>
      <c r="O376" s="184"/>
      <c r="P376" s="184"/>
      <c r="Q376" s="184"/>
      <c r="R376" s="184"/>
      <c r="S376" s="186"/>
      <c r="T376" s="184">
        <v>0.0</v>
      </c>
    </row>
    <row r="377">
      <c r="A377" s="184"/>
      <c r="B377" s="184"/>
      <c r="C377" s="184"/>
      <c r="D377" s="184"/>
      <c r="E377" s="184"/>
      <c r="F377" s="184"/>
      <c r="G377" s="184"/>
      <c r="H377" s="184"/>
      <c r="I377" s="184"/>
      <c r="J377" s="184"/>
      <c r="K377" s="184"/>
      <c r="L377" s="184"/>
      <c r="M377" s="184"/>
      <c r="N377" s="184"/>
      <c r="O377" s="184"/>
      <c r="P377" s="184"/>
      <c r="Q377" s="184"/>
      <c r="R377" s="184"/>
      <c r="S377" s="186"/>
      <c r="T377" s="184">
        <v>0.0</v>
      </c>
    </row>
    <row r="378">
      <c r="A378" s="184"/>
      <c r="B378" s="184"/>
      <c r="C378" s="184"/>
      <c r="D378" s="184"/>
      <c r="E378" s="184"/>
      <c r="F378" s="184"/>
      <c r="G378" s="184"/>
      <c r="H378" s="184"/>
      <c r="I378" s="184"/>
      <c r="J378" s="184"/>
      <c r="K378" s="184"/>
      <c r="L378" s="184"/>
      <c r="M378" s="184"/>
      <c r="N378" s="184"/>
      <c r="O378" s="184"/>
      <c r="P378" s="184"/>
      <c r="Q378" s="184"/>
      <c r="R378" s="184"/>
      <c r="S378" s="186"/>
      <c r="T378" s="184">
        <v>0.0</v>
      </c>
    </row>
    <row r="379">
      <c r="A379" s="184"/>
      <c r="B379" s="184"/>
      <c r="C379" s="184"/>
      <c r="D379" s="184"/>
      <c r="E379" s="184"/>
      <c r="F379" s="184"/>
      <c r="G379" s="184"/>
      <c r="H379" s="184"/>
      <c r="I379" s="184"/>
      <c r="J379" s="184"/>
      <c r="K379" s="184"/>
      <c r="L379" s="184"/>
      <c r="M379" s="184"/>
      <c r="N379" s="184"/>
      <c r="O379" s="184"/>
      <c r="P379" s="184"/>
      <c r="Q379" s="184"/>
      <c r="R379" s="184"/>
      <c r="S379" s="186"/>
      <c r="T379" s="184">
        <v>0.0</v>
      </c>
    </row>
    <row r="380">
      <c r="A380" s="184"/>
      <c r="B380" s="184"/>
      <c r="C380" s="184"/>
      <c r="D380" s="184"/>
      <c r="E380" s="184"/>
      <c r="F380" s="184"/>
      <c r="G380" s="184"/>
      <c r="H380" s="184"/>
      <c r="I380" s="184"/>
      <c r="J380" s="184"/>
      <c r="K380" s="184"/>
      <c r="L380" s="184"/>
      <c r="M380" s="184"/>
      <c r="N380" s="184"/>
      <c r="O380" s="184"/>
      <c r="P380" s="184"/>
      <c r="Q380" s="184"/>
      <c r="R380" s="184"/>
      <c r="S380" s="186"/>
      <c r="T380" s="184">
        <v>0.0</v>
      </c>
    </row>
    <row r="381">
      <c r="A381" s="184"/>
      <c r="B381" s="184"/>
      <c r="C381" s="184"/>
      <c r="D381" s="184"/>
      <c r="E381" s="184"/>
      <c r="F381" s="184"/>
      <c r="G381" s="184"/>
      <c r="H381" s="184"/>
      <c r="I381" s="184"/>
      <c r="J381" s="184"/>
      <c r="K381" s="184"/>
      <c r="L381" s="184"/>
      <c r="M381" s="184"/>
      <c r="N381" s="184"/>
      <c r="O381" s="184"/>
      <c r="P381" s="184"/>
      <c r="Q381" s="184"/>
      <c r="R381" s="184"/>
      <c r="S381" s="186"/>
      <c r="T381" s="184">
        <v>0.0</v>
      </c>
    </row>
    <row r="382">
      <c r="A382" s="184"/>
      <c r="B382" s="184"/>
      <c r="C382" s="184"/>
      <c r="D382" s="184"/>
      <c r="E382" s="184"/>
      <c r="F382" s="184"/>
      <c r="G382" s="184"/>
      <c r="H382" s="184"/>
      <c r="I382" s="184"/>
      <c r="J382" s="184"/>
      <c r="K382" s="184"/>
      <c r="L382" s="184"/>
      <c r="M382" s="184"/>
      <c r="N382" s="184"/>
      <c r="O382" s="184"/>
      <c r="P382" s="184"/>
      <c r="Q382" s="184"/>
      <c r="R382" s="184"/>
      <c r="S382" s="186"/>
      <c r="T382" s="184">
        <v>0.0</v>
      </c>
    </row>
    <row r="383">
      <c r="A383" s="184"/>
      <c r="B383" s="184"/>
      <c r="C383" s="184"/>
      <c r="D383" s="184"/>
      <c r="E383" s="184"/>
      <c r="F383" s="184"/>
      <c r="G383" s="184"/>
      <c r="H383" s="184"/>
      <c r="I383" s="184"/>
      <c r="J383" s="184"/>
      <c r="K383" s="184"/>
      <c r="L383" s="184"/>
      <c r="M383" s="184"/>
      <c r="N383" s="184"/>
      <c r="O383" s="184"/>
      <c r="P383" s="184"/>
      <c r="Q383" s="184"/>
      <c r="R383" s="184"/>
      <c r="S383" s="186"/>
      <c r="T383" s="184">
        <v>0.0</v>
      </c>
    </row>
    <row r="384">
      <c r="A384" s="184"/>
      <c r="B384" s="184"/>
      <c r="C384" s="184"/>
      <c r="D384" s="184"/>
      <c r="E384" s="184"/>
      <c r="F384" s="184"/>
      <c r="G384" s="184"/>
      <c r="H384" s="184"/>
      <c r="I384" s="184"/>
      <c r="J384" s="184"/>
      <c r="K384" s="184"/>
      <c r="L384" s="184"/>
      <c r="M384" s="184"/>
      <c r="N384" s="184"/>
      <c r="O384" s="184"/>
      <c r="P384" s="184"/>
      <c r="Q384" s="184"/>
      <c r="R384" s="184"/>
      <c r="S384" s="186"/>
      <c r="T384" s="184">
        <v>0.0</v>
      </c>
    </row>
    <row r="385">
      <c r="A385" s="184"/>
      <c r="B385" s="184"/>
      <c r="C385" s="184"/>
      <c r="D385" s="184"/>
      <c r="E385" s="184"/>
      <c r="F385" s="184"/>
      <c r="G385" s="184"/>
      <c r="H385" s="184"/>
      <c r="I385" s="184"/>
      <c r="J385" s="184"/>
      <c r="K385" s="184"/>
      <c r="L385" s="184"/>
      <c r="M385" s="184"/>
      <c r="N385" s="184"/>
      <c r="O385" s="184"/>
      <c r="P385" s="184"/>
      <c r="Q385" s="184"/>
      <c r="R385" s="184"/>
      <c r="S385" s="186"/>
      <c r="T385" s="184">
        <v>0.0</v>
      </c>
    </row>
    <row r="386">
      <c r="A386" s="184"/>
      <c r="B386" s="184"/>
      <c r="C386" s="184"/>
      <c r="D386" s="184"/>
      <c r="E386" s="184"/>
      <c r="F386" s="184"/>
      <c r="G386" s="184"/>
      <c r="H386" s="184"/>
      <c r="I386" s="184"/>
      <c r="J386" s="184"/>
      <c r="K386" s="184"/>
      <c r="L386" s="184"/>
      <c r="M386" s="184"/>
      <c r="N386" s="184"/>
      <c r="O386" s="184"/>
      <c r="P386" s="184"/>
      <c r="Q386" s="184"/>
      <c r="R386" s="184"/>
      <c r="S386" s="186"/>
      <c r="T386" s="184">
        <v>0.0</v>
      </c>
    </row>
    <row r="387">
      <c r="A387" s="184"/>
      <c r="B387" s="184"/>
      <c r="C387" s="184"/>
      <c r="D387" s="184"/>
      <c r="E387" s="184"/>
      <c r="F387" s="184"/>
      <c r="G387" s="184"/>
      <c r="H387" s="184"/>
      <c r="I387" s="184"/>
      <c r="J387" s="184"/>
      <c r="K387" s="184"/>
      <c r="L387" s="184"/>
      <c r="M387" s="184"/>
      <c r="N387" s="184"/>
      <c r="O387" s="184"/>
      <c r="P387" s="184"/>
      <c r="Q387" s="184"/>
      <c r="R387" s="184"/>
      <c r="S387" s="186"/>
      <c r="T387" s="184">
        <v>0.0</v>
      </c>
    </row>
    <row r="388">
      <c r="A388" s="184"/>
      <c r="B388" s="184"/>
      <c r="C388" s="184"/>
      <c r="D388" s="184"/>
      <c r="E388" s="184"/>
      <c r="F388" s="184"/>
      <c r="G388" s="184"/>
      <c r="H388" s="184"/>
      <c r="I388" s="184"/>
      <c r="J388" s="184"/>
      <c r="K388" s="184"/>
      <c r="L388" s="184"/>
      <c r="M388" s="184"/>
      <c r="N388" s="184"/>
      <c r="O388" s="184"/>
      <c r="P388" s="184"/>
      <c r="Q388" s="184"/>
      <c r="R388" s="184"/>
      <c r="S388" s="186"/>
      <c r="T388" s="184">
        <v>0.0</v>
      </c>
    </row>
    <row r="389">
      <c r="A389" s="184"/>
      <c r="B389" s="184"/>
      <c r="C389" s="184"/>
      <c r="D389" s="184"/>
      <c r="E389" s="184"/>
      <c r="F389" s="184"/>
      <c r="G389" s="184"/>
      <c r="H389" s="184"/>
      <c r="I389" s="184"/>
      <c r="J389" s="184"/>
      <c r="K389" s="184"/>
      <c r="L389" s="184"/>
      <c r="M389" s="184"/>
      <c r="N389" s="184"/>
      <c r="O389" s="184"/>
      <c r="P389" s="184"/>
      <c r="Q389" s="184"/>
      <c r="R389" s="184"/>
      <c r="S389" s="186"/>
      <c r="T389" s="184">
        <v>0.0</v>
      </c>
    </row>
    <row r="390">
      <c r="A390" s="184"/>
      <c r="B390" s="184"/>
      <c r="C390" s="184"/>
      <c r="D390" s="184"/>
      <c r="E390" s="184"/>
      <c r="F390" s="184"/>
      <c r="G390" s="184"/>
      <c r="H390" s="184"/>
      <c r="I390" s="184"/>
      <c r="J390" s="184"/>
      <c r="K390" s="184"/>
      <c r="L390" s="184"/>
      <c r="M390" s="184"/>
      <c r="N390" s="184"/>
      <c r="O390" s="184"/>
      <c r="P390" s="184"/>
      <c r="Q390" s="184"/>
      <c r="R390" s="184"/>
      <c r="S390" s="186"/>
      <c r="T390" s="184">
        <v>0.0</v>
      </c>
    </row>
    <row r="391">
      <c r="A391" s="184"/>
      <c r="B391" s="184"/>
      <c r="C391" s="184"/>
      <c r="D391" s="184"/>
      <c r="E391" s="184"/>
      <c r="F391" s="184"/>
      <c r="G391" s="184"/>
      <c r="H391" s="184"/>
      <c r="I391" s="184"/>
      <c r="J391" s="184"/>
      <c r="K391" s="184"/>
      <c r="L391" s="184"/>
      <c r="M391" s="184"/>
      <c r="N391" s="184"/>
      <c r="O391" s="184"/>
      <c r="P391" s="184"/>
      <c r="Q391" s="184"/>
      <c r="R391" s="184"/>
      <c r="S391" s="186"/>
      <c r="T391" s="184">
        <v>0.0</v>
      </c>
    </row>
    <row r="392">
      <c r="A392" s="184"/>
      <c r="B392" s="184"/>
      <c r="C392" s="184"/>
      <c r="D392" s="184"/>
      <c r="E392" s="184"/>
      <c r="F392" s="184"/>
      <c r="G392" s="184"/>
      <c r="H392" s="184"/>
      <c r="I392" s="184"/>
      <c r="J392" s="184"/>
      <c r="K392" s="184"/>
      <c r="L392" s="184"/>
      <c r="M392" s="184"/>
      <c r="N392" s="184"/>
      <c r="O392" s="184"/>
      <c r="P392" s="184"/>
      <c r="Q392" s="184"/>
      <c r="R392" s="184"/>
      <c r="S392" s="186"/>
      <c r="T392" s="184">
        <v>0.0</v>
      </c>
    </row>
    <row r="393">
      <c r="A393" s="184"/>
      <c r="B393" s="184"/>
      <c r="C393" s="184"/>
      <c r="D393" s="184"/>
      <c r="E393" s="184"/>
      <c r="F393" s="184"/>
      <c r="G393" s="184"/>
      <c r="H393" s="184"/>
      <c r="I393" s="184"/>
      <c r="J393" s="184"/>
      <c r="K393" s="184"/>
      <c r="L393" s="184"/>
      <c r="M393" s="184"/>
      <c r="N393" s="184"/>
      <c r="O393" s="184"/>
      <c r="P393" s="184"/>
      <c r="Q393" s="184"/>
      <c r="R393" s="184"/>
      <c r="S393" s="186"/>
      <c r="T393" s="184">
        <v>0.0</v>
      </c>
    </row>
    <row r="394">
      <c r="A394" s="184"/>
      <c r="B394" s="184"/>
      <c r="C394" s="184"/>
      <c r="D394" s="184"/>
      <c r="E394" s="184"/>
      <c r="F394" s="184"/>
      <c r="G394" s="184"/>
      <c r="H394" s="184"/>
      <c r="I394" s="184"/>
      <c r="J394" s="184"/>
      <c r="K394" s="184"/>
      <c r="L394" s="184"/>
      <c r="M394" s="184"/>
      <c r="N394" s="184"/>
      <c r="O394" s="184"/>
      <c r="P394" s="184"/>
      <c r="Q394" s="184"/>
      <c r="R394" s="184"/>
      <c r="S394" s="186"/>
      <c r="T394" s="184">
        <v>0.0</v>
      </c>
    </row>
    <row r="395">
      <c r="A395" s="184"/>
      <c r="B395" s="184"/>
      <c r="C395" s="184"/>
      <c r="D395" s="184"/>
      <c r="E395" s="184"/>
      <c r="F395" s="184"/>
      <c r="G395" s="184"/>
      <c r="H395" s="184"/>
      <c r="I395" s="184"/>
      <c r="J395" s="184"/>
      <c r="K395" s="184"/>
      <c r="L395" s="184"/>
      <c r="M395" s="184"/>
      <c r="N395" s="184"/>
      <c r="O395" s="184"/>
      <c r="P395" s="184"/>
      <c r="Q395" s="184"/>
      <c r="R395" s="184"/>
      <c r="S395" s="186"/>
      <c r="T395" s="184">
        <v>0.0</v>
      </c>
    </row>
    <row r="396">
      <c r="A396" s="184"/>
      <c r="B396" s="184"/>
      <c r="C396" s="184"/>
      <c r="D396" s="184"/>
      <c r="E396" s="184"/>
      <c r="F396" s="184"/>
      <c r="G396" s="184"/>
      <c r="H396" s="184"/>
      <c r="I396" s="184"/>
      <c r="J396" s="184"/>
      <c r="K396" s="184"/>
      <c r="L396" s="184"/>
      <c r="M396" s="184"/>
      <c r="N396" s="184"/>
      <c r="O396" s="184"/>
      <c r="P396" s="184"/>
      <c r="Q396" s="184"/>
      <c r="R396" s="184"/>
      <c r="S396" s="186"/>
      <c r="T396" s="184">
        <v>0.0</v>
      </c>
    </row>
    <row r="397">
      <c r="A397" s="184"/>
      <c r="B397" s="184"/>
      <c r="C397" s="184"/>
      <c r="D397" s="184"/>
      <c r="E397" s="184"/>
      <c r="F397" s="184"/>
      <c r="G397" s="184"/>
      <c r="H397" s="184"/>
      <c r="I397" s="184"/>
      <c r="J397" s="184"/>
      <c r="K397" s="184"/>
      <c r="L397" s="184"/>
      <c r="M397" s="184"/>
      <c r="N397" s="184"/>
      <c r="O397" s="184"/>
      <c r="P397" s="184"/>
      <c r="Q397" s="184"/>
      <c r="R397" s="184"/>
      <c r="S397" s="186"/>
      <c r="T397" s="184">
        <v>0.0</v>
      </c>
    </row>
    <row r="398">
      <c r="A398" s="184"/>
      <c r="B398" s="184"/>
      <c r="C398" s="184"/>
      <c r="D398" s="184"/>
      <c r="E398" s="184"/>
      <c r="F398" s="184"/>
      <c r="G398" s="184"/>
      <c r="H398" s="184"/>
      <c r="I398" s="184"/>
      <c r="J398" s="184"/>
      <c r="K398" s="184"/>
      <c r="L398" s="184"/>
      <c r="M398" s="184"/>
      <c r="N398" s="184"/>
      <c r="O398" s="184"/>
      <c r="P398" s="184"/>
      <c r="Q398" s="184"/>
      <c r="R398" s="184"/>
      <c r="S398" s="186"/>
      <c r="T398" s="184">
        <v>0.0</v>
      </c>
    </row>
    <row r="399">
      <c r="A399" s="184"/>
      <c r="B399" s="184"/>
      <c r="C399" s="184"/>
      <c r="D399" s="184"/>
      <c r="E399" s="184"/>
      <c r="F399" s="184"/>
      <c r="G399" s="184"/>
      <c r="H399" s="184"/>
      <c r="I399" s="184"/>
      <c r="J399" s="184"/>
      <c r="K399" s="184"/>
      <c r="L399" s="184"/>
      <c r="M399" s="184"/>
      <c r="N399" s="184"/>
      <c r="O399" s="184"/>
      <c r="P399" s="184"/>
      <c r="Q399" s="184"/>
      <c r="R399" s="184"/>
      <c r="S399" s="186"/>
      <c r="T399" s="184">
        <v>0.0</v>
      </c>
    </row>
    <row r="400">
      <c r="A400" s="184"/>
      <c r="B400" s="184"/>
      <c r="C400" s="184"/>
      <c r="D400" s="184"/>
      <c r="E400" s="184"/>
      <c r="F400" s="184"/>
      <c r="G400" s="184"/>
      <c r="H400" s="184"/>
      <c r="I400" s="184"/>
      <c r="J400" s="184"/>
      <c r="K400" s="184"/>
      <c r="L400" s="184"/>
      <c r="M400" s="184"/>
      <c r="N400" s="184"/>
      <c r="O400" s="184"/>
      <c r="P400" s="184"/>
      <c r="Q400" s="184"/>
      <c r="R400" s="184"/>
      <c r="S400" s="186"/>
      <c r="T400" s="184">
        <v>0.0</v>
      </c>
    </row>
    <row r="401">
      <c r="A401" s="184"/>
      <c r="B401" s="184"/>
      <c r="C401" s="184"/>
      <c r="D401" s="184"/>
      <c r="E401" s="184"/>
      <c r="F401" s="184"/>
      <c r="G401" s="184"/>
      <c r="H401" s="184"/>
      <c r="I401" s="184"/>
      <c r="J401" s="184"/>
      <c r="K401" s="184"/>
      <c r="L401" s="184"/>
      <c r="M401" s="184"/>
      <c r="N401" s="184"/>
      <c r="O401" s="184"/>
      <c r="P401" s="184"/>
      <c r="Q401" s="184"/>
      <c r="R401" s="184"/>
      <c r="S401" s="186"/>
      <c r="T401" s="184">
        <v>0.0</v>
      </c>
    </row>
    <row r="402">
      <c r="A402" s="184"/>
      <c r="B402" s="184"/>
      <c r="C402" s="184"/>
      <c r="D402" s="184"/>
      <c r="E402" s="184"/>
      <c r="F402" s="184"/>
      <c r="G402" s="184"/>
      <c r="H402" s="184"/>
      <c r="I402" s="184"/>
      <c r="J402" s="184"/>
      <c r="K402" s="184"/>
      <c r="L402" s="184"/>
      <c r="M402" s="184"/>
      <c r="N402" s="184"/>
      <c r="O402" s="184"/>
      <c r="P402" s="184"/>
      <c r="Q402" s="184"/>
      <c r="R402" s="184"/>
      <c r="S402" s="186"/>
      <c r="T402" s="184">
        <v>0.0</v>
      </c>
    </row>
    <row r="403">
      <c r="A403" s="184"/>
      <c r="B403" s="184"/>
      <c r="C403" s="184"/>
      <c r="D403" s="184"/>
      <c r="E403" s="184"/>
      <c r="F403" s="184"/>
      <c r="G403" s="184"/>
      <c r="H403" s="184"/>
      <c r="I403" s="184"/>
      <c r="J403" s="184"/>
      <c r="K403" s="184"/>
      <c r="L403" s="184"/>
      <c r="M403" s="184"/>
      <c r="N403" s="184"/>
      <c r="O403" s="184"/>
      <c r="P403" s="184"/>
      <c r="Q403" s="184"/>
      <c r="R403" s="184"/>
      <c r="S403" s="186"/>
      <c r="T403" s="184">
        <v>0.0</v>
      </c>
    </row>
    <row r="404">
      <c r="A404" s="184"/>
      <c r="B404" s="184"/>
      <c r="C404" s="184"/>
      <c r="D404" s="184"/>
      <c r="E404" s="184"/>
      <c r="F404" s="184"/>
      <c r="G404" s="184"/>
      <c r="H404" s="184"/>
      <c r="I404" s="184"/>
      <c r="J404" s="184"/>
      <c r="K404" s="184"/>
      <c r="L404" s="184"/>
      <c r="M404" s="184"/>
      <c r="N404" s="184"/>
      <c r="O404" s="184"/>
      <c r="P404" s="184"/>
      <c r="Q404" s="184"/>
      <c r="R404" s="184"/>
      <c r="S404" s="186"/>
      <c r="T404" s="184">
        <v>0.0</v>
      </c>
    </row>
    <row r="405">
      <c r="A405" s="184"/>
      <c r="B405" s="184"/>
      <c r="C405" s="184"/>
      <c r="D405" s="184"/>
      <c r="E405" s="184"/>
      <c r="F405" s="184"/>
      <c r="G405" s="184"/>
      <c r="H405" s="184"/>
      <c r="I405" s="184"/>
      <c r="J405" s="184"/>
      <c r="K405" s="184"/>
      <c r="L405" s="184"/>
      <c r="M405" s="184"/>
      <c r="N405" s="184"/>
      <c r="O405" s="184"/>
      <c r="P405" s="184"/>
      <c r="Q405" s="184"/>
      <c r="R405" s="184"/>
      <c r="S405" s="186"/>
      <c r="T405" s="184">
        <v>0.0</v>
      </c>
    </row>
    <row r="406">
      <c r="A406" s="184"/>
      <c r="B406" s="184"/>
      <c r="C406" s="184"/>
      <c r="D406" s="184"/>
      <c r="E406" s="184"/>
      <c r="F406" s="184"/>
      <c r="G406" s="184"/>
      <c r="H406" s="184"/>
      <c r="I406" s="184"/>
      <c r="J406" s="184"/>
      <c r="K406" s="184"/>
      <c r="L406" s="184"/>
      <c r="M406" s="184"/>
      <c r="N406" s="184"/>
      <c r="O406" s="184"/>
      <c r="P406" s="184"/>
      <c r="Q406" s="184"/>
      <c r="R406" s="184"/>
      <c r="S406" s="186"/>
      <c r="T406" s="184">
        <v>0.0</v>
      </c>
    </row>
    <row r="407">
      <c r="A407" s="184"/>
      <c r="B407" s="184"/>
      <c r="C407" s="184"/>
      <c r="D407" s="184"/>
      <c r="E407" s="184"/>
      <c r="F407" s="184"/>
      <c r="G407" s="184"/>
      <c r="H407" s="184"/>
      <c r="I407" s="184"/>
      <c r="J407" s="184"/>
      <c r="K407" s="184"/>
      <c r="L407" s="184"/>
      <c r="M407" s="184"/>
      <c r="N407" s="184"/>
      <c r="O407" s="184"/>
      <c r="P407" s="184"/>
      <c r="Q407" s="184"/>
      <c r="R407" s="184"/>
      <c r="S407" s="186"/>
      <c r="T407" s="184">
        <v>0.0</v>
      </c>
    </row>
    <row r="408">
      <c r="A408" s="184"/>
      <c r="B408" s="184"/>
      <c r="C408" s="184"/>
      <c r="D408" s="184"/>
      <c r="E408" s="184"/>
      <c r="F408" s="184"/>
      <c r="G408" s="184"/>
      <c r="H408" s="184"/>
      <c r="I408" s="184"/>
      <c r="J408" s="184"/>
      <c r="K408" s="184"/>
      <c r="L408" s="184"/>
      <c r="M408" s="184"/>
      <c r="N408" s="184"/>
      <c r="O408" s="184"/>
      <c r="P408" s="184"/>
      <c r="Q408" s="184"/>
      <c r="R408" s="184"/>
      <c r="S408" s="186"/>
      <c r="T408" s="184">
        <v>0.0</v>
      </c>
    </row>
    <row r="409">
      <c r="A409" s="184"/>
      <c r="B409" s="184"/>
      <c r="C409" s="184"/>
      <c r="D409" s="184"/>
      <c r="E409" s="184"/>
      <c r="F409" s="184"/>
      <c r="G409" s="184"/>
      <c r="H409" s="184"/>
      <c r="I409" s="184"/>
      <c r="J409" s="184"/>
      <c r="K409" s="184"/>
      <c r="L409" s="184"/>
      <c r="M409" s="184"/>
      <c r="N409" s="184"/>
      <c r="O409" s="184"/>
      <c r="P409" s="184"/>
      <c r="Q409" s="184"/>
      <c r="R409" s="184"/>
      <c r="S409" s="186"/>
      <c r="T409" s="184">
        <v>0.0</v>
      </c>
    </row>
    <row r="410">
      <c r="A410" s="184"/>
      <c r="B410" s="184"/>
      <c r="C410" s="184"/>
      <c r="D410" s="184"/>
      <c r="E410" s="184"/>
      <c r="F410" s="184"/>
      <c r="G410" s="184"/>
      <c r="H410" s="184"/>
      <c r="I410" s="184"/>
      <c r="J410" s="184"/>
      <c r="K410" s="184"/>
      <c r="L410" s="184"/>
      <c r="M410" s="184"/>
      <c r="N410" s="184"/>
      <c r="O410" s="184"/>
      <c r="P410" s="184"/>
      <c r="Q410" s="184"/>
      <c r="R410" s="184"/>
      <c r="S410" s="186"/>
      <c r="T410" s="184">
        <v>0.0</v>
      </c>
    </row>
    <row r="411">
      <c r="A411" s="184"/>
      <c r="B411" s="184"/>
      <c r="C411" s="184"/>
      <c r="D411" s="184"/>
      <c r="E411" s="184"/>
      <c r="F411" s="184"/>
      <c r="G411" s="184"/>
      <c r="H411" s="184"/>
      <c r="I411" s="184"/>
      <c r="J411" s="184"/>
      <c r="K411" s="184"/>
      <c r="L411" s="184"/>
      <c r="M411" s="184"/>
      <c r="N411" s="184"/>
      <c r="O411" s="184"/>
      <c r="P411" s="184"/>
      <c r="Q411" s="184"/>
      <c r="R411" s="184"/>
      <c r="S411" s="186"/>
      <c r="T411" s="184">
        <v>0.0</v>
      </c>
    </row>
    <row r="412">
      <c r="A412" s="184"/>
      <c r="B412" s="184"/>
      <c r="C412" s="184"/>
      <c r="D412" s="184"/>
      <c r="E412" s="184"/>
      <c r="F412" s="184"/>
      <c r="G412" s="184"/>
      <c r="H412" s="184"/>
      <c r="I412" s="184"/>
      <c r="J412" s="184"/>
      <c r="K412" s="184"/>
      <c r="L412" s="184"/>
      <c r="M412" s="184"/>
      <c r="N412" s="184"/>
      <c r="O412" s="184"/>
      <c r="P412" s="184"/>
      <c r="Q412" s="184"/>
      <c r="R412" s="184"/>
      <c r="S412" s="186"/>
      <c r="T412" s="184">
        <v>0.0</v>
      </c>
    </row>
    <row r="413">
      <c r="A413" s="184"/>
      <c r="B413" s="184"/>
      <c r="C413" s="184"/>
      <c r="D413" s="184"/>
      <c r="E413" s="184"/>
      <c r="F413" s="184"/>
      <c r="G413" s="184"/>
      <c r="H413" s="184"/>
      <c r="I413" s="184"/>
      <c r="J413" s="184"/>
      <c r="K413" s="184"/>
      <c r="L413" s="184"/>
      <c r="M413" s="184"/>
      <c r="N413" s="184"/>
      <c r="O413" s="184"/>
      <c r="P413" s="184"/>
      <c r="Q413" s="184"/>
      <c r="R413" s="184"/>
      <c r="S413" s="186"/>
      <c r="T413" s="184">
        <v>0.0</v>
      </c>
    </row>
    <row r="414">
      <c r="A414" s="184"/>
      <c r="B414" s="184"/>
      <c r="C414" s="184"/>
      <c r="D414" s="184"/>
      <c r="E414" s="184"/>
      <c r="F414" s="184"/>
      <c r="G414" s="184"/>
      <c r="H414" s="184"/>
      <c r="I414" s="184"/>
      <c r="J414" s="184"/>
      <c r="K414" s="184"/>
      <c r="L414" s="184"/>
      <c r="M414" s="184"/>
      <c r="N414" s="184"/>
      <c r="O414" s="184"/>
      <c r="P414" s="184"/>
      <c r="Q414" s="184"/>
      <c r="R414" s="184"/>
      <c r="S414" s="186"/>
      <c r="T414" s="184">
        <v>0.0</v>
      </c>
    </row>
    <row r="415">
      <c r="A415" s="184"/>
      <c r="B415" s="184"/>
      <c r="C415" s="184"/>
      <c r="D415" s="184"/>
      <c r="E415" s="184"/>
      <c r="F415" s="184"/>
      <c r="G415" s="184"/>
      <c r="H415" s="184"/>
      <c r="I415" s="184"/>
      <c r="J415" s="184"/>
      <c r="K415" s="184"/>
      <c r="L415" s="184"/>
      <c r="M415" s="184"/>
      <c r="N415" s="184"/>
      <c r="O415" s="184"/>
      <c r="P415" s="184"/>
      <c r="Q415" s="184"/>
      <c r="R415" s="184"/>
      <c r="S415" s="186"/>
      <c r="T415" s="184">
        <v>0.0</v>
      </c>
    </row>
    <row r="416">
      <c r="A416" s="184"/>
      <c r="B416" s="184"/>
      <c r="C416" s="184"/>
      <c r="D416" s="184"/>
      <c r="E416" s="184"/>
      <c r="F416" s="184"/>
      <c r="G416" s="184"/>
      <c r="H416" s="184"/>
      <c r="I416" s="184"/>
      <c r="J416" s="184"/>
      <c r="K416" s="184"/>
      <c r="L416" s="184"/>
      <c r="M416" s="184"/>
      <c r="N416" s="184"/>
      <c r="O416" s="184"/>
      <c r="P416" s="184"/>
      <c r="Q416" s="184"/>
      <c r="R416" s="184"/>
      <c r="S416" s="186"/>
      <c r="T416" s="184">
        <v>0.0</v>
      </c>
    </row>
    <row r="417">
      <c r="A417" s="184"/>
      <c r="B417" s="184"/>
      <c r="C417" s="184"/>
      <c r="D417" s="184"/>
      <c r="E417" s="184"/>
      <c r="F417" s="184"/>
      <c r="G417" s="184"/>
      <c r="H417" s="184"/>
      <c r="I417" s="184"/>
      <c r="J417" s="184"/>
      <c r="K417" s="184"/>
      <c r="L417" s="184"/>
      <c r="M417" s="184"/>
      <c r="N417" s="184"/>
      <c r="O417" s="184"/>
      <c r="P417" s="184"/>
      <c r="Q417" s="184"/>
      <c r="R417" s="184"/>
      <c r="S417" s="186"/>
      <c r="T417" s="184">
        <v>0.0</v>
      </c>
    </row>
    <row r="418">
      <c r="A418" s="184"/>
      <c r="B418" s="184"/>
      <c r="C418" s="184"/>
      <c r="D418" s="184"/>
      <c r="E418" s="184"/>
      <c r="F418" s="184"/>
      <c r="G418" s="184"/>
      <c r="H418" s="184"/>
      <c r="I418" s="184"/>
      <c r="J418" s="184"/>
      <c r="K418" s="184"/>
      <c r="L418" s="184"/>
      <c r="M418" s="184"/>
      <c r="N418" s="184"/>
      <c r="O418" s="184"/>
      <c r="P418" s="184"/>
      <c r="Q418" s="184"/>
      <c r="R418" s="184"/>
      <c r="S418" s="186"/>
      <c r="T418" s="184">
        <v>0.0</v>
      </c>
    </row>
    <row r="419">
      <c r="A419" s="184"/>
      <c r="B419" s="184"/>
      <c r="C419" s="184"/>
      <c r="D419" s="184"/>
      <c r="E419" s="184"/>
      <c r="F419" s="184"/>
      <c r="G419" s="184"/>
      <c r="H419" s="184"/>
      <c r="I419" s="184"/>
      <c r="J419" s="184"/>
      <c r="K419" s="184"/>
      <c r="L419" s="184"/>
      <c r="M419" s="184"/>
      <c r="N419" s="184"/>
      <c r="O419" s="184"/>
      <c r="P419" s="184"/>
      <c r="Q419" s="184"/>
      <c r="R419" s="184"/>
      <c r="S419" s="186"/>
      <c r="T419" s="184">
        <v>0.0</v>
      </c>
    </row>
    <row r="420">
      <c r="A420" s="184"/>
      <c r="B420" s="184"/>
      <c r="C420" s="184"/>
      <c r="D420" s="184"/>
      <c r="E420" s="184"/>
      <c r="F420" s="184"/>
      <c r="G420" s="184"/>
      <c r="H420" s="184"/>
      <c r="I420" s="184"/>
      <c r="J420" s="184"/>
      <c r="K420" s="184"/>
      <c r="L420" s="184"/>
      <c r="M420" s="184"/>
      <c r="N420" s="184"/>
      <c r="O420" s="184"/>
      <c r="P420" s="184"/>
      <c r="Q420" s="184"/>
      <c r="R420" s="184"/>
      <c r="S420" s="186"/>
      <c r="T420" s="184">
        <v>0.0</v>
      </c>
    </row>
    <row r="421">
      <c r="A421" s="184"/>
      <c r="B421" s="184"/>
      <c r="C421" s="184"/>
      <c r="D421" s="184"/>
      <c r="E421" s="184"/>
      <c r="F421" s="184"/>
      <c r="G421" s="184"/>
      <c r="H421" s="184"/>
      <c r="I421" s="184"/>
      <c r="J421" s="184"/>
      <c r="K421" s="184"/>
      <c r="L421" s="184"/>
      <c r="M421" s="184"/>
      <c r="N421" s="184"/>
      <c r="O421" s="184"/>
      <c r="P421" s="184"/>
      <c r="Q421" s="184"/>
      <c r="R421" s="184"/>
      <c r="S421" s="186"/>
      <c r="T421" s="184">
        <v>0.0</v>
      </c>
    </row>
    <row r="422">
      <c r="A422" s="184"/>
      <c r="B422" s="184"/>
      <c r="C422" s="184"/>
      <c r="D422" s="184"/>
      <c r="E422" s="184"/>
      <c r="F422" s="184"/>
      <c r="G422" s="184"/>
      <c r="H422" s="184"/>
      <c r="I422" s="184"/>
      <c r="J422" s="184"/>
      <c r="K422" s="184"/>
      <c r="L422" s="184"/>
      <c r="M422" s="184"/>
      <c r="N422" s="184"/>
      <c r="O422" s="184"/>
      <c r="P422" s="184"/>
      <c r="Q422" s="184"/>
      <c r="R422" s="184"/>
      <c r="S422" s="186"/>
      <c r="T422" s="184">
        <v>0.0</v>
      </c>
    </row>
    <row r="423">
      <c r="A423" s="184"/>
      <c r="B423" s="184"/>
      <c r="C423" s="184"/>
      <c r="D423" s="184"/>
      <c r="E423" s="184"/>
      <c r="F423" s="184"/>
      <c r="G423" s="184"/>
      <c r="H423" s="184"/>
      <c r="I423" s="184"/>
      <c r="J423" s="184"/>
      <c r="K423" s="184"/>
      <c r="L423" s="184"/>
      <c r="M423" s="184"/>
      <c r="N423" s="184"/>
      <c r="O423" s="184"/>
      <c r="P423" s="184"/>
      <c r="Q423" s="184"/>
      <c r="R423" s="184"/>
      <c r="S423" s="186"/>
      <c r="T423" s="184">
        <v>0.0</v>
      </c>
    </row>
    <row r="424">
      <c r="A424" s="184"/>
      <c r="B424" s="184"/>
      <c r="C424" s="184"/>
      <c r="D424" s="184"/>
      <c r="E424" s="184"/>
      <c r="F424" s="184"/>
      <c r="G424" s="184"/>
      <c r="H424" s="184"/>
      <c r="I424" s="184"/>
      <c r="J424" s="184"/>
      <c r="K424" s="184"/>
      <c r="L424" s="184"/>
      <c r="M424" s="184"/>
      <c r="N424" s="184"/>
      <c r="O424" s="184"/>
      <c r="P424" s="184"/>
      <c r="Q424" s="184"/>
      <c r="R424" s="184"/>
      <c r="S424" s="186"/>
      <c r="T424" s="184">
        <v>0.0</v>
      </c>
    </row>
    <row r="425">
      <c r="A425" s="184"/>
      <c r="B425" s="184"/>
      <c r="C425" s="184"/>
      <c r="D425" s="184"/>
      <c r="E425" s="184"/>
      <c r="F425" s="184"/>
      <c r="G425" s="184"/>
      <c r="H425" s="184"/>
      <c r="I425" s="184"/>
      <c r="J425" s="184"/>
      <c r="K425" s="184"/>
      <c r="L425" s="184"/>
      <c r="M425" s="184"/>
      <c r="N425" s="184"/>
      <c r="O425" s="184"/>
      <c r="P425" s="184"/>
      <c r="Q425" s="184"/>
      <c r="R425" s="184"/>
      <c r="S425" s="186"/>
      <c r="T425" s="184">
        <v>0.0</v>
      </c>
    </row>
    <row r="426">
      <c r="A426" s="184"/>
      <c r="B426" s="184"/>
      <c r="C426" s="184"/>
      <c r="D426" s="184"/>
      <c r="E426" s="184"/>
      <c r="F426" s="184"/>
      <c r="G426" s="184"/>
      <c r="H426" s="184"/>
      <c r="I426" s="184"/>
      <c r="J426" s="184"/>
      <c r="K426" s="184"/>
      <c r="L426" s="184"/>
      <c r="M426" s="184"/>
      <c r="N426" s="184"/>
      <c r="O426" s="184"/>
      <c r="P426" s="184"/>
      <c r="Q426" s="184"/>
      <c r="R426" s="184"/>
      <c r="S426" s="186"/>
      <c r="T426" s="184">
        <v>0.0</v>
      </c>
    </row>
    <row r="427">
      <c r="A427" s="184"/>
      <c r="B427" s="184"/>
      <c r="C427" s="184"/>
      <c r="D427" s="184"/>
      <c r="E427" s="184"/>
      <c r="F427" s="184"/>
      <c r="G427" s="184"/>
      <c r="H427" s="184"/>
      <c r="I427" s="184"/>
      <c r="J427" s="184"/>
      <c r="K427" s="184"/>
      <c r="L427" s="184"/>
      <c r="M427" s="184"/>
      <c r="N427" s="184"/>
      <c r="O427" s="184"/>
      <c r="P427" s="184"/>
      <c r="Q427" s="184"/>
      <c r="R427" s="184"/>
      <c r="S427" s="186"/>
      <c r="T427" s="184">
        <v>0.0</v>
      </c>
    </row>
    <row r="428">
      <c r="A428" s="184"/>
      <c r="B428" s="184"/>
      <c r="C428" s="184"/>
      <c r="D428" s="184"/>
      <c r="E428" s="184"/>
      <c r="F428" s="184"/>
      <c r="G428" s="184"/>
      <c r="H428" s="184"/>
      <c r="I428" s="184"/>
      <c r="J428" s="184"/>
      <c r="K428" s="184"/>
      <c r="L428" s="184"/>
      <c r="M428" s="184"/>
      <c r="N428" s="184"/>
      <c r="O428" s="184"/>
      <c r="P428" s="184"/>
      <c r="Q428" s="184"/>
      <c r="R428" s="184"/>
      <c r="S428" s="186"/>
      <c r="T428" s="184">
        <v>0.0</v>
      </c>
    </row>
    <row r="429">
      <c r="A429" s="184"/>
      <c r="B429" s="184"/>
      <c r="C429" s="184"/>
      <c r="D429" s="184"/>
      <c r="E429" s="184"/>
      <c r="F429" s="184"/>
      <c r="G429" s="184"/>
      <c r="H429" s="184"/>
      <c r="I429" s="184"/>
      <c r="J429" s="184"/>
      <c r="K429" s="184"/>
      <c r="L429" s="184"/>
      <c r="M429" s="184"/>
      <c r="N429" s="184"/>
      <c r="O429" s="184"/>
      <c r="P429" s="184"/>
      <c r="Q429" s="184"/>
      <c r="R429" s="184"/>
      <c r="S429" s="186"/>
      <c r="T429" s="184">
        <v>0.0</v>
      </c>
    </row>
    <row r="430">
      <c r="A430" s="184"/>
      <c r="B430" s="184"/>
      <c r="C430" s="184"/>
      <c r="D430" s="184"/>
      <c r="E430" s="184"/>
      <c r="F430" s="184"/>
      <c r="G430" s="184"/>
      <c r="H430" s="184"/>
      <c r="I430" s="184"/>
      <c r="J430" s="184"/>
      <c r="K430" s="184"/>
      <c r="L430" s="184"/>
      <c r="M430" s="184"/>
      <c r="N430" s="184"/>
      <c r="O430" s="184"/>
      <c r="P430" s="184"/>
      <c r="Q430" s="184"/>
      <c r="R430" s="184"/>
      <c r="S430" s="186"/>
      <c r="T430" s="184">
        <v>0.0</v>
      </c>
    </row>
    <row r="431">
      <c r="A431" s="184"/>
      <c r="B431" s="184"/>
      <c r="C431" s="184"/>
      <c r="D431" s="184"/>
      <c r="E431" s="184"/>
      <c r="F431" s="184"/>
      <c r="G431" s="184"/>
      <c r="H431" s="184"/>
      <c r="I431" s="184"/>
      <c r="J431" s="184"/>
      <c r="K431" s="184"/>
      <c r="L431" s="184"/>
      <c r="M431" s="184"/>
      <c r="N431" s="184"/>
      <c r="O431" s="184"/>
      <c r="P431" s="184"/>
      <c r="Q431" s="184"/>
      <c r="R431" s="184"/>
      <c r="S431" s="186"/>
      <c r="T431" s="184">
        <v>0.0</v>
      </c>
    </row>
    <row r="432">
      <c r="A432" s="184"/>
      <c r="B432" s="184"/>
      <c r="C432" s="184"/>
      <c r="D432" s="184"/>
      <c r="E432" s="184"/>
      <c r="F432" s="184"/>
      <c r="G432" s="184"/>
      <c r="H432" s="184"/>
      <c r="I432" s="184"/>
      <c r="J432" s="184"/>
      <c r="K432" s="184"/>
      <c r="L432" s="184"/>
      <c r="M432" s="184"/>
      <c r="N432" s="184"/>
      <c r="O432" s="184"/>
      <c r="P432" s="184"/>
      <c r="Q432" s="184"/>
      <c r="R432" s="184"/>
      <c r="S432" s="186"/>
      <c r="T432" s="184">
        <v>0.0</v>
      </c>
    </row>
    <row r="433">
      <c r="A433" s="184"/>
      <c r="B433" s="184"/>
      <c r="C433" s="184"/>
      <c r="D433" s="184"/>
      <c r="E433" s="184"/>
      <c r="F433" s="184"/>
      <c r="G433" s="184"/>
      <c r="H433" s="184"/>
      <c r="I433" s="184"/>
      <c r="J433" s="184"/>
      <c r="K433" s="184"/>
      <c r="L433" s="184"/>
      <c r="M433" s="184"/>
      <c r="N433" s="184"/>
      <c r="O433" s="184"/>
      <c r="P433" s="184"/>
      <c r="Q433" s="184"/>
      <c r="R433" s="184"/>
      <c r="S433" s="186"/>
      <c r="T433" s="184">
        <v>0.0</v>
      </c>
    </row>
    <row r="434">
      <c r="A434" s="184"/>
      <c r="B434" s="184"/>
      <c r="C434" s="184"/>
      <c r="D434" s="184"/>
      <c r="E434" s="184"/>
      <c r="F434" s="184"/>
      <c r="G434" s="184"/>
      <c r="H434" s="184"/>
      <c r="I434" s="184"/>
      <c r="J434" s="184"/>
      <c r="K434" s="184"/>
      <c r="L434" s="184"/>
      <c r="M434" s="184"/>
      <c r="N434" s="184"/>
      <c r="O434" s="184"/>
      <c r="P434" s="184"/>
      <c r="Q434" s="184"/>
      <c r="R434" s="184"/>
      <c r="S434" s="186"/>
      <c r="T434" s="184">
        <v>0.0</v>
      </c>
    </row>
    <row r="435">
      <c r="A435" s="184"/>
      <c r="B435" s="184"/>
      <c r="C435" s="184"/>
      <c r="D435" s="184"/>
      <c r="E435" s="184"/>
      <c r="F435" s="184"/>
      <c r="G435" s="184"/>
      <c r="H435" s="184"/>
      <c r="I435" s="184"/>
      <c r="J435" s="184"/>
      <c r="K435" s="184"/>
      <c r="L435" s="184"/>
      <c r="M435" s="184"/>
      <c r="N435" s="184"/>
      <c r="O435" s="184"/>
      <c r="P435" s="184"/>
      <c r="Q435" s="184"/>
      <c r="R435" s="184"/>
      <c r="S435" s="186"/>
      <c r="T435" s="184">
        <v>0.0</v>
      </c>
    </row>
    <row r="436">
      <c r="A436" s="184"/>
      <c r="B436" s="184"/>
      <c r="C436" s="184"/>
      <c r="D436" s="184"/>
      <c r="E436" s="184"/>
      <c r="F436" s="184"/>
      <c r="G436" s="184"/>
      <c r="H436" s="184"/>
      <c r="I436" s="184"/>
      <c r="J436" s="184"/>
      <c r="K436" s="184"/>
      <c r="L436" s="184"/>
      <c r="M436" s="184"/>
      <c r="N436" s="184"/>
      <c r="O436" s="184"/>
      <c r="P436" s="184"/>
      <c r="Q436" s="184"/>
      <c r="R436" s="184"/>
      <c r="S436" s="186"/>
      <c r="T436" s="184">
        <v>0.0</v>
      </c>
    </row>
    <row r="437">
      <c r="A437" s="184"/>
      <c r="B437" s="184"/>
      <c r="C437" s="184"/>
      <c r="D437" s="184"/>
      <c r="E437" s="184"/>
      <c r="F437" s="184"/>
      <c r="G437" s="184"/>
      <c r="H437" s="184"/>
      <c r="I437" s="184"/>
      <c r="J437" s="184"/>
      <c r="K437" s="184"/>
      <c r="L437" s="184"/>
      <c r="M437" s="184"/>
      <c r="N437" s="184"/>
      <c r="O437" s="184"/>
      <c r="P437" s="184"/>
      <c r="Q437" s="184"/>
      <c r="R437" s="184"/>
      <c r="S437" s="186"/>
      <c r="T437" s="184">
        <v>0.0</v>
      </c>
    </row>
    <row r="438">
      <c r="A438" s="184"/>
      <c r="B438" s="184"/>
      <c r="C438" s="184"/>
      <c r="D438" s="184"/>
      <c r="E438" s="184"/>
      <c r="F438" s="184"/>
      <c r="G438" s="184"/>
      <c r="H438" s="184"/>
      <c r="I438" s="184"/>
      <c r="J438" s="184"/>
      <c r="K438" s="184"/>
      <c r="L438" s="184"/>
      <c r="M438" s="184"/>
      <c r="N438" s="184"/>
      <c r="O438" s="184"/>
      <c r="P438" s="184"/>
      <c r="Q438" s="184"/>
      <c r="R438" s="184"/>
      <c r="S438" s="186"/>
      <c r="T438" s="184">
        <v>0.0</v>
      </c>
    </row>
    <row r="439">
      <c r="A439" s="184"/>
      <c r="B439" s="184"/>
      <c r="C439" s="184"/>
      <c r="D439" s="184"/>
      <c r="E439" s="184"/>
      <c r="F439" s="184"/>
      <c r="G439" s="184"/>
      <c r="H439" s="184"/>
      <c r="I439" s="184"/>
      <c r="J439" s="184"/>
      <c r="K439" s="184"/>
      <c r="L439" s="184"/>
      <c r="M439" s="184"/>
      <c r="N439" s="184"/>
      <c r="O439" s="184"/>
      <c r="P439" s="184"/>
      <c r="Q439" s="184"/>
      <c r="R439" s="184"/>
      <c r="S439" s="186"/>
      <c r="T439" s="184">
        <v>0.0</v>
      </c>
    </row>
    <row r="440">
      <c r="A440" s="184"/>
      <c r="B440" s="184"/>
      <c r="C440" s="184"/>
      <c r="D440" s="184"/>
      <c r="E440" s="184"/>
      <c r="F440" s="184"/>
      <c r="G440" s="184"/>
      <c r="H440" s="184"/>
      <c r="I440" s="184"/>
      <c r="J440" s="184"/>
      <c r="K440" s="184"/>
      <c r="L440" s="184"/>
      <c r="M440" s="184"/>
      <c r="N440" s="184"/>
      <c r="O440" s="184"/>
      <c r="P440" s="184"/>
      <c r="Q440" s="184"/>
      <c r="R440" s="184"/>
      <c r="S440" s="186"/>
      <c r="T440" s="184">
        <v>0.0</v>
      </c>
    </row>
    <row r="441">
      <c r="A441" s="184"/>
      <c r="B441" s="184"/>
      <c r="C441" s="184"/>
      <c r="D441" s="184"/>
      <c r="E441" s="184"/>
      <c r="F441" s="184"/>
      <c r="G441" s="184"/>
      <c r="H441" s="184"/>
      <c r="I441" s="184"/>
      <c r="J441" s="184"/>
      <c r="K441" s="184"/>
      <c r="L441" s="184"/>
      <c r="M441" s="184"/>
      <c r="N441" s="184"/>
      <c r="O441" s="184"/>
      <c r="P441" s="184"/>
      <c r="Q441" s="184"/>
      <c r="R441" s="184"/>
      <c r="S441" s="186"/>
      <c r="T441" s="184">
        <v>0.0</v>
      </c>
    </row>
    <row r="442">
      <c r="A442" s="184"/>
      <c r="B442" s="184"/>
      <c r="C442" s="184"/>
      <c r="D442" s="184"/>
      <c r="E442" s="184"/>
      <c r="F442" s="184"/>
      <c r="G442" s="184"/>
      <c r="H442" s="184"/>
      <c r="I442" s="184"/>
      <c r="J442" s="184"/>
      <c r="K442" s="184"/>
      <c r="L442" s="184"/>
      <c r="M442" s="184"/>
      <c r="N442" s="184"/>
      <c r="O442" s="184"/>
      <c r="P442" s="184"/>
      <c r="Q442" s="184"/>
      <c r="R442" s="184"/>
      <c r="S442" s="186"/>
      <c r="T442" s="184">
        <v>0.0</v>
      </c>
    </row>
    <row r="443">
      <c r="A443" s="184"/>
      <c r="B443" s="184"/>
      <c r="C443" s="184"/>
      <c r="D443" s="184"/>
      <c r="E443" s="184"/>
      <c r="F443" s="184"/>
      <c r="G443" s="184"/>
      <c r="H443" s="184"/>
      <c r="I443" s="184"/>
      <c r="J443" s="184"/>
      <c r="K443" s="184"/>
      <c r="L443" s="184"/>
      <c r="M443" s="184"/>
      <c r="N443" s="184"/>
      <c r="O443" s="184"/>
      <c r="P443" s="184"/>
      <c r="Q443" s="184"/>
      <c r="R443" s="184"/>
      <c r="S443" s="186"/>
      <c r="T443" s="184">
        <v>0.0</v>
      </c>
    </row>
    <row r="444">
      <c r="A444" s="184"/>
      <c r="B444" s="184"/>
      <c r="C444" s="184"/>
      <c r="D444" s="184"/>
      <c r="E444" s="184"/>
      <c r="F444" s="184"/>
      <c r="G444" s="184"/>
      <c r="H444" s="184"/>
      <c r="I444" s="184"/>
      <c r="J444" s="184"/>
      <c r="K444" s="184"/>
      <c r="L444" s="184"/>
      <c r="M444" s="184"/>
      <c r="N444" s="184"/>
      <c r="O444" s="184"/>
      <c r="P444" s="184"/>
      <c r="Q444" s="184"/>
      <c r="R444" s="184"/>
      <c r="S444" s="186"/>
      <c r="T444" s="184">
        <v>0.0</v>
      </c>
    </row>
    <row r="445">
      <c r="A445" s="184"/>
      <c r="B445" s="184"/>
      <c r="C445" s="184"/>
      <c r="D445" s="184"/>
      <c r="E445" s="184"/>
      <c r="F445" s="184"/>
      <c r="G445" s="184"/>
      <c r="H445" s="184"/>
      <c r="I445" s="184"/>
      <c r="J445" s="184"/>
      <c r="K445" s="184"/>
      <c r="L445" s="184"/>
      <c r="M445" s="184"/>
      <c r="N445" s="184"/>
      <c r="O445" s="184"/>
      <c r="P445" s="184"/>
      <c r="Q445" s="184"/>
      <c r="R445" s="184"/>
      <c r="S445" s="186"/>
      <c r="T445" s="184">
        <v>0.0</v>
      </c>
    </row>
    <row r="446">
      <c r="A446" s="184"/>
      <c r="B446" s="184"/>
      <c r="C446" s="184"/>
      <c r="D446" s="184"/>
      <c r="E446" s="184"/>
      <c r="F446" s="184"/>
      <c r="G446" s="184"/>
      <c r="H446" s="184"/>
      <c r="I446" s="184"/>
      <c r="J446" s="184"/>
      <c r="K446" s="184"/>
      <c r="L446" s="184"/>
      <c r="M446" s="184"/>
      <c r="N446" s="184"/>
      <c r="O446" s="184"/>
      <c r="P446" s="184"/>
      <c r="Q446" s="184"/>
      <c r="R446" s="184"/>
      <c r="S446" s="186"/>
      <c r="T446" s="184">
        <v>0.0</v>
      </c>
    </row>
    <row r="447">
      <c r="A447" s="184"/>
      <c r="B447" s="184"/>
      <c r="C447" s="184"/>
      <c r="D447" s="184"/>
      <c r="E447" s="184"/>
      <c r="F447" s="184"/>
      <c r="G447" s="184"/>
      <c r="H447" s="184"/>
      <c r="I447" s="184"/>
      <c r="J447" s="184"/>
      <c r="K447" s="184"/>
      <c r="L447" s="184"/>
      <c r="M447" s="184"/>
      <c r="N447" s="184"/>
      <c r="O447" s="184"/>
      <c r="P447" s="184"/>
      <c r="Q447" s="184"/>
      <c r="R447" s="184"/>
      <c r="S447" s="186"/>
      <c r="T447" s="184">
        <v>0.0</v>
      </c>
    </row>
    <row r="448">
      <c r="A448" s="184"/>
      <c r="B448" s="184"/>
      <c r="C448" s="184"/>
      <c r="D448" s="184"/>
      <c r="E448" s="184"/>
      <c r="F448" s="184"/>
      <c r="G448" s="184"/>
      <c r="H448" s="184"/>
      <c r="I448" s="184"/>
      <c r="J448" s="184"/>
      <c r="K448" s="184"/>
      <c r="L448" s="184"/>
      <c r="M448" s="184"/>
      <c r="N448" s="184"/>
      <c r="O448" s="184"/>
      <c r="P448" s="184"/>
      <c r="Q448" s="184"/>
      <c r="R448" s="184"/>
      <c r="S448" s="186"/>
      <c r="T448" s="184">
        <v>0.0</v>
      </c>
    </row>
    <row r="449">
      <c r="A449" s="184"/>
      <c r="B449" s="184"/>
      <c r="C449" s="184"/>
      <c r="D449" s="184"/>
      <c r="E449" s="184"/>
      <c r="F449" s="184"/>
      <c r="G449" s="184"/>
      <c r="H449" s="184"/>
      <c r="I449" s="184"/>
      <c r="J449" s="184"/>
      <c r="K449" s="184"/>
      <c r="L449" s="184"/>
      <c r="M449" s="184"/>
      <c r="N449" s="184"/>
      <c r="O449" s="184"/>
      <c r="P449" s="184"/>
      <c r="Q449" s="184"/>
      <c r="R449" s="184"/>
      <c r="S449" s="186"/>
      <c r="T449" s="184">
        <v>0.0</v>
      </c>
    </row>
    <row r="450">
      <c r="A450" s="184"/>
      <c r="B450" s="184"/>
      <c r="C450" s="184"/>
      <c r="D450" s="184"/>
      <c r="E450" s="184"/>
      <c r="F450" s="184"/>
      <c r="G450" s="184"/>
      <c r="H450" s="184"/>
      <c r="I450" s="184"/>
      <c r="J450" s="184"/>
      <c r="K450" s="184"/>
      <c r="L450" s="184"/>
      <c r="M450" s="184"/>
      <c r="N450" s="184"/>
      <c r="O450" s="184"/>
      <c r="P450" s="184"/>
      <c r="Q450" s="184"/>
      <c r="R450" s="184"/>
      <c r="S450" s="186"/>
      <c r="T450" s="184">
        <v>0.0</v>
      </c>
    </row>
    <row r="451">
      <c r="A451" s="184"/>
      <c r="B451" s="184"/>
      <c r="C451" s="184"/>
      <c r="D451" s="184"/>
      <c r="E451" s="184"/>
      <c r="F451" s="184"/>
      <c r="G451" s="184"/>
      <c r="H451" s="184"/>
      <c r="I451" s="184"/>
      <c r="J451" s="184"/>
      <c r="K451" s="184"/>
      <c r="L451" s="184"/>
      <c r="M451" s="184"/>
      <c r="N451" s="184"/>
      <c r="O451" s="184"/>
      <c r="P451" s="184"/>
      <c r="Q451" s="184"/>
      <c r="R451" s="184"/>
      <c r="S451" s="186"/>
      <c r="T451" s="184">
        <v>0.0</v>
      </c>
    </row>
    <row r="452">
      <c r="A452" s="184"/>
      <c r="B452" s="184"/>
      <c r="C452" s="184"/>
      <c r="D452" s="184"/>
      <c r="E452" s="184"/>
      <c r="F452" s="184"/>
      <c r="G452" s="184"/>
      <c r="H452" s="184"/>
      <c r="I452" s="184"/>
      <c r="J452" s="184"/>
      <c r="K452" s="184"/>
      <c r="L452" s="184"/>
      <c r="M452" s="184"/>
      <c r="N452" s="184"/>
      <c r="O452" s="184"/>
      <c r="P452" s="184"/>
      <c r="Q452" s="184"/>
      <c r="R452" s="184"/>
      <c r="S452" s="186"/>
      <c r="T452" s="184">
        <v>0.0</v>
      </c>
    </row>
    <row r="453">
      <c r="A453" s="184"/>
      <c r="B453" s="184"/>
      <c r="C453" s="184"/>
      <c r="D453" s="184"/>
      <c r="E453" s="184"/>
      <c r="F453" s="184"/>
      <c r="G453" s="184"/>
      <c r="H453" s="184"/>
      <c r="I453" s="184"/>
      <c r="J453" s="184"/>
      <c r="K453" s="184"/>
      <c r="L453" s="184"/>
      <c r="M453" s="184"/>
      <c r="N453" s="184"/>
      <c r="O453" s="184"/>
      <c r="P453" s="184"/>
      <c r="Q453" s="184"/>
      <c r="R453" s="184"/>
      <c r="S453" s="186"/>
      <c r="T453" s="184">
        <v>0.0</v>
      </c>
    </row>
    <row r="454">
      <c r="A454" s="184"/>
      <c r="B454" s="184"/>
      <c r="C454" s="184"/>
      <c r="D454" s="184"/>
      <c r="E454" s="184"/>
      <c r="F454" s="184"/>
      <c r="G454" s="184"/>
      <c r="H454" s="184"/>
      <c r="I454" s="184"/>
      <c r="J454" s="184"/>
      <c r="K454" s="184"/>
      <c r="L454" s="184"/>
      <c r="M454" s="184"/>
      <c r="N454" s="184"/>
      <c r="O454" s="184"/>
      <c r="P454" s="184"/>
      <c r="Q454" s="184"/>
      <c r="R454" s="184"/>
      <c r="S454" s="186"/>
      <c r="T454" s="184">
        <v>0.0</v>
      </c>
    </row>
    <row r="455">
      <c r="A455" s="184"/>
      <c r="B455" s="184"/>
      <c r="C455" s="184"/>
      <c r="D455" s="184"/>
      <c r="E455" s="184"/>
      <c r="F455" s="184"/>
      <c r="G455" s="184"/>
      <c r="H455" s="184"/>
      <c r="I455" s="184"/>
      <c r="J455" s="184"/>
      <c r="K455" s="184"/>
      <c r="L455" s="184"/>
      <c r="M455" s="184"/>
      <c r="N455" s="184"/>
      <c r="O455" s="184"/>
      <c r="P455" s="184"/>
      <c r="Q455" s="184"/>
      <c r="R455" s="184"/>
      <c r="S455" s="186"/>
      <c r="T455" s="184">
        <v>0.0</v>
      </c>
    </row>
    <row r="456">
      <c r="A456" s="184"/>
      <c r="B456" s="184"/>
      <c r="C456" s="184"/>
      <c r="D456" s="184"/>
      <c r="E456" s="184"/>
      <c r="F456" s="184"/>
      <c r="G456" s="184"/>
      <c r="H456" s="184"/>
      <c r="I456" s="184"/>
      <c r="J456" s="184"/>
      <c r="K456" s="184"/>
      <c r="L456" s="184"/>
      <c r="M456" s="184"/>
      <c r="N456" s="184"/>
      <c r="O456" s="184"/>
      <c r="P456" s="184"/>
      <c r="Q456" s="184"/>
      <c r="R456" s="184"/>
      <c r="S456" s="186"/>
      <c r="T456" s="184">
        <v>0.0</v>
      </c>
    </row>
    <row r="457">
      <c r="A457" s="184"/>
      <c r="B457" s="184"/>
      <c r="C457" s="184"/>
      <c r="D457" s="184"/>
      <c r="E457" s="184"/>
      <c r="F457" s="184"/>
      <c r="G457" s="184"/>
      <c r="H457" s="184"/>
      <c r="I457" s="184"/>
      <c r="J457" s="184"/>
      <c r="K457" s="184"/>
      <c r="L457" s="184"/>
      <c r="M457" s="184"/>
      <c r="N457" s="184"/>
      <c r="O457" s="184"/>
      <c r="P457" s="184"/>
      <c r="Q457" s="184"/>
      <c r="R457" s="184"/>
      <c r="S457" s="186"/>
      <c r="T457" s="184">
        <v>0.0</v>
      </c>
    </row>
    <row r="458">
      <c r="A458" s="184"/>
      <c r="B458" s="184"/>
      <c r="C458" s="184"/>
      <c r="D458" s="184"/>
      <c r="E458" s="184"/>
      <c r="F458" s="184"/>
      <c r="G458" s="184"/>
      <c r="H458" s="184"/>
      <c r="I458" s="184"/>
      <c r="J458" s="184"/>
      <c r="K458" s="184"/>
      <c r="L458" s="184"/>
      <c r="M458" s="184"/>
      <c r="N458" s="184"/>
      <c r="O458" s="184"/>
      <c r="P458" s="184"/>
      <c r="Q458" s="184"/>
      <c r="R458" s="184"/>
      <c r="S458" s="186"/>
      <c r="T458" s="184">
        <v>0.0</v>
      </c>
    </row>
    <row r="459">
      <c r="A459" s="184"/>
      <c r="B459" s="184"/>
      <c r="C459" s="184"/>
      <c r="D459" s="184"/>
      <c r="E459" s="184"/>
      <c r="F459" s="184"/>
      <c r="G459" s="184"/>
      <c r="H459" s="184"/>
      <c r="I459" s="184"/>
      <c r="J459" s="184"/>
      <c r="K459" s="184"/>
      <c r="L459" s="184"/>
      <c r="M459" s="184"/>
      <c r="N459" s="184"/>
      <c r="O459" s="184"/>
      <c r="P459" s="184"/>
      <c r="Q459" s="184"/>
      <c r="R459" s="184"/>
      <c r="S459" s="186"/>
      <c r="T459" s="184">
        <v>0.0</v>
      </c>
    </row>
    <row r="460">
      <c r="A460" s="184"/>
      <c r="B460" s="184"/>
      <c r="C460" s="184"/>
      <c r="D460" s="184"/>
      <c r="E460" s="184"/>
      <c r="F460" s="184"/>
      <c r="G460" s="184"/>
      <c r="H460" s="184"/>
      <c r="I460" s="184"/>
      <c r="J460" s="184"/>
      <c r="K460" s="184"/>
      <c r="L460" s="184"/>
      <c r="M460" s="184"/>
      <c r="N460" s="184"/>
      <c r="O460" s="184"/>
      <c r="P460" s="184"/>
      <c r="Q460" s="184"/>
      <c r="R460" s="184"/>
      <c r="S460" s="186"/>
      <c r="T460" s="184">
        <v>0.0</v>
      </c>
    </row>
    <row r="461">
      <c r="A461" s="184"/>
      <c r="B461" s="184"/>
      <c r="C461" s="184"/>
      <c r="D461" s="184"/>
      <c r="E461" s="184"/>
      <c r="F461" s="184"/>
      <c r="G461" s="184"/>
      <c r="H461" s="184"/>
      <c r="I461" s="184"/>
      <c r="J461" s="184"/>
      <c r="K461" s="184"/>
      <c r="L461" s="184"/>
      <c r="M461" s="184"/>
      <c r="N461" s="184"/>
      <c r="O461" s="184"/>
      <c r="P461" s="184"/>
      <c r="Q461" s="184"/>
      <c r="R461" s="184"/>
      <c r="S461" s="186"/>
      <c r="T461" s="184">
        <v>0.0</v>
      </c>
    </row>
    <row r="462">
      <c r="A462" s="184"/>
      <c r="B462" s="184"/>
      <c r="C462" s="184"/>
      <c r="D462" s="184"/>
      <c r="E462" s="184"/>
      <c r="F462" s="184"/>
      <c r="G462" s="184"/>
      <c r="H462" s="184"/>
      <c r="I462" s="184"/>
      <c r="J462" s="184"/>
      <c r="K462" s="184"/>
      <c r="L462" s="184"/>
      <c r="M462" s="184"/>
      <c r="N462" s="184"/>
      <c r="O462" s="184"/>
      <c r="P462" s="184"/>
      <c r="Q462" s="184"/>
      <c r="R462" s="184"/>
      <c r="S462" s="186"/>
      <c r="T462" s="184">
        <v>0.0</v>
      </c>
    </row>
    <row r="463">
      <c r="A463" s="184"/>
      <c r="B463" s="184"/>
      <c r="C463" s="184"/>
      <c r="D463" s="184"/>
      <c r="E463" s="184"/>
      <c r="F463" s="184"/>
      <c r="G463" s="184"/>
      <c r="H463" s="184"/>
      <c r="I463" s="184"/>
      <c r="J463" s="184"/>
      <c r="K463" s="184"/>
      <c r="L463" s="184"/>
      <c r="M463" s="184"/>
      <c r="N463" s="184"/>
      <c r="O463" s="184"/>
      <c r="P463" s="184"/>
      <c r="Q463" s="184"/>
      <c r="R463" s="184"/>
      <c r="S463" s="186"/>
      <c r="T463" s="184">
        <v>0.0</v>
      </c>
    </row>
    <row r="464">
      <c r="A464" s="184"/>
      <c r="B464" s="184"/>
      <c r="C464" s="184"/>
      <c r="D464" s="184"/>
      <c r="E464" s="184"/>
      <c r="F464" s="184"/>
      <c r="G464" s="184"/>
      <c r="H464" s="184"/>
      <c r="I464" s="184"/>
      <c r="J464" s="184"/>
      <c r="K464" s="184"/>
      <c r="L464" s="184"/>
      <c r="M464" s="184"/>
      <c r="N464" s="184"/>
      <c r="O464" s="184"/>
      <c r="P464" s="184"/>
      <c r="Q464" s="184"/>
      <c r="R464" s="184"/>
      <c r="S464" s="186"/>
      <c r="T464" s="184">
        <v>0.0</v>
      </c>
    </row>
    <row r="465">
      <c r="A465" s="184"/>
      <c r="B465" s="184"/>
      <c r="C465" s="184"/>
      <c r="D465" s="184"/>
      <c r="E465" s="184"/>
      <c r="F465" s="184"/>
      <c r="G465" s="184"/>
      <c r="H465" s="184"/>
      <c r="I465" s="184"/>
      <c r="J465" s="184"/>
      <c r="K465" s="184"/>
      <c r="L465" s="184"/>
      <c r="M465" s="184"/>
      <c r="N465" s="184"/>
      <c r="O465" s="184"/>
      <c r="P465" s="184"/>
      <c r="Q465" s="184"/>
      <c r="R465" s="184"/>
      <c r="S465" s="186"/>
      <c r="T465" s="184">
        <v>0.0</v>
      </c>
    </row>
    <row r="466">
      <c r="A466" s="184"/>
      <c r="B466" s="184"/>
      <c r="C466" s="184"/>
      <c r="D466" s="184"/>
      <c r="E466" s="184"/>
      <c r="F466" s="184"/>
      <c r="G466" s="184"/>
      <c r="H466" s="184"/>
      <c r="I466" s="184"/>
      <c r="J466" s="184"/>
      <c r="K466" s="184"/>
      <c r="L466" s="184"/>
      <c r="M466" s="184"/>
      <c r="N466" s="184"/>
      <c r="O466" s="184"/>
      <c r="P466" s="184"/>
      <c r="Q466" s="184"/>
      <c r="R466" s="184"/>
      <c r="S466" s="186"/>
      <c r="T466" s="184">
        <v>0.0</v>
      </c>
    </row>
    <row r="467">
      <c r="A467" s="184"/>
      <c r="B467" s="184"/>
      <c r="C467" s="184"/>
      <c r="D467" s="184"/>
      <c r="E467" s="184"/>
      <c r="F467" s="184"/>
      <c r="G467" s="184"/>
      <c r="H467" s="184"/>
      <c r="I467" s="184"/>
      <c r="J467" s="184"/>
      <c r="K467" s="184"/>
      <c r="L467" s="184"/>
      <c r="M467" s="184"/>
      <c r="N467" s="184"/>
      <c r="O467" s="184"/>
      <c r="P467" s="184"/>
      <c r="Q467" s="184"/>
      <c r="R467" s="184"/>
      <c r="S467" s="186"/>
      <c r="T467" s="184">
        <v>0.0</v>
      </c>
    </row>
    <row r="468">
      <c r="A468" s="184"/>
      <c r="B468" s="184"/>
      <c r="C468" s="184"/>
      <c r="D468" s="184"/>
      <c r="E468" s="184"/>
      <c r="F468" s="184"/>
      <c r="G468" s="184"/>
      <c r="H468" s="184"/>
      <c r="I468" s="184"/>
      <c r="J468" s="184"/>
      <c r="K468" s="184"/>
      <c r="L468" s="184"/>
      <c r="M468" s="184"/>
      <c r="N468" s="184"/>
      <c r="O468" s="184"/>
      <c r="P468" s="184"/>
      <c r="Q468" s="184"/>
      <c r="R468" s="184"/>
      <c r="S468" s="186"/>
      <c r="T468" s="184">
        <v>0.0</v>
      </c>
    </row>
    <row r="469">
      <c r="A469" s="184"/>
      <c r="B469" s="184"/>
      <c r="C469" s="184"/>
      <c r="D469" s="184"/>
      <c r="E469" s="184"/>
      <c r="F469" s="184"/>
      <c r="G469" s="184"/>
      <c r="H469" s="184"/>
      <c r="I469" s="184"/>
      <c r="J469" s="184"/>
      <c r="K469" s="184"/>
      <c r="L469" s="184"/>
      <c r="M469" s="184"/>
      <c r="N469" s="184"/>
      <c r="O469" s="184"/>
      <c r="P469" s="184"/>
      <c r="Q469" s="184"/>
      <c r="R469" s="184"/>
      <c r="S469" s="186"/>
      <c r="T469" s="184">
        <v>0.0</v>
      </c>
    </row>
    <row r="470">
      <c r="A470" s="184"/>
      <c r="B470" s="184"/>
      <c r="C470" s="184"/>
      <c r="D470" s="184"/>
      <c r="E470" s="184"/>
      <c r="F470" s="184"/>
      <c r="G470" s="184"/>
      <c r="H470" s="184"/>
      <c r="I470" s="184"/>
      <c r="J470" s="184"/>
      <c r="K470" s="184"/>
      <c r="L470" s="184"/>
      <c r="M470" s="184"/>
      <c r="N470" s="184"/>
      <c r="O470" s="184"/>
      <c r="P470" s="184"/>
      <c r="Q470" s="184"/>
      <c r="R470" s="184"/>
      <c r="S470" s="186"/>
      <c r="T470" s="184">
        <v>0.0</v>
      </c>
    </row>
    <row r="471">
      <c r="A471" s="184"/>
      <c r="B471" s="184"/>
      <c r="C471" s="184"/>
      <c r="D471" s="184"/>
      <c r="E471" s="184"/>
      <c r="F471" s="184"/>
      <c r="G471" s="184"/>
      <c r="H471" s="184"/>
      <c r="I471" s="184"/>
      <c r="J471" s="184"/>
      <c r="K471" s="184"/>
      <c r="L471" s="184"/>
      <c r="M471" s="184"/>
      <c r="N471" s="184"/>
      <c r="O471" s="184"/>
      <c r="P471" s="184"/>
      <c r="Q471" s="184"/>
      <c r="R471" s="184"/>
      <c r="S471" s="186"/>
      <c r="T471" s="184">
        <v>0.0</v>
      </c>
    </row>
    <row r="472">
      <c r="A472" s="184"/>
      <c r="B472" s="184"/>
      <c r="C472" s="184"/>
      <c r="D472" s="184"/>
      <c r="E472" s="184"/>
      <c r="F472" s="184"/>
      <c r="G472" s="184"/>
      <c r="H472" s="184"/>
      <c r="I472" s="184"/>
      <c r="J472" s="184"/>
      <c r="K472" s="184"/>
      <c r="L472" s="184"/>
      <c r="M472" s="184"/>
      <c r="N472" s="184"/>
      <c r="O472" s="184"/>
      <c r="P472" s="184"/>
      <c r="Q472" s="184"/>
      <c r="R472" s="184"/>
      <c r="S472" s="186"/>
      <c r="T472" s="184">
        <v>0.0</v>
      </c>
    </row>
    <row r="473">
      <c r="A473" s="184"/>
      <c r="B473" s="184"/>
      <c r="C473" s="184"/>
      <c r="D473" s="184"/>
      <c r="E473" s="184"/>
      <c r="F473" s="184"/>
      <c r="G473" s="184"/>
      <c r="H473" s="184"/>
      <c r="I473" s="184"/>
      <c r="J473" s="184"/>
      <c r="K473" s="184"/>
      <c r="L473" s="184"/>
      <c r="M473" s="184"/>
      <c r="N473" s="184"/>
      <c r="O473" s="184"/>
      <c r="P473" s="184"/>
      <c r="Q473" s="184"/>
      <c r="R473" s="184"/>
      <c r="S473" s="186"/>
      <c r="T473" s="184">
        <v>0.0</v>
      </c>
    </row>
    <row r="474">
      <c r="A474" s="184"/>
      <c r="B474" s="184"/>
      <c r="C474" s="184"/>
      <c r="D474" s="184"/>
      <c r="E474" s="184"/>
      <c r="F474" s="184"/>
      <c r="G474" s="184"/>
      <c r="H474" s="184"/>
      <c r="I474" s="184"/>
      <c r="J474" s="184"/>
      <c r="K474" s="184"/>
      <c r="L474" s="184"/>
      <c r="M474" s="184"/>
      <c r="N474" s="184"/>
      <c r="O474" s="184"/>
      <c r="P474" s="184"/>
      <c r="Q474" s="184"/>
      <c r="R474" s="184"/>
      <c r="S474" s="186"/>
      <c r="T474" s="184">
        <v>0.0</v>
      </c>
    </row>
    <row r="475">
      <c r="A475" s="184"/>
      <c r="B475" s="184"/>
      <c r="C475" s="184"/>
      <c r="D475" s="184"/>
      <c r="E475" s="184"/>
      <c r="F475" s="184"/>
      <c r="G475" s="184"/>
      <c r="H475" s="184"/>
      <c r="I475" s="184"/>
      <c r="J475" s="184"/>
      <c r="K475" s="184"/>
      <c r="L475" s="184"/>
      <c r="M475" s="184"/>
      <c r="N475" s="184"/>
      <c r="O475" s="184"/>
      <c r="P475" s="184"/>
      <c r="Q475" s="184"/>
      <c r="R475" s="184"/>
      <c r="S475" s="186"/>
      <c r="T475" s="184">
        <v>0.0</v>
      </c>
    </row>
    <row r="476">
      <c r="A476" s="184"/>
      <c r="B476" s="184"/>
      <c r="C476" s="184"/>
      <c r="D476" s="184"/>
      <c r="E476" s="184"/>
      <c r="F476" s="184"/>
      <c r="G476" s="184"/>
      <c r="H476" s="184"/>
      <c r="I476" s="184"/>
      <c r="J476" s="184"/>
      <c r="K476" s="184"/>
      <c r="L476" s="184"/>
      <c r="M476" s="184"/>
      <c r="N476" s="184"/>
      <c r="O476" s="184"/>
      <c r="P476" s="184"/>
      <c r="Q476" s="184"/>
      <c r="R476" s="184"/>
      <c r="S476" s="186"/>
      <c r="T476" s="184">
        <v>0.0</v>
      </c>
    </row>
    <row r="477">
      <c r="A477" s="184"/>
      <c r="B477" s="184"/>
      <c r="C477" s="184"/>
      <c r="D477" s="184"/>
      <c r="E477" s="184"/>
      <c r="F477" s="184"/>
      <c r="G477" s="184"/>
      <c r="H477" s="184"/>
      <c r="I477" s="184"/>
      <c r="J477" s="184"/>
      <c r="K477" s="184"/>
      <c r="L477" s="184"/>
      <c r="M477" s="184"/>
      <c r="N477" s="184"/>
      <c r="O477" s="184"/>
      <c r="P477" s="184"/>
      <c r="Q477" s="184"/>
      <c r="R477" s="184"/>
      <c r="S477" s="186"/>
      <c r="T477" s="184">
        <v>0.0</v>
      </c>
    </row>
    <row r="478">
      <c r="A478" s="184"/>
      <c r="B478" s="184"/>
      <c r="C478" s="184"/>
      <c r="D478" s="184"/>
      <c r="E478" s="184"/>
      <c r="F478" s="184"/>
      <c r="G478" s="184"/>
      <c r="H478" s="184"/>
      <c r="I478" s="184"/>
      <c r="J478" s="184"/>
      <c r="K478" s="184"/>
      <c r="L478" s="184"/>
      <c r="M478" s="184"/>
      <c r="N478" s="184"/>
      <c r="O478" s="184"/>
      <c r="P478" s="184"/>
      <c r="Q478" s="184"/>
      <c r="R478" s="184"/>
      <c r="S478" s="186"/>
      <c r="T478" s="184">
        <v>0.0</v>
      </c>
    </row>
    <row r="479">
      <c r="A479" s="184"/>
      <c r="B479" s="184"/>
      <c r="C479" s="184"/>
      <c r="D479" s="184"/>
      <c r="E479" s="184"/>
      <c r="F479" s="184"/>
      <c r="G479" s="184"/>
      <c r="H479" s="184"/>
      <c r="I479" s="184"/>
      <c r="J479" s="184"/>
      <c r="K479" s="184"/>
      <c r="L479" s="184"/>
      <c r="M479" s="184"/>
      <c r="N479" s="184"/>
      <c r="O479" s="184"/>
      <c r="P479" s="184"/>
      <c r="Q479" s="184"/>
      <c r="R479" s="184"/>
      <c r="S479" s="186"/>
      <c r="T479" s="184">
        <v>0.0</v>
      </c>
    </row>
    <row r="480">
      <c r="A480" s="184"/>
      <c r="B480" s="184"/>
      <c r="C480" s="184"/>
      <c r="D480" s="184"/>
      <c r="E480" s="184"/>
      <c r="F480" s="184"/>
      <c r="G480" s="184"/>
      <c r="H480" s="184"/>
      <c r="I480" s="184"/>
      <c r="J480" s="184"/>
      <c r="K480" s="184"/>
      <c r="L480" s="184"/>
      <c r="M480" s="184"/>
      <c r="N480" s="184"/>
      <c r="O480" s="184"/>
      <c r="P480" s="184"/>
      <c r="Q480" s="184"/>
      <c r="R480" s="184"/>
      <c r="S480" s="186"/>
      <c r="T480" s="184">
        <v>0.0</v>
      </c>
    </row>
    <row r="481">
      <c r="A481" s="184"/>
      <c r="B481" s="184"/>
      <c r="C481" s="184"/>
      <c r="D481" s="184"/>
      <c r="E481" s="184"/>
      <c r="F481" s="184"/>
      <c r="G481" s="184"/>
      <c r="H481" s="184"/>
      <c r="I481" s="184"/>
      <c r="J481" s="184"/>
      <c r="K481" s="184"/>
      <c r="L481" s="184"/>
      <c r="M481" s="184"/>
      <c r="N481" s="184"/>
      <c r="O481" s="184"/>
      <c r="P481" s="184"/>
      <c r="Q481" s="184"/>
      <c r="R481" s="184"/>
      <c r="S481" s="186"/>
      <c r="T481" s="184">
        <v>0.0</v>
      </c>
    </row>
    <row r="482">
      <c r="A482" s="184"/>
      <c r="B482" s="184"/>
      <c r="C482" s="184"/>
      <c r="D482" s="184"/>
      <c r="E482" s="184"/>
      <c r="F482" s="184"/>
      <c r="G482" s="184"/>
      <c r="H482" s="184"/>
      <c r="I482" s="184"/>
      <c r="J482" s="184"/>
      <c r="K482" s="184"/>
      <c r="L482" s="184"/>
      <c r="M482" s="184"/>
      <c r="N482" s="184"/>
      <c r="O482" s="184"/>
      <c r="P482" s="184"/>
      <c r="Q482" s="184"/>
      <c r="R482" s="184"/>
      <c r="S482" s="186"/>
      <c r="T482" s="184">
        <v>0.0</v>
      </c>
    </row>
    <row r="483">
      <c r="A483" s="184"/>
      <c r="B483" s="184"/>
      <c r="C483" s="184"/>
      <c r="D483" s="184"/>
      <c r="E483" s="184"/>
      <c r="F483" s="184"/>
      <c r="G483" s="184"/>
      <c r="H483" s="184"/>
      <c r="I483" s="184"/>
      <c r="J483" s="184"/>
      <c r="K483" s="184"/>
      <c r="L483" s="184"/>
      <c r="M483" s="184"/>
      <c r="N483" s="184"/>
      <c r="O483" s="184"/>
      <c r="P483" s="184"/>
      <c r="Q483" s="184"/>
      <c r="R483" s="184"/>
      <c r="S483" s="186"/>
      <c r="T483" s="184">
        <v>0.0</v>
      </c>
    </row>
    <row r="484">
      <c r="A484" s="184"/>
      <c r="B484" s="184"/>
      <c r="C484" s="184"/>
      <c r="D484" s="184"/>
      <c r="E484" s="184"/>
      <c r="F484" s="184"/>
      <c r="G484" s="184"/>
      <c r="H484" s="184"/>
      <c r="I484" s="184"/>
      <c r="J484" s="184"/>
      <c r="K484" s="184"/>
      <c r="L484" s="184"/>
      <c r="M484" s="184"/>
      <c r="N484" s="184"/>
      <c r="O484" s="184"/>
      <c r="P484" s="184"/>
      <c r="Q484" s="184"/>
      <c r="R484" s="184"/>
      <c r="S484" s="186"/>
      <c r="T484" s="184">
        <v>0.0</v>
      </c>
    </row>
    <row r="485">
      <c r="A485" s="184"/>
      <c r="B485" s="184"/>
      <c r="C485" s="184"/>
      <c r="D485" s="184"/>
      <c r="E485" s="184"/>
      <c r="F485" s="184"/>
      <c r="G485" s="184"/>
      <c r="H485" s="184"/>
      <c r="I485" s="184"/>
      <c r="J485" s="184"/>
      <c r="K485" s="184"/>
      <c r="L485" s="184"/>
      <c r="M485" s="184"/>
      <c r="N485" s="184"/>
      <c r="O485" s="184"/>
      <c r="P485" s="184"/>
      <c r="Q485" s="184"/>
      <c r="R485" s="184"/>
      <c r="S485" s="186"/>
      <c r="T485" s="184">
        <v>0.0</v>
      </c>
    </row>
    <row r="486">
      <c r="A486" s="184"/>
      <c r="B486" s="184"/>
      <c r="C486" s="184"/>
      <c r="D486" s="184"/>
      <c r="E486" s="184"/>
      <c r="F486" s="184"/>
      <c r="G486" s="184"/>
      <c r="H486" s="184"/>
      <c r="I486" s="184"/>
      <c r="J486" s="184"/>
      <c r="K486" s="184"/>
      <c r="L486" s="184"/>
      <c r="M486" s="184"/>
      <c r="N486" s="184"/>
      <c r="O486" s="184"/>
      <c r="P486" s="184"/>
      <c r="Q486" s="184"/>
      <c r="R486" s="184"/>
      <c r="S486" s="186"/>
      <c r="T486" s="184">
        <v>0.0</v>
      </c>
    </row>
    <row r="487">
      <c r="A487" s="184"/>
      <c r="B487" s="184"/>
      <c r="C487" s="184"/>
      <c r="D487" s="184"/>
      <c r="E487" s="184"/>
      <c r="F487" s="184"/>
      <c r="G487" s="184"/>
      <c r="H487" s="184"/>
      <c r="I487" s="184"/>
      <c r="J487" s="184"/>
      <c r="K487" s="184"/>
      <c r="L487" s="184"/>
      <c r="M487" s="184"/>
      <c r="N487" s="184"/>
      <c r="O487" s="184"/>
      <c r="P487" s="184"/>
      <c r="Q487" s="184"/>
      <c r="R487" s="184"/>
      <c r="S487" s="186"/>
      <c r="T487" s="184">
        <v>0.0</v>
      </c>
    </row>
    <row r="488">
      <c r="A488" s="184"/>
      <c r="B488" s="184"/>
      <c r="C488" s="184"/>
      <c r="D488" s="184"/>
      <c r="E488" s="184"/>
      <c r="F488" s="184"/>
      <c r="G488" s="184"/>
      <c r="H488" s="184"/>
      <c r="I488" s="184"/>
      <c r="J488" s="184"/>
      <c r="K488" s="184"/>
      <c r="L488" s="184"/>
      <c r="M488" s="184"/>
      <c r="N488" s="184"/>
      <c r="O488" s="184"/>
      <c r="P488" s="184"/>
      <c r="Q488" s="184"/>
      <c r="R488" s="184"/>
      <c r="S488" s="186"/>
      <c r="T488" s="184">
        <v>0.0</v>
      </c>
    </row>
    <row r="489">
      <c r="A489" s="184"/>
      <c r="B489" s="184"/>
      <c r="C489" s="184"/>
      <c r="D489" s="184"/>
      <c r="E489" s="184"/>
      <c r="F489" s="184"/>
      <c r="G489" s="184"/>
      <c r="H489" s="184"/>
      <c r="I489" s="184"/>
      <c r="J489" s="184"/>
      <c r="K489" s="184"/>
      <c r="L489" s="184"/>
      <c r="M489" s="184"/>
      <c r="N489" s="184"/>
      <c r="O489" s="184"/>
      <c r="P489" s="184"/>
      <c r="Q489" s="184"/>
      <c r="R489" s="184"/>
      <c r="S489" s="186"/>
      <c r="T489" s="184">
        <v>0.0</v>
      </c>
    </row>
    <row r="490">
      <c r="A490" s="184"/>
      <c r="B490" s="184"/>
      <c r="C490" s="184"/>
      <c r="D490" s="184"/>
      <c r="E490" s="184"/>
      <c r="F490" s="184"/>
      <c r="G490" s="184"/>
      <c r="H490" s="184"/>
      <c r="I490" s="184"/>
      <c r="J490" s="184"/>
      <c r="K490" s="184"/>
      <c r="L490" s="184"/>
      <c r="M490" s="184"/>
      <c r="N490" s="184"/>
      <c r="O490" s="184"/>
      <c r="P490" s="184"/>
      <c r="Q490" s="184"/>
      <c r="R490" s="184"/>
      <c r="S490" s="186"/>
      <c r="T490" s="184">
        <v>0.0</v>
      </c>
    </row>
    <row r="491">
      <c r="A491" s="184"/>
      <c r="B491" s="184"/>
      <c r="C491" s="184"/>
      <c r="D491" s="184"/>
      <c r="E491" s="184"/>
      <c r="F491" s="184"/>
      <c r="G491" s="184"/>
      <c r="H491" s="184"/>
      <c r="I491" s="184"/>
      <c r="J491" s="184"/>
      <c r="K491" s="184"/>
      <c r="L491" s="184"/>
      <c r="M491" s="184"/>
      <c r="N491" s="184"/>
      <c r="O491" s="184"/>
      <c r="P491" s="184"/>
      <c r="Q491" s="184"/>
      <c r="R491" s="184"/>
      <c r="S491" s="186"/>
      <c r="T491" s="184">
        <v>0.0</v>
      </c>
    </row>
    <row r="492">
      <c r="A492" s="184"/>
      <c r="B492" s="184"/>
      <c r="C492" s="184"/>
      <c r="D492" s="184"/>
      <c r="E492" s="184"/>
      <c r="F492" s="184"/>
      <c r="G492" s="184"/>
      <c r="H492" s="184"/>
      <c r="I492" s="184"/>
      <c r="J492" s="184"/>
      <c r="K492" s="184"/>
      <c r="L492" s="184"/>
      <c r="M492" s="184"/>
      <c r="N492" s="184"/>
      <c r="O492" s="184"/>
      <c r="P492" s="184"/>
      <c r="Q492" s="184"/>
      <c r="R492" s="184"/>
      <c r="S492" s="186"/>
      <c r="T492" s="184">
        <v>0.0</v>
      </c>
    </row>
    <row r="493">
      <c r="A493" s="184"/>
      <c r="B493" s="184"/>
      <c r="C493" s="184"/>
      <c r="D493" s="184"/>
      <c r="E493" s="184"/>
      <c r="F493" s="184"/>
      <c r="G493" s="184"/>
      <c r="H493" s="184"/>
      <c r="I493" s="184"/>
      <c r="J493" s="184"/>
      <c r="K493" s="184"/>
      <c r="L493" s="184"/>
      <c r="M493" s="184"/>
      <c r="N493" s="184"/>
      <c r="O493" s="184"/>
      <c r="P493" s="184"/>
      <c r="Q493" s="184"/>
      <c r="R493" s="184"/>
      <c r="S493" s="186"/>
      <c r="T493" s="184">
        <v>0.0</v>
      </c>
    </row>
    <row r="494">
      <c r="A494" s="184"/>
      <c r="B494" s="184"/>
      <c r="C494" s="184"/>
      <c r="D494" s="184"/>
      <c r="E494" s="184"/>
      <c r="F494" s="184"/>
      <c r="G494" s="184"/>
      <c r="H494" s="184"/>
      <c r="I494" s="184"/>
      <c r="J494" s="184"/>
      <c r="K494" s="184"/>
      <c r="L494" s="184"/>
      <c r="M494" s="184"/>
      <c r="N494" s="184"/>
      <c r="O494" s="184"/>
      <c r="P494" s="184"/>
      <c r="Q494" s="184"/>
      <c r="R494" s="184"/>
      <c r="S494" s="186"/>
      <c r="T494" s="184">
        <v>0.0</v>
      </c>
    </row>
    <row r="495">
      <c r="A495" s="184"/>
      <c r="B495" s="184"/>
      <c r="C495" s="184"/>
      <c r="D495" s="184"/>
      <c r="E495" s="184"/>
      <c r="F495" s="184"/>
      <c r="G495" s="184"/>
      <c r="H495" s="184"/>
      <c r="I495" s="184"/>
      <c r="J495" s="184"/>
      <c r="K495" s="184"/>
      <c r="L495" s="184"/>
      <c r="M495" s="184"/>
      <c r="N495" s="184"/>
      <c r="O495" s="184"/>
      <c r="P495" s="184"/>
      <c r="Q495" s="184"/>
      <c r="R495" s="184"/>
      <c r="S495" s="186"/>
      <c r="T495" s="184">
        <v>0.0</v>
      </c>
    </row>
    <row r="496">
      <c r="A496" s="184"/>
      <c r="B496" s="184"/>
      <c r="C496" s="184"/>
      <c r="D496" s="184"/>
      <c r="E496" s="184"/>
      <c r="F496" s="184"/>
      <c r="G496" s="184"/>
      <c r="H496" s="184"/>
      <c r="I496" s="184"/>
      <c r="J496" s="184"/>
      <c r="K496" s="184"/>
      <c r="L496" s="184"/>
      <c r="M496" s="184"/>
      <c r="N496" s="184"/>
      <c r="O496" s="184"/>
      <c r="P496" s="184"/>
      <c r="Q496" s="184"/>
      <c r="R496" s="184"/>
      <c r="S496" s="186"/>
      <c r="T496" s="184">
        <v>0.0</v>
      </c>
    </row>
    <row r="497">
      <c r="A497" s="184"/>
      <c r="B497" s="184"/>
      <c r="C497" s="184"/>
      <c r="D497" s="184"/>
      <c r="E497" s="184"/>
      <c r="F497" s="184"/>
      <c r="G497" s="184"/>
      <c r="H497" s="184"/>
      <c r="I497" s="184"/>
      <c r="J497" s="184"/>
      <c r="K497" s="184"/>
      <c r="L497" s="184"/>
      <c r="M497" s="184"/>
      <c r="N497" s="184"/>
      <c r="O497" s="184"/>
      <c r="P497" s="184"/>
      <c r="Q497" s="184"/>
      <c r="R497" s="184"/>
      <c r="S497" s="186"/>
      <c r="T497" s="184">
        <v>0.0</v>
      </c>
    </row>
    <row r="498">
      <c r="A498" s="184"/>
      <c r="B498" s="184"/>
      <c r="C498" s="184"/>
      <c r="D498" s="184"/>
      <c r="E498" s="184"/>
      <c r="F498" s="184"/>
      <c r="G498" s="184"/>
      <c r="H498" s="184"/>
      <c r="I498" s="184"/>
      <c r="J498" s="184"/>
      <c r="K498" s="184"/>
      <c r="L498" s="184"/>
      <c r="M498" s="184"/>
      <c r="N498" s="184"/>
      <c r="O498" s="184"/>
      <c r="P498" s="184"/>
      <c r="Q498" s="184"/>
      <c r="R498" s="184"/>
      <c r="S498" s="186"/>
      <c r="T498" s="184">
        <v>0.0</v>
      </c>
    </row>
    <row r="499">
      <c r="A499" s="184"/>
      <c r="B499" s="184"/>
      <c r="C499" s="184"/>
      <c r="D499" s="184"/>
      <c r="E499" s="184"/>
      <c r="F499" s="184"/>
      <c r="G499" s="184"/>
      <c r="H499" s="184"/>
      <c r="I499" s="184"/>
      <c r="J499" s="184"/>
      <c r="K499" s="184"/>
      <c r="L499" s="184"/>
      <c r="M499" s="184"/>
      <c r="N499" s="184"/>
      <c r="O499" s="184"/>
      <c r="P499" s="184"/>
      <c r="Q499" s="184"/>
      <c r="R499" s="184"/>
      <c r="S499" s="186"/>
      <c r="T499" s="184">
        <v>0.0</v>
      </c>
    </row>
    <row r="500">
      <c r="A500" s="184"/>
      <c r="B500" s="184"/>
      <c r="C500" s="184"/>
      <c r="D500" s="184"/>
      <c r="E500" s="184"/>
      <c r="F500" s="184"/>
      <c r="G500" s="184"/>
      <c r="H500" s="184"/>
      <c r="I500" s="184"/>
      <c r="J500" s="184"/>
      <c r="K500" s="184"/>
      <c r="L500" s="184"/>
      <c r="M500" s="184"/>
      <c r="N500" s="184"/>
      <c r="O500" s="184"/>
      <c r="P500" s="184"/>
      <c r="Q500" s="184"/>
      <c r="R500" s="184"/>
      <c r="S500" s="186"/>
      <c r="T500" s="184">
        <v>0.0</v>
      </c>
    </row>
    <row r="501">
      <c r="A501" s="184"/>
      <c r="B501" s="184"/>
      <c r="C501" s="184"/>
      <c r="D501" s="184"/>
      <c r="E501" s="184"/>
      <c r="F501" s="184"/>
      <c r="G501" s="184"/>
      <c r="H501" s="184"/>
      <c r="I501" s="184"/>
      <c r="J501" s="184"/>
      <c r="K501" s="184"/>
      <c r="L501" s="184"/>
      <c r="M501" s="184"/>
      <c r="N501" s="184"/>
      <c r="O501" s="184"/>
      <c r="P501" s="184"/>
      <c r="Q501" s="184"/>
      <c r="R501" s="184"/>
      <c r="S501" s="186"/>
      <c r="T501" s="184">
        <v>0.0</v>
      </c>
    </row>
    <row r="502">
      <c r="A502" s="184"/>
      <c r="B502" s="184"/>
      <c r="C502" s="184"/>
      <c r="D502" s="184"/>
      <c r="E502" s="184"/>
      <c r="F502" s="184"/>
      <c r="G502" s="184"/>
      <c r="H502" s="184"/>
      <c r="I502" s="184"/>
      <c r="J502" s="184"/>
      <c r="K502" s="184"/>
      <c r="L502" s="184"/>
      <c r="M502" s="184"/>
      <c r="N502" s="184"/>
      <c r="O502" s="184"/>
      <c r="P502" s="184"/>
      <c r="Q502" s="184"/>
      <c r="R502" s="184"/>
      <c r="S502" s="186"/>
      <c r="T502" s="184">
        <v>0.0</v>
      </c>
    </row>
    <row r="503">
      <c r="A503" s="184"/>
      <c r="B503" s="184"/>
      <c r="C503" s="184"/>
      <c r="D503" s="184"/>
      <c r="E503" s="184"/>
      <c r="F503" s="184"/>
      <c r="G503" s="184"/>
      <c r="H503" s="184"/>
      <c r="I503" s="184"/>
      <c r="J503" s="184"/>
      <c r="K503" s="184"/>
      <c r="L503" s="184"/>
      <c r="M503" s="184"/>
      <c r="N503" s="184"/>
      <c r="O503" s="184"/>
      <c r="P503" s="184"/>
      <c r="Q503" s="184"/>
      <c r="R503" s="184"/>
      <c r="S503" s="186"/>
      <c r="T503" s="184">
        <v>0.0</v>
      </c>
    </row>
    <row r="504">
      <c r="A504" s="184"/>
      <c r="B504" s="184"/>
      <c r="C504" s="184"/>
      <c r="D504" s="184"/>
      <c r="E504" s="184"/>
      <c r="F504" s="184"/>
      <c r="G504" s="184"/>
      <c r="H504" s="184"/>
      <c r="I504" s="184"/>
      <c r="J504" s="184"/>
      <c r="K504" s="184"/>
      <c r="L504" s="184"/>
      <c r="M504" s="184"/>
      <c r="N504" s="184"/>
      <c r="O504" s="184"/>
      <c r="P504" s="184"/>
      <c r="Q504" s="184"/>
      <c r="R504" s="184"/>
      <c r="S504" s="186"/>
      <c r="T504" s="184">
        <v>0.0</v>
      </c>
    </row>
    <row r="505">
      <c r="A505" s="184"/>
      <c r="B505" s="184"/>
      <c r="C505" s="184"/>
      <c r="D505" s="184"/>
      <c r="E505" s="184"/>
      <c r="F505" s="184"/>
      <c r="G505" s="184"/>
      <c r="H505" s="184"/>
      <c r="I505" s="184"/>
      <c r="J505" s="184"/>
      <c r="K505" s="184"/>
      <c r="L505" s="184"/>
      <c r="M505" s="184"/>
      <c r="N505" s="184"/>
      <c r="O505" s="184"/>
      <c r="P505" s="184"/>
      <c r="Q505" s="184"/>
      <c r="R505" s="184"/>
      <c r="S505" s="186"/>
      <c r="T505" s="184">
        <v>0.0</v>
      </c>
    </row>
    <row r="506">
      <c r="A506" s="184"/>
      <c r="B506" s="184"/>
      <c r="C506" s="184"/>
      <c r="D506" s="184"/>
      <c r="E506" s="184"/>
      <c r="F506" s="184"/>
      <c r="G506" s="184"/>
      <c r="H506" s="184"/>
      <c r="I506" s="184"/>
      <c r="J506" s="184"/>
      <c r="K506" s="184"/>
      <c r="L506" s="184"/>
      <c r="M506" s="184"/>
      <c r="N506" s="184"/>
      <c r="O506" s="184"/>
      <c r="P506" s="184"/>
      <c r="Q506" s="184"/>
      <c r="R506" s="184"/>
      <c r="S506" s="186"/>
      <c r="T506" s="184">
        <v>0.0</v>
      </c>
    </row>
    <row r="507">
      <c r="A507" s="184"/>
      <c r="B507" s="184"/>
      <c r="C507" s="184"/>
      <c r="D507" s="184"/>
      <c r="E507" s="184"/>
      <c r="F507" s="184"/>
      <c r="G507" s="184"/>
      <c r="H507" s="184"/>
      <c r="I507" s="184"/>
      <c r="J507" s="184"/>
      <c r="K507" s="184"/>
      <c r="L507" s="184"/>
      <c r="M507" s="184"/>
      <c r="N507" s="184"/>
      <c r="O507" s="184"/>
      <c r="P507" s="184"/>
      <c r="Q507" s="184"/>
      <c r="R507" s="184"/>
      <c r="S507" s="186"/>
      <c r="T507" s="184">
        <v>0.0</v>
      </c>
    </row>
    <row r="508">
      <c r="A508" s="184"/>
      <c r="B508" s="184"/>
      <c r="C508" s="184"/>
      <c r="D508" s="184"/>
      <c r="E508" s="184"/>
      <c r="F508" s="184"/>
      <c r="G508" s="184"/>
      <c r="H508" s="184"/>
      <c r="I508" s="184"/>
      <c r="J508" s="184"/>
      <c r="K508" s="184"/>
      <c r="L508" s="184"/>
      <c r="M508" s="184"/>
      <c r="N508" s="184"/>
      <c r="O508" s="184"/>
      <c r="P508" s="184"/>
      <c r="Q508" s="184"/>
      <c r="R508" s="184"/>
      <c r="S508" s="186"/>
      <c r="T508" s="184">
        <v>0.0</v>
      </c>
    </row>
    <row r="509">
      <c r="A509" s="184"/>
      <c r="B509" s="184"/>
      <c r="C509" s="184"/>
      <c r="D509" s="184"/>
      <c r="E509" s="184"/>
      <c r="F509" s="184"/>
      <c r="G509" s="184"/>
      <c r="H509" s="184"/>
      <c r="I509" s="184"/>
      <c r="J509" s="184"/>
      <c r="K509" s="184"/>
      <c r="L509" s="184"/>
      <c r="M509" s="184"/>
      <c r="N509" s="184"/>
      <c r="O509" s="184"/>
      <c r="P509" s="184"/>
      <c r="Q509" s="184"/>
      <c r="R509" s="184"/>
      <c r="S509" s="186"/>
      <c r="T509" s="184">
        <v>0.0</v>
      </c>
    </row>
    <row r="510">
      <c r="A510" s="184"/>
      <c r="B510" s="184"/>
      <c r="C510" s="184"/>
      <c r="D510" s="184"/>
      <c r="E510" s="184"/>
      <c r="F510" s="184"/>
      <c r="G510" s="184"/>
      <c r="H510" s="184"/>
      <c r="I510" s="184"/>
      <c r="J510" s="184"/>
      <c r="K510" s="184"/>
      <c r="L510" s="184"/>
      <c r="M510" s="184"/>
      <c r="N510" s="184"/>
      <c r="O510" s="184"/>
      <c r="P510" s="184"/>
      <c r="Q510" s="184"/>
      <c r="R510" s="184"/>
      <c r="S510" s="186"/>
      <c r="T510" s="184">
        <v>0.0</v>
      </c>
    </row>
    <row r="511">
      <c r="A511" s="184"/>
      <c r="B511" s="184"/>
      <c r="C511" s="184"/>
      <c r="D511" s="184"/>
      <c r="E511" s="184"/>
      <c r="F511" s="184"/>
      <c r="G511" s="184"/>
      <c r="H511" s="184"/>
      <c r="I511" s="184"/>
      <c r="J511" s="184"/>
      <c r="K511" s="184"/>
      <c r="L511" s="184"/>
      <c r="M511" s="184"/>
      <c r="N511" s="184"/>
      <c r="O511" s="184"/>
      <c r="P511" s="184"/>
      <c r="Q511" s="184"/>
      <c r="R511" s="184"/>
      <c r="S511" s="186"/>
      <c r="T511" s="184">
        <v>0.0</v>
      </c>
    </row>
    <row r="512">
      <c r="A512" s="184"/>
      <c r="B512" s="184"/>
      <c r="C512" s="184"/>
      <c r="D512" s="184"/>
      <c r="E512" s="184"/>
      <c r="F512" s="184"/>
      <c r="G512" s="184"/>
      <c r="H512" s="184"/>
      <c r="I512" s="184"/>
      <c r="J512" s="184"/>
      <c r="K512" s="184"/>
      <c r="L512" s="184"/>
      <c r="M512" s="184"/>
      <c r="N512" s="184"/>
      <c r="O512" s="184"/>
      <c r="P512" s="184"/>
      <c r="Q512" s="184"/>
      <c r="R512" s="184"/>
      <c r="S512" s="186"/>
      <c r="T512" s="184">
        <v>0.0</v>
      </c>
    </row>
    <row r="513">
      <c r="A513" s="184"/>
      <c r="B513" s="184"/>
      <c r="C513" s="184"/>
      <c r="D513" s="184"/>
      <c r="E513" s="184"/>
      <c r="F513" s="184"/>
      <c r="G513" s="184"/>
      <c r="H513" s="184"/>
      <c r="I513" s="184"/>
      <c r="J513" s="184"/>
      <c r="K513" s="184"/>
      <c r="L513" s="184"/>
      <c r="M513" s="184"/>
      <c r="N513" s="184"/>
      <c r="O513" s="184"/>
      <c r="P513" s="184"/>
      <c r="Q513" s="184"/>
      <c r="R513" s="184"/>
      <c r="S513" s="186"/>
      <c r="T513" s="184">
        <v>0.0</v>
      </c>
    </row>
    <row r="514">
      <c r="A514" s="184"/>
      <c r="B514" s="184"/>
      <c r="C514" s="184"/>
      <c r="D514" s="184"/>
      <c r="E514" s="184"/>
      <c r="F514" s="184"/>
      <c r="G514" s="184"/>
      <c r="H514" s="184"/>
      <c r="I514" s="184"/>
      <c r="J514" s="184"/>
      <c r="K514" s="184"/>
      <c r="L514" s="184"/>
      <c r="M514" s="184"/>
      <c r="N514" s="184"/>
      <c r="O514" s="184"/>
      <c r="P514" s="184"/>
      <c r="Q514" s="184"/>
      <c r="R514" s="184"/>
      <c r="S514" s="186"/>
      <c r="T514" s="184">
        <v>0.0</v>
      </c>
    </row>
    <row r="515">
      <c r="A515" s="184"/>
      <c r="B515" s="184"/>
      <c r="C515" s="184"/>
      <c r="D515" s="184"/>
      <c r="E515" s="184"/>
      <c r="F515" s="184"/>
      <c r="G515" s="184"/>
      <c r="H515" s="184"/>
      <c r="I515" s="184"/>
      <c r="J515" s="184"/>
      <c r="K515" s="184"/>
      <c r="L515" s="184"/>
      <c r="M515" s="184"/>
      <c r="N515" s="184"/>
      <c r="O515" s="184"/>
      <c r="P515" s="184"/>
      <c r="Q515" s="184"/>
      <c r="R515" s="184"/>
      <c r="S515" s="186"/>
      <c r="T515" s="184">
        <v>0.0</v>
      </c>
    </row>
    <row r="516">
      <c r="A516" s="184"/>
      <c r="B516" s="184"/>
      <c r="C516" s="184"/>
      <c r="D516" s="184"/>
      <c r="E516" s="184"/>
      <c r="F516" s="184"/>
      <c r="G516" s="184"/>
      <c r="H516" s="184"/>
      <c r="I516" s="184"/>
      <c r="J516" s="184"/>
      <c r="K516" s="184"/>
      <c r="L516" s="184"/>
      <c r="M516" s="184"/>
      <c r="N516" s="184"/>
      <c r="O516" s="184"/>
      <c r="P516" s="184"/>
      <c r="Q516" s="184"/>
      <c r="R516" s="184"/>
      <c r="S516" s="186"/>
      <c r="T516" s="184">
        <v>0.0</v>
      </c>
    </row>
    <row r="517">
      <c r="A517" s="184"/>
      <c r="B517" s="184"/>
      <c r="C517" s="184"/>
      <c r="D517" s="184"/>
      <c r="E517" s="184"/>
      <c r="F517" s="184"/>
      <c r="G517" s="184"/>
      <c r="H517" s="184"/>
      <c r="I517" s="184"/>
      <c r="J517" s="184"/>
      <c r="K517" s="184"/>
      <c r="L517" s="184"/>
      <c r="M517" s="184"/>
      <c r="N517" s="184"/>
      <c r="O517" s="184"/>
      <c r="P517" s="184"/>
      <c r="Q517" s="184"/>
      <c r="R517" s="184"/>
      <c r="S517" s="186"/>
      <c r="T517" s="184">
        <v>0.0</v>
      </c>
    </row>
    <row r="518">
      <c r="A518" s="184"/>
      <c r="B518" s="184"/>
      <c r="C518" s="184"/>
      <c r="D518" s="184"/>
      <c r="E518" s="184"/>
      <c r="F518" s="184"/>
      <c r="G518" s="184"/>
      <c r="H518" s="184"/>
      <c r="I518" s="184"/>
      <c r="J518" s="184"/>
      <c r="K518" s="184"/>
      <c r="L518" s="184"/>
      <c r="M518" s="184"/>
      <c r="N518" s="184"/>
      <c r="O518" s="184"/>
      <c r="P518" s="184"/>
      <c r="Q518" s="184"/>
      <c r="R518" s="184"/>
      <c r="S518" s="186"/>
      <c r="T518" s="184">
        <v>0.0</v>
      </c>
    </row>
    <row r="519">
      <c r="A519" s="184"/>
      <c r="B519" s="184"/>
      <c r="C519" s="184"/>
      <c r="D519" s="184"/>
      <c r="E519" s="184"/>
      <c r="F519" s="184"/>
      <c r="G519" s="184"/>
      <c r="H519" s="184"/>
      <c r="I519" s="184"/>
      <c r="J519" s="184"/>
      <c r="K519" s="184"/>
      <c r="L519" s="184"/>
      <c r="M519" s="184"/>
      <c r="N519" s="184"/>
      <c r="O519" s="184"/>
      <c r="P519" s="184"/>
      <c r="Q519" s="184"/>
      <c r="R519" s="184"/>
      <c r="S519" s="186"/>
      <c r="T519" s="184">
        <v>0.0</v>
      </c>
    </row>
    <row r="520">
      <c r="A520" s="184"/>
      <c r="B520" s="184"/>
      <c r="C520" s="184"/>
      <c r="D520" s="184"/>
      <c r="E520" s="184"/>
      <c r="F520" s="184"/>
      <c r="G520" s="184"/>
      <c r="H520" s="184"/>
      <c r="I520" s="184"/>
      <c r="J520" s="184"/>
      <c r="K520" s="184"/>
      <c r="L520" s="184"/>
      <c r="M520" s="184"/>
      <c r="N520" s="184"/>
      <c r="O520" s="184"/>
      <c r="P520" s="184"/>
      <c r="Q520" s="184"/>
      <c r="R520" s="184"/>
      <c r="S520" s="186"/>
      <c r="T520" s="184">
        <v>0.0</v>
      </c>
    </row>
    <row r="521">
      <c r="A521" s="184"/>
      <c r="B521" s="184"/>
      <c r="C521" s="184"/>
      <c r="D521" s="184"/>
      <c r="E521" s="184"/>
      <c r="F521" s="184"/>
      <c r="G521" s="184"/>
      <c r="H521" s="184"/>
      <c r="I521" s="184"/>
      <c r="J521" s="184"/>
      <c r="K521" s="184"/>
      <c r="L521" s="184"/>
      <c r="M521" s="184"/>
      <c r="N521" s="184"/>
      <c r="O521" s="184"/>
      <c r="P521" s="184"/>
      <c r="Q521" s="184"/>
      <c r="R521" s="184"/>
      <c r="S521" s="186"/>
      <c r="T521" s="184">
        <v>0.0</v>
      </c>
    </row>
    <row r="522">
      <c r="A522" s="184"/>
      <c r="B522" s="184"/>
      <c r="C522" s="184"/>
      <c r="D522" s="184"/>
      <c r="E522" s="184"/>
      <c r="F522" s="184"/>
      <c r="G522" s="184"/>
      <c r="H522" s="184"/>
      <c r="I522" s="184"/>
      <c r="J522" s="184"/>
      <c r="K522" s="184"/>
      <c r="L522" s="184"/>
      <c r="M522" s="184"/>
      <c r="N522" s="184"/>
      <c r="O522" s="184"/>
      <c r="P522" s="184"/>
      <c r="Q522" s="184"/>
      <c r="R522" s="184"/>
      <c r="S522" s="186"/>
      <c r="T522" s="184">
        <v>0.0</v>
      </c>
    </row>
    <row r="523">
      <c r="A523" s="184"/>
      <c r="B523" s="184"/>
      <c r="C523" s="184"/>
      <c r="D523" s="184"/>
      <c r="E523" s="184"/>
      <c r="F523" s="184"/>
      <c r="G523" s="184"/>
      <c r="H523" s="184"/>
      <c r="I523" s="184"/>
      <c r="J523" s="184"/>
      <c r="K523" s="184"/>
      <c r="L523" s="184"/>
      <c r="M523" s="184"/>
      <c r="N523" s="184"/>
      <c r="O523" s="184"/>
      <c r="P523" s="184"/>
      <c r="Q523" s="184"/>
      <c r="R523" s="184"/>
      <c r="S523" s="186"/>
      <c r="T523" s="184">
        <v>0.0</v>
      </c>
    </row>
    <row r="524">
      <c r="A524" s="184"/>
      <c r="B524" s="184"/>
      <c r="C524" s="184"/>
      <c r="D524" s="184"/>
      <c r="E524" s="184"/>
      <c r="F524" s="184"/>
      <c r="G524" s="184"/>
      <c r="H524" s="184"/>
      <c r="I524" s="184"/>
      <c r="J524" s="184"/>
      <c r="K524" s="184"/>
      <c r="L524" s="184"/>
      <c r="M524" s="184"/>
      <c r="N524" s="184"/>
      <c r="O524" s="184"/>
      <c r="P524" s="184"/>
      <c r="Q524" s="184"/>
      <c r="R524" s="184"/>
      <c r="S524" s="186"/>
      <c r="T524" s="184">
        <v>0.0</v>
      </c>
    </row>
    <row r="525">
      <c r="A525" s="184"/>
      <c r="B525" s="184"/>
      <c r="C525" s="184"/>
      <c r="D525" s="184"/>
      <c r="E525" s="184"/>
      <c r="F525" s="184"/>
      <c r="G525" s="184"/>
      <c r="H525" s="184"/>
      <c r="I525" s="184"/>
      <c r="J525" s="184"/>
      <c r="K525" s="184"/>
      <c r="L525" s="184"/>
      <c r="M525" s="184"/>
      <c r="N525" s="184"/>
      <c r="O525" s="184"/>
      <c r="P525" s="184"/>
      <c r="Q525" s="184"/>
      <c r="R525" s="184"/>
      <c r="S525" s="186"/>
      <c r="T525" s="184">
        <v>0.0</v>
      </c>
    </row>
    <row r="526">
      <c r="A526" s="184"/>
      <c r="B526" s="184"/>
      <c r="C526" s="184"/>
      <c r="D526" s="184"/>
      <c r="E526" s="184"/>
      <c r="F526" s="184"/>
      <c r="G526" s="184"/>
      <c r="H526" s="184"/>
      <c r="I526" s="184"/>
      <c r="J526" s="184"/>
      <c r="K526" s="184"/>
      <c r="L526" s="184"/>
      <c r="M526" s="184"/>
      <c r="N526" s="184"/>
      <c r="O526" s="184"/>
      <c r="P526" s="184"/>
      <c r="Q526" s="184"/>
      <c r="R526" s="184"/>
      <c r="S526" s="186"/>
      <c r="T526" s="184">
        <v>0.0</v>
      </c>
    </row>
    <row r="527">
      <c r="A527" s="184"/>
      <c r="B527" s="184"/>
      <c r="C527" s="184"/>
      <c r="D527" s="184"/>
      <c r="E527" s="184"/>
      <c r="F527" s="184"/>
      <c r="G527" s="184"/>
      <c r="H527" s="184"/>
      <c r="I527" s="184"/>
      <c r="J527" s="184"/>
      <c r="K527" s="184"/>
      <c r="L527" s="184"/>
      <c r="M527" s="184"/>
      <c r="N527" s="184"/>
      <c r="O527" s="184"/>
      <c r="P527" s="184"/>
      <c r="Q527" s="184"/>
      <c r="R527" s="184"/>
      <c r="S527" s="186"/>
      <c r="T527" s="184">
        <v>0.0</v>
      </c>
    </row>
    <row r="528">
      <c r="A528" s="184"/>
      <c r="B528" s="184"/>
      <c r="C528" s="184"/>
      <c r="D528" s="184"/>
      <c r="E528" s="184"/>
      <c r="F528" s="184"/>
      <c r="G528" s="184"/>
      <c r="H528" s="184"/>
      <c r="I528" s="184"/>
      <c r="J528" s="184"/>
      <c r="K528" s="184"/>
      <c r="L528" s="184"/>
      <c r="M528" s="184"/>
      <c r="N528" s="184"/>
      <c r="O528" s="184"/>
      <c r="P528" s="184"/>
      <c r="Q528" s="184"/>
      <c r="R528" s="184"/>
      <c r="S528" s="186"/>
      <c r="T528" s="184">
        <v>0.0</v>
      </c>
    </row>
    <row r="529">
      <c r="A529" s="184"/>
      <c r="B529" s="184"/>
      <c r="C529" s="184"/>
      <c r="D529" s="184"/>
      <c r="E529" s="184"/>
      <c r="F529" s="184"/>
      <c r="G529" s="184"/>
      <c r="H529" s="184"/>
      <c r="I529" s="184"/>
      <c r="J529" s="184"/>
      <c r="K529" s="184"/>
      <c r="L529" s="184"/>
      <c r="M529" s="184"/>
      <c r="N529" s="184"/>
      <c r="O529" s="184"/>
      <c r="P529" s="184"/>
      <c r="Q529" s="184"/>
      <c r="R529" s="184"/>
      <c r="S529" s="186"/>
      <c r="T529" s="184">
        <v>0.0</v>
      </c>
    </row>
    <row r="530">
      <c r="A530" s="184"/>
      <c r="B530" s="184"/>
      <c r="C530" s="184"/>
      <c r="D530" s="184"/>
      <c r="E530" s="184"/>
      <c r="F530" s="184"/>
      <c r="G530" s="184"/>
      <c r="H530" s="184"/>
      <c r="I530" s="184"/>
      <c r="J530" s="184"/>
      <c r="K530" s="184"/>
      <c r="L530" s="184"/>
      <c r="M530" s="184"/>
      <c r="N530" s="184"/>
      <c r="O530" s="184"/>
      <c r="P530" s="184"/>
      <c r="Q530" s="184"/>
      <c r="R530" s="184"/>
      <c r="S530" s="186"/>
      <c r="T530" s="184">
        <v>0.0</v>
      </c>
    </row>
    <row r="531">
      <c r="A531" s="184"/>
      <c r="B531" s="184"/>
      <c r="C531" s="184"/>
      <c r="D531" s="184"/>
      <c r="E531" s="184"/>
      <c r="F531" s="184"/>
      <c r="G531" s="184"/>
      <c r="H531" s="184"/>
      <c r="I531" s="184"/>
      <c r="J531" s="184"/>
      <c r="K531" s="184"/>
      <c r="L531" s="184"/>
      <c r="M531" s="184"/>
      <c r="N531" s="184"/>
      <c r="O531" s="184"/>
      <c r="P531" s="184"/>
      <c r="Q531" s="184"/>
      <c r="R531" s="184"/>
      <c r="S531" s="186"/>
      <c r="T531" s="184">
        <v>0.0</v>
      </c>
    </row>
    <row r="532">
      <c r="A532" s="184"/>
      <c r="B532" s="184"/>
      <c r="C532" s="184"/>
      <c r="D532" s="184"/>
      <c r="E532" s="184"/>
      <c r="F532" s="184"/>
      <c r="G532" s="184"/>
      <c r="H532" s="184"/>
      <c r="I532" s="184"/>
      <c r="J532" s="184"/>
      <c r="K532" s="184"/>
      <c r="L532" s="184"/>
      <c r="M532" s="184"/>
      <c r="N532" s="184"/>
      <c r="O532" s="184"/>
      <c r="P532" s="184"/>
      <c r="Q532" s="184"/>
      <c r="R532" s="184"/>
      <c r="S532" s="186"/>
      <c r="T532" s="184">
        <v>0.0</v>
      </c>
    </row>
    <row r="533">
      <c r="A533" s="184"/>
      <c r="B533" s="184"/>
      <c r="C533" s="184"/>
      <c r="D533" s="184"/>
      <c r="E533" s="184"/>
      <c r="F533" s="184"/>
      <c r="G533" s="184"/>
      <c r="H533" s="184"/>
      <c r="I533" s="184"/>
      <c r="J533" s="184"/>
      <c r="K533" s="184"/>
      <c r="L533" s="184"/>
      <c r="M533" s="184"/>
      <c r="N533" s="184"/>
      <c r="O533" s="184"/>
      <c r="P533" s="184"/>
      <c r="Q533" s="184"/>
      <c r="R533" s="184"/>
      <c r="S533" s="186"/>
      <c r="T533" s="184">
        <v>0.0</v>
      </c>
    </row>
    <row r="534">
      <c r="A534" s="184"/>
      <c r="B534" s="184"/>
      <c r="C534" s="184"/>
      <c r="D534" s="184"/>
      <c r="E534" s="184"/>
      <c r="F534" s="184"/>
      <c r="G534" s="184"/>
      <c r="H534" s="184"/>
      <c r="I534" s="184"/>
      <c r="J534" s="184"/>
      <c r="K534" s="184"/>
      <c r="L534" s="184"/>
      <c r="M534" s="184"/>
      <c r="N534" s="184"/>
      <c r="O534" s="184"/>
      <c r="P534" s="184"/>
      <c r="Q534" s="184"/>
      <c r="R534" s="184"/>
      <c r="S534" s="186"/>
      <c r="T534" s="184">
        <v>0.0</v>
      </c>
    </row>
    <row r="535">
      <c r="A535" s="184"/>
      <c r="B535" s="184"/>
      <c r="C535" s="184"/>
      <c r="D535" s="184"/>
      <c r="E535" s="184"/>
      <c r="F535" s="184"/>
      <c r="G535" s="184"/>
      <c r="H535" s="184"/>
      <c r="I535" s="184"/>
      <c r="J535" s="184"/>
      <c r="K535" s="184"/>
      <c r="L535" s="184"/>
      <c r="M535" s="184"/>
      <c r="N535" s="184"/>
      <c r="O535" s="184"/>
      <c r="P535" s="184"/>
      <c r="Q535" s="184"/>
      <c r="R535" s="184"/>
      <c r="S535" s="186"/>
      <c r="T535" s="184">
        <v>0.0</v>
      </c>
    </row>
    <row r="536">
      <c r="A536" s="184"/>
      <c r="B536" s="184"/>
      <c r="C536" s="184"/>
      <c r="D536" s="184"/>
      <c r="E536" s="184"/>
      <c r="F536" s="184"/>
      <c r="G536" s="184"/>
      <c r="H536" s="184"/>
      <c r="I536" s="184"/>
      <c r="J536" s="184"/>
      <c r="K536" s="184"/>
      <c r="L536" s="184"/>
      <c r="M536" s="184"/>
      <c r="N536" s="184"/>
      <c r="O536" s="184"/>
      <c r="P536" s="184"/>
      <c r="Q536" s="184"/>
      <c r="R536" s="184"/>
      <c r="S536" s="186"/>
      <c r="T536" s="184">
        <v>0.0</v>
      </c>
    </row>
    <row r="537">
      <c r="A537" s="184"/>
      <c r="B537" s="184"/>
      <c r="C537" s="184"/>
      <c r="D537" s="184"/>
      <c r="E537" s="184"/>
      <c r="F537" s="184"/>
      <c r="G537" s="184"/>
      <c r="H537" s="184"/>
      <c r="I537" s="184"/>
      <c r="J537" s="184"/>
      <c r="K537" s="184"/>
      <c r="L537" s="184"/>
      <c r="M537" s="184"/>
      <c r="N537" s="184"/>
      <c r="O537" s="184"/>
      <c r="P537" s="184"/>
      <c r="Q537" s="184"/>
      <c r="R537" s="184"/>
      <c r="S537" s="186"/>
      <c r="T537" s="184">
        <v>0.0</v>
      </c>
    </row>
    <row r="538">
      <c r="A538" s="184"/>
      <c r="B538" s="184"/>
      <c r="C538" s="184"/>
      <c r="D538" s="184"/>
      <c r="E538" s="184"/>
      <c r="F538" s="184"/>
      <c r="G538" s="184"/>
      <c r="H538" s="184"/>
      <c r="I538" s="184"/>
      <c r="J538" s="184"/>
      <c r="K538" s="184"/>
      <c r="L538" s="184"/>
      <c r="M538" s="184"/>
      <c r="N538" s="184"/>
      <c r="O538" s="184"/>
      <c r="P538" s="184"/>
      <c r="Q538" s="184"/>
      <c r="R538" s="184"/>
      <c r="S538" s="186"/>
      <c r="T538" s="184">
        <v>0.0</v>
      </c>
    </row>
    <row r="539">
      <c r="A539" s="184"/>
      <c r="B539" s="184"/>
      <c r="C539" s="184"/>
      <c r="D539" s="184"/>
      <c r="E539" s="184"/>
      <c r="F539" s="184"/>
      <c r="G539" s="184"/>
      <c r="H539" s="184"/>
      <c r="I539" s="184"/>
      <c r="J539" s="184"/>
      <c r="K539" s="184"/>
      <c r="L539" s="184"/>
      <c r="M539" s="184"/>
      <c r="N539" s="184"/>
      <c r="O539" s="184"/>
      <c r="P539" s="184"/>
      <c r="Q539" s="184"/>
      <c r="R539" s="184"/>
      <c r="S539" s="186"/>
      <c r="T539" s="184">
        <v>0.0</v>
      </c>
    </row>
    <row r="540">
      <c r="A540" s="184"/>
      <c r="B540" s="184"/>
      <c r="C540" s="184"/>
      <c r="D540" s="184"/>
      <c r="E540" s="184"/>
      <c r="F540" s="184"/>
      <c r="G540" s="184"/>
      <c r="H540" s="184"/>
      <c r="I540" s="184"/>
      <c r="J540" s="184"/>
      <c r="K540" s="184"/>
      <c r="L540" s="184"/>
      <c r="M540" s="184"/>
      <c r="N540" s="184"/>
      <c r="O540" s="184"/>
      <c r="P540" s="184"/>
      <c r="Q540" s="184"/>
      <c r="R540" s="184"/>
      <c r="S540" s="186"/>
      <c r="T540" s="184">
        <v>0.0</v>
      </c>
    </row>
    <row r="541">
      <c r="A541" s="184"/>
      <c r="B541" s="184"/>
      <c r="C541" s="184"/>
      <c r="D541" s="184"/>
      <c r="E541" s="184"/>
      <c r="F541" s="184"/>
      <c r="G541" s="184"/>
      <c r="H541" s="184"/>
      <c r="I541" s="184"/>
      <c r="J541" s="184"/>
      <c r="K541" s="184"/>
      <c r="L541" s="184"/>
      <c r="M541" s="184"/>
      <c r="N541" s="184"/>
      <c r="O541" s="184"/>
      <c r="P541" s="184"/>
      <c r="Q541" s="184"/>
      <c r="R541" s="184"/>
      <c r="S541" s="186"/>
      <c r="T541" s="184">
        <v>0.0</v>
      </c>
    </row>
    <row r="542">
      <c r="A542" s="184"/>
      <c r="B542" s="184"/>
      <c r="C542" s="184"/>
      <c r="D542" s="184"/>
      <c r="E542" s="184"/>
      <c r="F542" s="184"/>
      <c r="G542" s="184"/>
      <c r="H542" s="184"/>
      <c r="I542" s="184"/>
      <c r="J542" s="184"/>
      <c r="K542" s="184"/>
      <c r="L542" s="184"/>
      <c r="M542" s="184"/>
      <c r="N542" s="184"/>
      <c r="O542" s="184"/>
      <c r="P542" s="184"/>
      <c r="Q542" s="184"/>
      <c r="R542" s="184"/>
      <c r="S542" s="186"/>
      <c r="T542" s="184">
        <v>0.0</v>
      </c>
    </row>
    <row r="543">
      <c r="A543" s="184"/>
      <c r="B543" s="184"/>
      <c r="C543" s="184"/>
      <c r="D543" s="184"/>
      <c r="E543" s="184"/>
      <c r="F543" s="184"/>
      <c r="G543" s="184"/>
      <c r="H543" s="184"/>
      <c r="I543" s="184"/>
      <c r="J543" s="184"/>
      <c r="K543" s="184"/>
      <c r="L543" s="184"/>
      <c r="M543" s="184"/>
      <c r="N543" s="184"/>
      <c r="O543" s="184"/>
      <c r="P543" s="184"/>
      <c r="Q543" s="184"/>
      <c r="R543" s="184"/>
      <c r="S543" s="186"/>
      <c r="T543" s="184">
        <v>0.0</v>
      </c>
    </row>
    <row r="544">
      <c r="A544" s="184"/>
      <c r="B544" s="184"/>
      <c r="C544" s="184"/>
      <c r="D544" s="184"/>
      <c r="E544" s="184"/>
      <c r="F544" s="184"/>
      <c r="G544" s="184"/>
      <c r="H544" s="184"/>
      <c r="I544" s="184"/>
      <c r="J544" s="184"/>
      <c r="K544" s="184"/>
      <c r="L544" s="184"/>
      <c r="M544" s="184"/>
      <c r="N544" s="184"/>
      <c r="O544" s="184"/>
      <c r="P544" s="184"/>
      <c r="Q544" s="184"/>
      <c r="R544" s="184"/>
      <c r="S544" s="186"/>
      <c r="T544" s="184">
        <v>0.0</v>
      </c>
    </row>
    <row r="545">
      <c r="A545" s="184"/>
      <c r="B545" s="184"/>
      <c r="C545" s="184"/>
      <c r="D545" s="184"/>
      <c r="E545" s="184"/>
      <c r="F545" s="184"/>
      <c r="G545" s="184"/>
      <c r="H545" s="184"/>
      <c r="I545" s="184"/>
      <c r="J545" s="184"/>
      <c r="K545" s="184"/>
      <c r="L545" s="184"/>
      <c r="M545" s="184"/>
      <c r="N545" s="184"/>
      <c r="O545" s="184"/>
      <c r="P545" s="184"/>
      <c r="Q545" s="184"/>
      <c r="R545" s="184"/>
      <c r="S545" s="186"/>
      <c r="T545" s="184">
        <v>0.0</v>
      </c>
    </row>
    <row r="546">
      <c r="A546" s="184"/>
      <c r="B546" s="184"/>
      <c r="C546" s="184"/>
      <c r="D546" s="184"/>
      <c r="E546" s="184"/>
      <c r="F546" s="184"/>
      <c r="G546" s="184"/>
      <c r="H546" s="184"/>
      <c r="I546" s="184"/>
      <c r="J546" s="184"/>
      <c r="K546" s="184"/>
      <c r="L546" s="184"/>
      <c r="M546" s="184"/>
      <c r="N546" s="184"/>
      <c r="O546" s="184"/>
      <c r="P546" s="184"/>
      <c r="Q546" s="184"/>
      <c r="R546" s="184"/>
      <c r="S546" s="186"/>
      <c r="T546" s="184">
        <v>0.0</v>
      </c>
    </row>
    <row r="547">
      <c r="A547" s="184"/>
      <c r="B547" s="184"/>
      <c r="C547" s="184"/>
      <c r="D547" s="184"/>
      <c r="E547" s="184"/>
      <c r="F547" s="184"/>
      <c r="G547" s="184"/>
      <c r="H547" s="184"/>
      <c r="I547" s="184"/>
      <c r="J547" s="184"/>
      <c r="K547" s="184"/>
      <c r="L547" s="184"/>
      <c r="M547" s="184"/>
      <c r="N547" s="184"/>
      <c r="O547" s="184"/>
      <c r="P547" s="184"/>
      <c r="Q547" s="184"/>
      <c r="R547" s="184"/>
      <c r="S547" s="186"/>
      <c r="T547" s="184">
        <v>0.0</v>
      </c>
    </row>
    <row r="548">
      <c r="A548" s="184"/>
      <c r="B548" s="184"/>
      <c r="C548" s="184"/>
      <c r="D548" s="184"/>
      <c r="E548" s="184"/>
      <c r="F548" s="184"/>
      <c r="G548" s="184"/>
      <c r="H548" s="184"/>
      <c r="I548" s="184"/>
      <c r="J548" s="184"/>
      <c r="K548" s="184"/>
      <c r="L548" s="184"/>
      <c r="M548" s="184"/>
      <c r="N548" s="184"/>
      <c r="O548" s="184"/>
      <c r="P548" s="184"/>
      <c r="Q548" s="184"/>
      <c r="R548" s="184"/>
      <c r="S548" s="186"/>
      <c r="T548" s="184">
        <v>0.0</v>
      </c>
    </row>
    <row r="549">
      <c r="A549" s="184"/>
      <c r="B549" s="184"/>
      <c r="C549" s="184"/>
      <c r="D549" s="184"/>
      <c r="E549" s="184"/>
      <c r="F549" s="184"/>
      <c r="G549" s="184"/>
      <c r="H549" s="184"/>
      <c r="I549" s="184"/>
      <c r="J549" s="184"/>
      <c r="K549" s="184"/>
      <c r="L549" s="184"/>
      <c r="M549" s="184"/>
      <c r="N549" s="184"/>
      <c r="O549" s="184"/>
      <c r="P549" s="184"/>
      <c r="Q549" s="184"/>
      <c r="R549" s="184"/>
      <c r="S549" s="186"/>
      <c r="T549" s="184">
        <v>0.0</v>
      </c>
    </row>
    <row r="550">
      <c r="A550" s="184"/>
      <c r="B550" s="184"/>
      <c r="C550" s="184"/>
      <c r="D550" s="184"/>
      <c r="E550" s="184"/>
      <c r="F550" s="184"/>
      <c r="G550" s="184"/>
      <c r="H550" s="184"/>
      <c r="I550" s="184"/>
      <c r="J550" s="184"/>
      <c r="K550" s="184"/>
      <c r="L550" s="184"/>
      <c r="M550" s="184"/>
      <c r="N550" s="184"/>
      <c r="O550" s="184"/>
      <c r="P550" s="184"/>
      <c r="Q550" s="184"/>
      <c r="R550" s="184"/>
      <c r="S550" s="186"/>
      <c r="T550" s="184">
        <v>0.0</v>
      </c>
    </row>
    <row r="551">
      <c r="A551" s="184"/>
      <c r="B551" s="184"/>
      <c r="C551" s="184"/>
      <c r="D551" s="184"/>
      <c r="E551" s="184"/>
      <c r="F551" s="184"/>
      <c r="G551" s="184"/>
      <c r="H551" s="184"/>
      <c r="I551" s="184"/>
      <c r="J551" s="184"/>
      <c r="K551" s="184"/>
      <c r="L551" s="184"/>
      <c r="M551" s="184"/>
      <c r="N551" s="184"/>
      <c r="O551" s="184"/>
      <c r="P551" s="184"/>
      <c r="Q551" s="184"/>
      <c r="R551" s="184"/>
      <c r="S551" s="186"/>
      <c r="T551" s="184">
        <v>0.0</v>
      </c>
    </row>
    <row r="552">
      <c r="A552" s="184"/>
      <c r="B552" s="184"/>
      <c r="C552" s="184"/>
      <c r="D552" s="184"/>
      <c r="E552" s="184"/>
      <c r="F552" s="184"/>
      <c r="G552" s="184"/>
      <c r="H552" s="184"/>
      <c r="I552" s="184"/>
      <c r="J552" s="184"/>
      <c r="K552" s="184"/>
      <c r="L552" s="184"/>
      <c r="M552" s="184"/>
      <c r="N552" s="184"/>
      <c r="O552" s="184"/>
      <c r="P552" s="184"/>
      <c r="Q552" s="184"/>
      <c r="R552" s="184"/>
      <c r="S552" s="186"/>
      <c r="T552" s="184">
        <v>0.0</v>
      </c>
    </row>
    <row r="553">
      <c r="A553" s="184"/>
      <c r="B553" s="184"/>
      <c r="C553" s="184"/>
      <c r="D553" s="184"/>
      <c r="E553" s="184"/>
      <c r="F553" s="184"/>
      <c r="G553" s="184"/>
      <c r="H553" s="184"/>
      <c r="I553" s="184"/>
      <c r="J553" s="184"/>
      <c r="K553" s="184"/>
      <c r="L553" s="184"/>
      <c r="M553" s="184"/>
      <c r="N553" s="184"/>
      <c r="O553" s="184"/>
      <c r="P553" s="184"/>
      <c r="Q553" s="184"/>
      <c r="R553" s="184"/>
      <c r="S553" s="186"/>
      <c r="T553" s="184">
        <v>0.0</v>
      </c>
    </row>
    <row r="554">
      <c r="A554" s="184"/>
      <c r="B554" s="184"/>
      <c r="C554" s="184"/>
      <c r="D554" s="184"/>
      <c r="E554" s="184"/>
      <c r="F554" s="184"/>
      <c r="G554" s="184"/>
      <c r="H554" s="184"/>
      <c r="I554" s="184"/>
      <c r="J554" s="184"/>
      <c r="K554" s="184"/>
      <c r="L554" s="184"/>
      <c r="M554" s="184"/>
      <c r="N554" s="184"/>
      <c r="O554" s="184"/>
      <c r="P554" s="184"/>
      <c r="Q554" s="184"/>
      <c r="R554" s="184"/>
      <c r="S554" s="186"/>
      <c r="T554" s="184">
        <v>0.0</v>
      </c>
    </row>
    <row r="555">
      <c r="A555" s="184"/>
      <c r="B555" s="184"/>
      <c r="C555" s="184"/>
      <c r="D555" s="184"/>
      <c r="E555" s="184"/>
      <c r="F555" s="184"/>
      <c r="G555" s="184"/>
      <c r="H555" s="184"/>
      <c r="I555" s="184"/>
      <c r="J555" s="184"/>
      <c r="K555" s="184"/>
      <c r="L555" s="184"/>
      <c r="M555" s="184"/>
      <c r="N555" s="184"/>
      <c r="O555" s="184"/>
      <c r="P555" s="184"/>
      <c r="Q555" s="184"/>
      <c r="R555" s="184"/>
      <c r="S555" s="186"/>
      <c r="T555" s="184">
        <v>0.0</v>
      </c>
    </row>
    <row r="556">
      <c r="A556" s="184"/>
      <c r="B556" s="184"/>
      <c r="C556" s="184"/>
      <c r="D556" s="184"/>
      <c r="E556" s="184"/>
      <c r="F556" s="184"/>
      <c r="G556" s="184"/>
      <c r="H556" s="184"/>
      <c r="I556" s="184"/>
      <c r="J556" s="184"/>
      <c r="K556" s="184"/>
      <c r="L556" s="184"/>
      <c r="M556" s="184"/>
      <c r="N556" s="184"/>
      <c r="O556" s="184"/>
      <c r="P556" s="184"/>
      <c r="Q556" s="184"/>
      <c r="R556" s="184"/>
      <c r="S556" s="186"/>
      <c r="T556" s="184">
        <v>0.0</v>
      </c>
    </row>
    <row r="557">
      <c r="A557" s="184"/>
      <c r="B557" s="184"/>
      <c r="C557" s="184"/>
      <c r="D557" s="184"/>
      <c r="E557" s="184"/>
      <c r="F557" s="184"/>
      <c r="G557" s="184"/>
      <c r="H557" s="184"/>
      <c r="I557" s="184"/>
      <c r="J557" s="184"/>
      <c r="K557" s="184"/>
      <c r="L557" s="184"/>
      <c r="M557" s="184"/>
      <c r="N557" s="184"/>
      <c r="O557" s="184"/>
      <c r="P557" s="184"/>
      <c r="Q557" s="184"/>
      <c r="R557" s="184"/>
      <c r="S557" s="186"/>
      <c r="T557" s="184">
        <v>0.0</v>
      </c>
    </row>
    <row r="558">
      <c r="A558" s="184"/>
      <c r="B558" s="184"/>
      <c r="C558" s="184"/>
      <c r="D558" s="184"/>
      <c r="E558" s="184"/>
      <c r="F558" s="184"/>
      <c r="G558" s="184"/>
      <c r="H558" s="184"/>
      <c r="I558" s="184"/>
      <c r="J558" s="184"/>
      <c r="K558" s="184"/>
      <c r="L558" s="184"/>
      <c r="M558" s="184"/>
      <c r="N558" s="184"/>
      <c r="O558" s="184"/>
      <c r="P558" s="184"/>
      <c r="Q558" s="184"/>
      <c r="R558" s="184"/>
      <c r="S558" s="186"/>
      <c r="T558" s="184">
        <v>0.0</v>
      </c>
    </row>
    <row r="559">
      <c r="A559" s="184"/>
      <c r="B559" s="184"/>
      <c r="C559" s="184"/>
      <c r="D559" s="184"/>
      <c r="E559" s="184"/>
      <c r="F559" s="184"/>
      <c r="G559" s="184"/>
      <c r="H559" s="184"/>
      <c r="I559" s="184"/>
      <c r="J559" s="184"/>
      <c r="K559" s="184"/>
      <c r="L559" s="184"/>
      <c r="M559" s="184"/>
      <c r="N559" s="184"/>
      <c r="O559" s="184"/>
      <c r="P559" s="184"/>
      <c r="Q559" s="184"/>
      <c r="R559" s="184"/>
      <c r="S559" s="186"/>
      <c r="T559" s="184">
        <v>0.0</v>
      </c>
    </row>
    <row r="560">
      <c r="A560" s="184"/>
      <c r="B560" s="184"/>
      <c r="C560" s="184"/>
      <c r="D560" s="184"/>
      <c r="E560" s="184"/>
      <c r="F560" s="184"/>
      <c r="G560" s="184"/>
      <c r="H560" s="184"/>
      <c r="I560" s="184"/>
      <c r="J560" s="184"/>
      <c r="K560" s="184"/>
      <c r="L560" s="184"/>
      <c r="M560" s="184"/>
      <c r="N560" s="184"/>
      <c r="O560" s="184"/>
      <c r="P560" s="184"/>
      <c r="Q560" s="184"/>
      <c r="R560" s="184"/>
      <c r="S560" s="186"/>
      <c r="T560" s="184">
        <v>0.0</v>
      </c>
    </row>
    <row r="561">
      <c r="A561" s="184"/>
      <c r="B561" s="184"/>
      <c r="C561" s="184"/>
      <c r="D561" s="184"/>
      <c r="E561" s="184"/>
      <c r="F561" s="184"/>
      <c r="G561" s="184"/>
      <c r="H561" s="184"/>
      <c r="I561" s="184"/>
      <c r="J561" s="184"/>
      <c r="K561" s="184"/>
      <c r="L561" s="184"/>
      <c r="M561" s="184"/>
      <c r="N561" s="184"/>
      <c r="O561" s="184"/>
      <c r="P561" s="184"/>
      <c r="Q561" s="184"/>
      <c r="R561" s="184"/>
      <c r="S561" s="186"/>
      <c r="T561" s="184">
        <v>0.0</v>
      </c>
    </row>
    <row r="562">
      <c r="A562" s="184"/>
      <c r="B562" s="184"/>
      <c r="C562" s="184"/>
      <c r="D562" s="184"/>
      <c r="E562" s="184"/>
      <c r="F562" s="184"/>
      <c r="G562" s="184"/>
      <c r="H562" s="184"/>
      <c r="I562" s="184"/>
      <c r="J562" s="184"/>
      <c r="K562" s="184"/>
      <c r="L562" s="184"/>
      <c r="M562" s="184"/>
      <c r="N562" s="184"/>
      <c r="O562" s="184"/>
      <c r="P562" s="184"/>
      <c r="Q562" s="184"/>
      <c r="R562" s="184"/>
      <c r="S562" s="186"/>
      <c r="T562" s="184">
        <v>0.0</v>
      </c>
    </row>
    <row r="563">
      <c r="A563" s="184"/>
      <c r="B563" s="184"/>
      <c r="C563" s="184"/>
      <c r="D563" s="184"/>
      <c r="E563" s="184"/>
      <c r="F563" s="184"/>
      <c r="G563" s="184"/>
      <c r="H563" s="184"/>
      <c r="I563" s="184"/>
      <c r="J563" s="184"/>
      <c r="K563" s="184"/>
      <c r="L563" s="184"/>
      <c r="M563" s="184"/>
      <c r="N563" s="184"/>
      <c r="O563" s="184"/>
      <c r="P563" s="184"/>
      <c r="Q563" s="184"/>
      <c r="R563" s="184"/>
      <c r="S563" s="186"/>
      <c r="T563" s="184">
        <v>0.0</v>
      </c>
    </row>
    <row r="564">
      <c r="A564" s="184"/>
      <c r="B564" s="184"/>
      <c r="C564" s="184"/>
      <c r="D564" s="184"/>
      <c r="E564" s="184"/>
      <c r="F564" s="184"/>
      <c r="G564" s="184"/>
      <c r="H564" s="184"/>
      <c r="I564" s="184"/>
      <c r="J564" s="184"/>
      <c r="K564" s="184"/>
      <c r="L564" s="184"/>
      <c r="M564" s="184"/>
      <c r="N564" s="184"/>
      <c r="O564" s="184"/>
      <c r="P564" s="184"/>
      <c r="Q564" s="184"/>
      <c r="R564" s="184"/>
      <c r="S564" s="186"/>
      <c r="T564" s="184">
        <v>0.0</v>
      </c>
    </row>
    <row r="565">
      <c r="A565" s="184"/>
      <c r="B565" s="184"/>
      <c r="C565" s="184"/>
      <c r="D565" s="184"/>
      <c r="E565" s="184"/>
      <c r="F565" s="184"/>
      <c r="G565" s="184"/>
      <c r="H565" s="184"/>
      <c r="I565" s="184"/>
      <c r="J565" s="184"/>
      <c r="K565" s="184"/>
      <c r="L565" s="184"/>
      <c r="M565" s="184"/>
      <c r="N565" s="184"/>
      <c r="O565" s="184"/>
      <c r="P565" s="184"/>
      <c r="Q565" s="184"/>
      <c r="R565" s="184"/>
      <c r="S565" s="186"/>
      <c r="T565" s="184">
        <v>0.0</v>
      </c>
    </row>
    <row r="566">
      <c r="A566" s="184"/>
      <c r="B566" s="184"/>
      <c r="C566" s="184"/>
      <c r="D566" s="184"/>
      <c r="E566" s="184"/>
      <c r="F566" s="184"/>
      <c r="G566" s="184"/>
      <c r="H566" s="184"/>
      <c r="I566" s="184"/>
      <c r="J566" s="184"/>
      <c r="K566" s="184"/>
      <c r="L566" s="184"/>
      <c r="M566" s="184"/>
      <c r="N566" s="184"/>
      <c r="O566" s="184"/>
      <c r="P566" s="184"/>
      <c r="Q566" s="184"/>
      <c r="R566" s="184"/>
      <c r="S566" s="186"/>
      <c r="T566" s="184">
        <v>0.0</v>
      </c>
    </row>
    <row r="567">
      <c r="A567" s="184"/>
      <c r="B567" s="184"/>
      <c r="C567" s="184"/>
      <c r="D567" s="184"/>
      <c r="E567" s="184"/>
      <c r="F567" s="184"/>
      <c r="G567" s="184"/>
      <c r="H567" s="184"/>
      <c r="I567" s="184"/>
      <c r="J567" s="184"/>
      <c r="K567" s="184"/>
      <c r="L567" s="184"/>
      <c r="M567" s="184"/>
      <c r="N567" s="184"/>
      <c r="O567" s="184"/>
      <c r="P567" s="184"/>
      <c r="Q567" s="184"/>
      <c r="R567" s="184"/>
      <c r="S567" s="186"/>
      <c r="T567" s="184">
        <v>0.0</v>
      </c>
    </row>
    <row r="568">
      <c r="A568" s="184"/>
      <c r="B568" s="184"/>
      <c r="C568" s="184"/>
      <c r="D568" s="184"/>
      <c r="E568" s="184"/>
      <c r="F568" s="184"/>
      <c r="G568" s="184"/>
      <c r="H568" s="184"/>
      <c r="I568" s="184"/>
      <c r="J568" s="184"/>
      <c r="K568" s="184"/>
      <c r="L568" s="184"/>
      <c r="M568" s="184"/>
      <c r="N568" s="184"/>
      <c r="O568" s="184"/>
      <c r="P568" s="184"/>
      <c r="Q568" s="184"/>
      <c r="R568" s="184"/>
      <c r="S568" s="186"/>
      <c r="T568" s="184">
        <v>0.0</v>
      </c>
    </row>
    <row r="569">
      <c r="A569" s="184"/>
      <c r="B569" s="184"/>
      <c r="C569" s="184"/>
      <c r="D569" s="184"/>
      <c r="E569" s="184"/>
      <c r="F569" s="184"/>
      <c r="G569" s="184"/>
      <c r="H569" s="184"/>
      <c r="I569" s="184"/>
      <c r="J569" s="184"/>
      <c r="K569" s="184"/>
      <c r="L569" s="184"/>
      <c r="M569" s="184"/>
      <c r="N569" s="184"/>
      <c r="O569" s="184"/>
      <c r="P569" s="184"/>
      <c r="Q569" s="184"/>
      <c r="R569" s="184"/>
      <c r="S569" s="186"/>
      <c r="T569" s="184">
        <v>0.0</v>
      </c>
    </row>
    <row r="570">
      <c r="A570" s="184"/>
      <c r="B570" s="184"/>
      <c r="C570" s="184"/>
      <c r="D570" s="184"/>
      <c r="E570" s="184"/>
      <c r="F570" s="184"/>
      <c r="G570" s="184"/>
      <c r="H570" s="184"/>
      <c r="I570" s="184"/>
      <c r="J570" s="184"/>
      <c r="K570" s="184"/>
      <c r="L570" s="184"/>
      <c r="M570" s="184"/>
      <c r="N570" s="184"/>
      <c r="O570" s="184"/>
      <c r="P570" s="184"/>
      <c r="Q570" s="184"/>
      <c r="R570" s="184"/>
      <c r="S570" s="186"/>
      <c r="T570" s="184">
        <v>0.0</v>
      </c>
    </row>
    <row r="571">
      <c r="A571" s="184"/>
      <c r="B571" s="184"/>
      <c r="C571" s="184"/>
      <c r="D571" s="184"/>
      <c r="E571" s="184"/>
      <c r="F571" s="184"/>
      <c r="G571" s="184"/>
      <c r="H571" s="184"/>
      <c r="I571" s="184"/>
      <c r="J571" s="184"/>
      <c r="K571" s="184"/>
      <c r="L571" s="184"/>
      <c r="M571" s="184"/>
      <c r="N571" s="184"/>
      <c r="O571" s="184"/>
      <c r="P571" s="184"/>
      <c r="Q571" s="184"/>
      <c r="R571" s="184"/>
      <c r="S571" s="186"/>
      <c r="T571" s="184">
        <v>0.0</v>
      </c>
    </row>
    <row r="572">
      <c r="A572" s="184"/>
      <c r="B572" s="184"/>
      <c r="C572" s="184"/>
      <c r="D572" s="184"/>
      <c r="E572" s="184"/>
      <c r="F572" s="184"/>
      <c r="G572" s="184"/>
      <c r="H572" s="184"/>
      <c r="I572" s="184"/>
      <c r="J572" s="184"/>
      <c r="K572" s="184"/>
      <c r="L572" s="184"/>
      <c r="M572" s="184"/>
      <c r="N572" s="184"/>
      <c r="O572" s="184"/>
      <c r="P572" s="184"/>
      <c r="Q572" s="184"/>
      <c r="R572" s="184"/>
      <c r="S572" s="186"/>
      <c r="T572" s="184">
        <v>0.0</v>
      </c>
    </row>
    <row r="573">
      <c r="A573" s="184"/>
      <c r="B573" s="184"/>
      <c r="C573" s="184"/>
      <c r="D573" s="184"/>
      <c r="E573" s="184"/>
      <c r="F573" s="184"/>
      <c r="G573" s="184"/>
      <c r="H573" s="184"/>
      <c r="I573" s="184"/>
      <c r="J573" s="184"/>
      <c r="K573" s="184"/>
      <c r="L573" s="184"/>
      <c r="M573" s="184"/>
      <c r="N573" s="184"/>
      <c r="O573" s="184"/>
      <c r="P573" s="184"/>
      <c r="Q573" s="184"/>
      <c r="R573" s="184"/>
      <c r="S573" s="186"/>
      <c r="T573" s="184">
        <v>0.0</v>
      </c>
    </row>
    <row r="574">
      <c r="A574" s="184"/>
      <c r="B574" s="184"/>
      <c r="C574" s="184"/>
      <c r="D574" s="184"/>
      <c r="E574" s="184"/>
      <c r="F574" s="184"/>
      <c r="G574" s="184"/>
      <c r="H574" s="184"/>
      <c r="I574" s="184"/>
      <c r="J574" s="184"/>
      <c r="K574" s="184"/>
      <c r="L574" s="184"/>
      <c r="M574" s="184"/>
      <c r="N574" s="184"/>
      <c r="O574" s="184"/>
      <c r="P574" s="184"/>
      <c r="Q574" s="184"/>
      <c r="R574" s="184"/>
      <c r="S574" s="186"/>
      <c r="T574" s="184">
        <v>0.0</v>
      </c>
    </row>
    <row r="575">
      <c r="A575" s="184"/>
      <c r="B575" s="184"/>
      <c r="C575" s="184"/>
      <c r="D575" s="184"/>
      <c r="E575" s="184"/>
      <c r="F575" s="184"/>
      <c r="G575" s="184"/>
      <c r="H575" s="184"/>
      <c r="I575" s="184"/>
      <c r="J575" s="184"/>
      <c r="K575" s="184"/>
      <c r="L575" s="184"/>
      <c r="M575" s="184"/>
      <c r="N575" s="184"/>
      <c r="O575" s="184"/>
      <c r="P575" s="184"/>
      <c r="Q575" s="184"/>
      <c r="R575" s="184"/>
      <c r="S575" s="186"/>
      <c r="T575" s="184">
        <v>0.0</v>
      </c>
    </row>
    <row r="576">
      <c r="A576" s="184"/>
      <c r="B576" s="184"/>
      <c r="C576" s="184"/>
      <c r="D576" s="184"/>
      <c r="E576" s="184"/>
      <c r="F576" s="184"/>
      <c r="G576" s="184"/>
      <c r="H576" s="184"/>
      <c r="I576" s="184"/>
      <c r="J576" s="184"/>
      <c r="K576" s="184"/>
      <c r="L576" s="184"/>
      <c r="M576" s="184"/>
      <c r="N576" s="184"/>
      <c r="O576" s="184"/>
      <c r="P576" s="184"/>
      <c r="Q576" s="184"/>
      <c r="R576" s="184"/>
      <c r="S576" s="186"/>
      <c r="T576" s="184">
        <v>0.0</v>
      </c>
    </row>
    <row r="577">
      <c r="A577" s="184"/>
      <c r="B577" s="184"/>
      <c r="C577" s="184"/>
      <c r="D577" s="184"/>
      <c r="E577" s="184"/>
      <c r="F577" s="184"/>
      <c r="G577" s="184"/>
      <c r="H577" s="184"/>
      <c r="I577" s="184"/>
      <c r="J577" s="184"/>
      <c r="K577" s="184"/>
      <c r="L577" s="184"/>
      <c r="M577" s="184"/>
      <c r="N577" s="184"/>
      <c r="O577" s="184"/>
      <c r="P577" s="184"/>
      <c r="Q577" s="184"/>
      <c r="R577" s="184"/>
      <c r="S577" s="186"/>
      <c r="T577" s="184">
        <v>0.0</v>
      </c>
    </row>
    <row r="578">
      <c r="A578" s="184"/>
      <c r="B578" s="184"/>
      <c r="C578" s="184"/>
      <c r="D578" s="184"/>
      <c r="E578" s="184"/>
      <c r="F578" s="184"/>
      <c r="G578" s="184"/>
      <c r="H578" s="184"/>
      <c r="I578" s="184"/>
      <c r="J578" s="184"/>
      <c r="K578" s="184"/>
      <c r="L578" s="184"/>
      <c r="M578" s="184"/>
      <c r="N578" s="184"/>
      <c r="O578" s="184"/>
      <c r="P578" s="184"/>
      <c r="Q578" s="184"/>
      <c r="R578" s="184"/>
      <c r="S578" s="186"/>
      <c r="T578" s="184">
        <v>0.0</v>
      </c>
    </row>
    <row r="579">
      <c r="A579" s="184"/>
      <c r="B579" s="184"/>
      <c r="C579" s="184"/>
      <c r="D579" s="184"/>
      <c r="E579" s="184"/>
      <c r="F579" s="184"/>
      <c r="G579" s="184"/>
      <c r="H579" s="184"/>
      <c r="I579" s="184"/>
      <c r="J579" s="184"/>
      <c r="K579" s="184"/>
      <c r="L579" s="184"/>
      <c r="M579" s="184"/>
      <c r="N579" s="184"/>
      <c r="O579" s="184"/>
      <c r="P579" s="184"/>
      <c r="Q579" s="184"/>
      <c r="R579" s="184"/>
      <c r="S579" s="186"/>
      <c r="T579" s="184">
        <v>0.0</v>
      </c>
    </row>
    <row r="580">
      <c r="A580" s="184"/>
      <c r="B580" s="184"/>
      <c r="C580" s="184"/>
      <c r="D580" s="184"/>
      <c r="E580" s="184"/>
      <c r="F580" s="184"/>
      <c r="G580" s="184"/>
      <c r="H580" s="184"/>
      <c r="I580" s="184"/>
      <c r="J580" s="184"/>
      <c r="K580" s="184"/>
      <c r="L580" s="184"/>
      <c r="M580" s="184"/>
      <c r="N580" s="184"/>
      <c r="O580" s="184"/>
      <c r="P580" s="184"/>
      <c r="Q580" s="184"/>
      <c r="R580" s="184"/>
      <c r="S580" s="186"/>
      <c r="T580" s="184">
        <v>0.0</v>
      </c>
    </row>
    <row r="581">
      <c r="A581" s="184"/>
      <c r="B581" s="184"/>
      <c r="C581" s="184"/>
      <c r="D581" s="184"/>
      <c r="E581" s="184"/>
      <c r="F581" s="184"/>
      <c r="G581" s="184"/>
      <c r="H581" s="184"/>
      <c r="I581" s="184"/>
      <c r="J581" s="184"/>
      <c r="K581" s="184"/>
      <c r="L581" s="184"/>
      <c r="M581" s="184"/>
      <c r="N581" s="184"/>
      <c r="O581" s="184"/>
      <c r="P581" s="184"/>
      <c r="Q581" s="184"/>
      <c r="R581" s="184"/>
      <c r="S581" s="186"/>
      <c r="T581" s="184">
        <v>0.0</v>
      </c>
    </row>
    <row r="582">
      <c r="A582" s="184"/>
      <c r="B582" s="184"/>
      <c r="C582" s="184"/>
      <c r="D582" s="184"/>
      <c r="E582" s="184"/>
      <c r="F582" s="184"/>
      <c r="G582" s="184"/>
      <c r="H582" s="184"/>
      <c r="I582" s="184"/>
      <c r="J582" s="184"/>
      <c r="K582" s="184"/>
      <c r="L582" s="184"/>
      <c r="M582" s="184"/>
      <c r="N582" s="184"/>
      <c r="O582" s="184"/>
      <c r="P582" s="184"/>
      <c r="Q582" s="184"/>
      <c r="R582" s="184"/>
      <c r="S582" s="186"/>
      <c r="T582" s="184">
        <v>0.0</v>
      </c>
    </row>
    <row r="583">
      <c r="A583" s="184"/>
      <c r="B583" s="184"/>
      <c r="C583" s="184"/>
      <c r="D583" s="184"/>
      <c r="E583" s="184"/>
      <c r="F583" s="184"/>
      <c r="G583" s="184"/>
      <c r="H583" s="184"/>
      <c r="I583" s="184"/>
      <c r="J583" s="184"/>
      <c r="K583" s="184"/>
      <c r="L583" s="184"/>
      <c r="M583" s="184"/>
      <c r="N583" s="184"/>
      <c r="O583" s="184"/>
      <c r="P583" s="184"/>
      <c r="Q583" s="184"/>
      <c r="R583" s="184"/>
      <c r="S583" s="186"/>
      <c r="T583" s="184">
        <v>0.0</v>
      </c>
    </row>
    <row r="584">
      <c r="A584" s="184"/>
      <c r="B584" s="184"/>
      <c r="C584" s="184"/>
      <c r="D584" s="184"/>
      <c r="E584" s="184"/>
      <c r="F584" s="184"/>
      <c r="G584" s="184"/>
      <c r="H584" s="184"/>
      <c r="I584" s="184"/>
      <c r="J584" s="184"/>
      <c r="K584" s="184"/>
      <c r="L584" s="184"/>
      <c r="M584" s="184"/>
      <c r="N584" s="184"/>
      <c r="O584" s="184"/>
      <c r="P584" s="184"/>
      <c r="Q584" s="184"/>
      <c r="R584" s="184"/>
      <c r="S584" s="186"/>
      <c r="T584" s="184">
        <v>0.0</v>
      </c>
    </row>
    <row r="585">
      <c r="A585" s="184"/>
      <c r="B585" s="184"/>
      <c r="C585" s="184"/>
      <c r="D585" s="184"/>
      <c r="E585" s="184"/>
      <c r="F585" s="184"/>
      <c r="G585" s="184"/>
      <c r="H585" s="184"/>
      <c r="I585" s="184"/>
      <c r="J585" s="184"/>
      <c r="K585" s="184"/>
      <c r="L585" s="184"/>
      <c r="M585" s="184"/>
      <c r="N585" s="184"/>
      <c r="O585" s="184"/>
      <c r="P585" s="184"/>
      <c r="Q585" s="184"/>
      <c r="R585" s="184"/>
      <c r="S585" s="186"/>
      <c r="T585" s="184">
        <v>0.0</v>
      </c>
    </row>
    <row r="586">
      <c r="A586" s="184"/>
      <c r="B586" s="184"/>
      <c r="C586" s="184"/>
      <c r="D586" s="184"/>
      <c r="E586" s="184"/>
      <c r="F586" s="184"/>
      <c r="G586" s="184"/>
      <c r="H586" s="184"/>
      <c r="I586" s="184"/>
      <c r="J586" s="184"/>
      <c r="K586" s="184"/>
      <c r="L586" s="184"/>
      <c r="M586" s="184"/>
      <c r="N586" s="184"/>
      <c r="O586" s="184"/>
      <c r="P586" s="184"/>
      <c r="Q586" s="184"/>
      <c r="R586" s="184"/>
      <c r="S586" s="186"/>
      <c r="T586" s="184">
        <v>0.0</v>
      </c>
    </row>
    <row r="587">
      <c r="A587" s="184"/>
      <c r="B587" s="184"/>
      <c r="C587" s="184"/>
      <c r="D587" s="184"/>
      <c r="E587" s="184"/>
      <c r="F587" s="184"/>
      <c r="G587" s="184"/>
      <c r="H587" s="184"/>
      <c r="I587" s="184"/>
      <c r="J587" s="184"/>
      <c r="K587" s="184"/>
      <c r="L587" s="184"/>
      <c r="M587" s="184"/>
      <c r="N587" s="184"/>
      <c r="O587" s="184"/>
      <c r="P587" s="184"/>
      <c r="Q587" s="184"/>
      <c r="R587" s="184"/>
      <c r="S587" s="186"/>
      <c r="T587" s="184">
        <v>0.0</v>
      </c>
    </row>
    <row r="588">
      <c r="A588" s="184"/>
      <c r="B588" s="184"/>
      <c r="C588" s="184"/>
      <c r="D588" s="184"/>
      <c r="E588" s="184"/>
      <c r="F588" s="184"/>
      <c r="G588" s="184"/>
      <c r="H588" s="184"/>
      <c r="I588" s="184"/>
      <c r="J588" s="184"/>
      <c r="K588" s="184"/>
      <c r="L588" s="184"/>
      <c r="M588" s="184"/>
      <c r="N588" s="184"/>
      <c r="O588" s="184"/>
      <c r="P588" s="184"/>
      <c r="Q588" s="184"/>
      <c r="R588" s="184"/>
      <c r="S588" s="186"/>
      <c r="T588" s="184">
        <v>0.0</v>
      </c>
    </row>
    <row r="589">
      <c r="A589" s="184"/>
      <c r="B589" s="184"/>
      <c r="C589" s="184"/>
      <c r="D589" s="184"/>
      <c r="E589" s="184"/>
      <c r="F589" s="184"/>
      <c r="G589" s="184"/>
      <c r="H589" s="184"/>
      <c r="I589" s="184"/>
      <c r="J589" s="184"/>
      <c r="K589" s="184"/>
      <c r="L589" s="184"/>
      <c r="M589" s="184"/>
      <c r="N589" s="184"/>
      <c r="O589" s="184"/>
      <c r="P589" s="184"/>
      <c r="Q589" s="184"/>
      <c r="R589" s="184"/>
      <c r="S589" s="186"/>
      <c r="T589" s="184">
        <v>0.0</v>
      </c>
    </row>
    <row r="590">
      <c r="A590" s="184"/>
      <c r="B590" s="184"/>
      <c r="C590" s="184"/>
      <c r="D590" s="184"/>
      <c r="E590" s="184"/>
      <c r="F590" s="184"/>
      <c r="G590" s="184"/>
      <c r="H590" s="184"/>
      <c r="I590" s="184"/>
      <c r="J590" s="184"/>
      <c r="K590" s="184"/>
      <c r="L590" s="184"/>
      <c r="M590" s="184"/>
      <c r="N590" s="184"/>
      <c r="O590" s="184"/>
      <c r="P590" s="184"/>
      <c r="Q590" s="184"/>
      <c r="R590" s="184"/>
      <c r="S590" s="186"/>
      <c r="T590" s="184">
        <v>0.0</v>
      </c>
    </row>
    <row r="591">
      <c r="A591" s="184"/>
      <c r="B591" s="184"/>
      <c r="C591" s="184"/>
      <c r="D591" s="184"/>
      <c r="E591" s="184"/>
      <c r="F591" s="184"/>
      <c r="G591" s="184"/>
      <c r="H591" s="184"/>
      <c r="I591" s="184"/>
      <c r="J591" s="184"/>
      <c r="K591" s="184"/>
      <c r="L591" s="184"/>
      <c r="M591" s="184"/>
      <c r="N591" s="184"/>
      <c r="O591" s="184"/>
      <c r="P591" s="184"/>
      <c r="Q591" s="184"/>
      <c r="R591" s="184"/>
      <c r="S591" s="186"/>
      <c r="T591" s="184">
        <v>0.0</v>
      </c>
    </row>
    <row r="592">
      <c r="A592" s="184"/>
      <c r="B592" s="184"/>
      <c r="C592" s="184"/>
      <c r="D592" s="184"/>
      <c r="E592" s="184"/>
      <c r="F592" s="184"/>
      <c r="G592" s="184"/>
      <c r="H592" s="184"/>
      <c r="I592" s="184"/>
      <c r="J592" s="184"/>
      <c r="K592" s="184"/>
      <c r="L592" s="184"/>
      <c r="M592" s="184"/>
      <c r="N592" s="184"/>
      <c r="O592" s="184"/>
      <c r="P592" s="184"/>
      <c r="Q592" s="184"/>
      <c r="R592" s="184"/>
      <c r="S592" s="186"/>
      <c r="T592" s="184">
        <v>0.0</v>
      </c>
    </row>
    <row r="593">
      <c r="A593" s="184"/>
      <c r="B593" s="184"/>
      <c r="C593" s="184"/>
      <c r="D593" s="184"/>
      <c r="E593" s="184"/>
      <c r="F593" s="184"/>
      <c r="G593" s="184"/>
      <c r="H593" s="184"/>
      <c r="I593" s="184"/>
      <c r="J593" s="184"/>
      <c r="K593" s="184"/>
      <c r="L593" s="184"/>
      <c r="M593" s="184"/>
      <c r="N593" s="184"/>
      <c r="O593" s="184"/>
      <c r="P593" s="184"/>
      <c r="Q593" s="184"/>
      <c r="R593" s="184"/>
      <c r="S593" s="186"/>
      <c r="T593" s="184">
        <v>0.0</v>
      </c>
    </row>
    <row r="594">
      <c r="A594" s="184"/>
      <c r="B594" s="184"/>
      <c r="C594" s="184"/>
      <c r="D594" s="184"/>
      <c r="E594" s="184"/>
      <c r="F594" s="184"/>
      <c r="G594" s="184"/>
      <c r="H594" s="184"/>
      <c r="I594" s="184"/>
      <c r="J594" s="184"/>
      <c r="K594" s="184"/>
      <c r="L594" s="184"/>
      <c r="M594" s="184"/>
      <c r="N594" s="184"/>
      <c r="O594" s="184"/>
      <c r="P594" s="184"/>
      <c r="Q594" s="184"/>
      <c r="R594" s="184"/>
      <c r="S594" s="186"/>
      <c r="T594" s="184">
        <v>0.0</v>
      </c>
    </row>
    <row r="595">
      <c r="A595" s="184"/>
      <c r="B595" s="184"/>
      <c r="C595" s="184"/>
      <c r="D595" s="184"/>
      <c r="E595" s="184"/>
      <c r="F595" s="184"/>
      <c r="G595" s="184"/>
      <c r="H595" s="184"/>
      <c r="I595" s="184"/>
      <c r="J595" s="184"/>
      <c r="K595" s="184"/>
      <c r="L595" s="184"/>
      <c r="M595" s="184"/>
      <c r="N595" s="184"/>
      <c r="O595" s="184"/>
      <c r="P595" s="184"/>
      <c r="Q595" s="184"/>
      <c r="R595" s="184"/>
      <c r="S595" s="186"/>
      <c r="T595" s="184">
        <v>0.0</v>
      </c>
    </row>
    <row r="596">
      <c r="A596" s="184"/>
      <c r="B596" s="184"/>
      <c r="C596" s="184"/>
      <c r="D596" s="184"/>
      <c r="E596" s="184"/>
      <c r="F596" s="184"/>
      <c r="G596" s="184"/>
      <c r="H596" s="184"/>
      <c r="I596" s="184"/>
      <c r="J596" s="184"/>
      <c r="K596" s="184"/>
      <c r="L596" s="184"/>
      <c r="M596" s="184"/>
      <c r="N596" s="184"/>
      <c r="O596" s="184"/>
      <c r="P596" s="184"/>
      <c r="Q596" s="184"/>
      <c r="R596" s="184"/>
      <c r="S596" s="186"/>
      <c r="T596" s="184">
        <v>0.0</v>
      </c>
    </row>
    <row r="597">
      <c r="A597" s="184"/>
      <c r="B597" s="184"/>
      <c r="C597" s="184"/>
      <c r="D597" s="184"/>
      <c r="E597" s="184"/>
      <c r="F597" s="184"/>
      <c r="G597" s="184"/>
      <c r="H597" s="184"/>
      <c r="I597" s="184"/>
      <c r="J597" s="184"/>
      <c r="K597" s="184"/>
      <c r="L597" s="184"/>
      <c r="M597" s="184"/>
      <c r="N597" s="184"/>
      <c r="O597" s="184"/>
      <c r="P597" s="184"/>
      <c r="Q597" s="184"/>
      <c r="R597" s="184"/>
      <c r="S597" s="186"/>
      <c r="T597" s="184">
        <v>0.0</v>
      </c>
    </row>
    <row r="598">
      <c r="A598" s="184"/>
      <c r="B598" s="184"/>
      <c r="C598" s="184"/>
      <c r="D598" s="184"/>
      <c r="E598" s="184"/>
      <c r="F598" s="184"/>
      <c r="G598" s="184"/>
      <c r="H598" s="184"/>
      <c r="I598" s="184"/>
      <c r="J598" s="184"/>
      <c r="K598" s="184"/>
      <c r="L598" s="184"/>
      <c r="M598" s="184"/>
      <c r="N598" s="184"/>
      <c r="O598" s="184"/>
      <c r="P598" s="184"/>
      <c r="Q598" s="184"/>
      <c r="R598" s="184"/>
      <c r="S598" s="186"/>
      <c r="T598" s="184">
        <v>0.0</v>
      </c>
    </row>
    <row r="599">
      <c r="A599" s="184"/>
      <c r="B599" s="184"/>
      <c r="C599" s="184"/>
      <c r="D599" s="184"/>
      <c r="E599" s="184"/>
      <c r="F599" s="184"/>
      <c r="G599" s="184"/>
      <c r="H599" s="184"/>
      <c r="I599" s="184"/>
      <c r="J599" s="184"/>
      <c r="K599" s="184"/>
      <c r="L599" s="184"/>
      <c r="M599" s="184"/>
      <c r="N599" s="184"/>
      <c r="O599" s="184"/>
      <c r="P599" s="184"/>
      <c r="Q599" s="184"/>
      <c r="R599" s="184"/>
      <c r="S599" s="186"/>
      <c r="T599" s="184">
        <v>0.0</v>
      </c>
    </row>
    <row r="600">
      <c r="A600" s="184"/>
      <c r="B600" s="184"/>
      <c r="C600" s="184"/>
      <c r="D600" s="184"/>
      <c r="E600" s="184"/>
      <c r="F600" s="184"/>
      <c r="G600" s="184"/>
      <c r="H600" s="184"/>
      <c r="I600" s="184"/>
      <c r="J600" s="184"/>
      <c r="K600" s="184"/>
      <c r="L600" s="184"/>
      <c r="M600" s="184"/>
      <c r="N600" s="184"/>
      <c r="O600" s="184"/>
      <c r="P600" s="184"/>
      <c r="Q600" s="184"/>
      <c r="R600" s="184"/>
      <c r="S600" s="186"/>
      <c r="T600" s="184">
        <v>0.0</v>
      </c>
    </row>
    <row r="601">
      <c r="A601" s="184"/>
      <c r="B601" s="184"/>
      <c r="C601" s="184"/>
      <c r="D601" s="184"/>
      <c r="E601" s="184"/>
      <c r="F601" s="184"/>
      <c r="G601" s="184"/>
      <c r="H601" s="184"/>
      <c r="I601" s="184"/>
      <c r="J601" s="184"/>
      <c r="K601" s="184"/>
      <c r="L601" s="184"/>
      <c r="M601" s="184"/>
      <c r="N601" s="184"/>
      <c r="O601" s="184"/>
      <c r="P601" s="184"/>
      <c r="Q601" s="184"/>
      <c r="R601" s="184"/>
      <c r="S601" s="186"/>
      <c r="T601" s="184">
        <v>0.0</v>
      </c>
    </row>
    <row r="602">
      <c r="A602" s="184"/>
      <c r="B602" s="184"/>
      <c r="C602" s="184"/>
      <c r="D602" s="184"/>
      <c r="E602" s="184"/>
      <c r="F602" s="184"/>
      <c r="G602" s="184"/>
      <c r="H602" s="184"/>
      <c r="I602" s="184"/>
      <c r="J602" s="184"/>
      <c r="K602" s="184"/>
      <c r="L602" s="184"/>
      <c r="M602" s="184"/>
      <c r="N602" s="184"/>
      <c r="O602" s="184"/>
      <c r="P602" s="184"/>
      <c r="Q602" s="184"/>
      <c r="R602" s="184"/>
      <c r="S602" s="186"/>
      <c r="T602" s="184">
        <v>0.0</v>
      </c>
    </row>
    <row r="603">
      <c r="A603" s="184"/>
      <c r="B603" s="184"/>
      <c r="C603" s="184"/>
      <c r="D603" s="184"/>
      <c r="E603" s="184"/>
      <c r="F603" s="184"/>
      <c r="G603" s="184"/>
      <c r="H603" s="184"/>
      <c r="I603" s="184"/>
      <c r="J603" s="184"/>
      <c r="K603" s="184"/>
      <c r="L603" s="184"/>
      <c r="M603" s="184"/>
      <c r="N603" s="184"/>
      <c r="O603" s="184"/>
      <c r="P603" s="184"/>
      <c r="Q603" s="184"/>
      <c r="R603" s="184"/>
      <c r="S603" s="186"/>
      <c r="T603" s="184">
        <v>0.0</v>
      </c>
    </row>
    <row r="604">
      <c r="A604" s="184"/>
      <c r="B604" s="184"/>
      <c r="C604" s="184"/>
      <c r="D604" s="184"/>
      <c r="E604" s="184"/>
      <c r="F604" s="184"/>
      <c r="G604" s="184"/>
      <c r="H604" s="184"/>
      <c r="I604" s="184"/>
      <c r="J604" s="184"/>
      <c r="K604" s="184"/>
      <c r="L604" s="184"/>
      <c r="M604" s="184"/>
      <c r="N604" s="184"/>
      <c r="O604" s="184"/>
      <c r="P604" s="184"/>
      <c r="Q604" s="184"/>
      <c r="R604" s="184"/>
      <c r="S604" s="186"/>
      <c r="T604" s="184">
        <v>0.0</v>
      </c>
    </row>
    <row r="605">
      <c r="A605" s="184"/>
      <c r="B605" s="184"/>
      <c r="C605" s="184"/>
      <c r="D605" s="184"/>
      <c r="E605" s="184"/>
      <c r="F605" s="184"/>
      <c r="G605" s="184"/>
      <c r="H605" s="184"/>
      <c r="I605" s="184"/>
      <c r="J605" s="184"/>
      <c r="K605" s="184"/>
      <c r="L605" s="184"/>
      <c r="M605" s="184"/>
      <c r="N605" s="184"/>
      <c r="O605" s="184"/>
      <c r="P605" s="184"/>
      <c r="Q605" s="184"/>
      <c r="R605" s="184"/>
      <c r="S605" s="186"/>
      <c r="T605" s="184">
        <v>0.0</v>
      </c>
    </row>
    <row r="606">
      <c r="A606" s="184"/>
      <c r="B606" s="184"/>
      <c r="C606" s="184"/>
      <c r="D606" s="184"/>
      <c r="E606" s="184"/>
      <c r="F606" s="184"/>
      <c r="G606" s="184"/>
      <c r="H606" s="184"/>
      <c r="I606" s="184"/>
      <c r="J606" s="184"/>
      <c r="K606" s="184"/>
      <c r="L606" s="184"/>
      <c r="M606" s="184"/>
      <c r="N606" s="184"/>
      <c r="O606" s="184"/>
      <c r="P606" s="184"/>
      <c r="Q606" s="184"/>
      <c r="R606" s="184"/>
      <c r="S606" s="186"/>
      <c r="T606" s="184">
        <v>0.0</v>
      </c>
    </row>
    <row r="607">
      <c r="A607" s="184"/>
      <c r="B607" s="184"/>
      <c r="C607" s="184"/>
      <c r="D607" s="184"/>
      <c r="E607" s="184"/>
      <c r="F607" s="184"/>
      <c r="G607" s="184"/>
      <c r="H607" s="184"/>
      <c r="I607" s="184"/>
      <c r="J607" s="184"/>
      <c r="K607" s="184"/>
      <c r="L607" s="184"/>
      <c r="M607" s="184"/>
      <c r="N607" s="184"/>
      <c r="O607" s="184"/>
      <c r="P607" s="184"/>
      <c r="Q607" s="184"/>
      <c r="R607" s="184"/>
      <c r="S607" s="186"/>
      <c r="T607" s="184">
        <v>0.0</v>
      </c>
    </row>
    <row r="608">
      <c r="A608" s="184"/>
      <c r="B608" s="184"/>
      <c r="C608" s="184"/>
      <c r="D608" s="184"/>
      <c r="E608" s="184"/>
      <c r="F608" s="184"/>
      <c r="G608" s="184"/>
      <c r="H608" s="184"/>
      <c r="I608" s="184"/>
      <c r="J608" s="184"/>
      <c r="K608" s="184"/>
      <c r="L608" s="184"/>
      <c r="M608" s="184"/>
      <c r="N608" s="184"/>
      <c r="O608" s="184"/>
      <c r="P608" s="184"/>
      <c r="Q608" s="184"/>
      <c r="R608" s="184"/>
      <c r="S608" s="186"/>
      <c r="T608" s="184">
        <v>0.0</v>
      </c>
    </row>
    <row r="609">
      <c r="A609" s="184"/>
      <c r="B609" s="184"/>
      <c r="C609" s="184"/>
      <c r="D609" s="184"/>
      <c r="E609" s="184"/>
      <c r="F609" s="184"/>
      <c r="G609" s="184"/>
      <c r="H609" s="184"/>
      <c r="I609" s="184"/>
      <c r="J609" s="184"/>
      <c r="K609" s="184"/>
      <c r="L609" s="184"/>
      <c r="M609" s="184"/>
      <c r="N609" s="184"/>
      <c r="O609" s="184"/>
      <c r="P609" s="184"/>
      <c r="Q609" s="184"/>
      <c r="R609" s="184"/>
      <c r="S609" s="186"/>
      <c r="T609" s="184">
        <v>0.0</v>
      </c>
    </row>
    <row r="610">
      <c r="A610" s="184"/>
      <c r="B610" s="184"/>
      <c r="C610" s="184"/>
      <c r="D610" s="184"/>
      <c r="E610" s="184"/>
      <c r="F610" s="184"/>
      <c r="G610" s="184"/>
      <c r="H610" s="184"/>
      <c r="I610" s="184"/>
      <c r="J610" s="184"/>
      <c r="K610" s="184"/>
      <c r="L610" s="184"/>
      <c r="M610" s="184"/>
      <c r="N610" s="184"/>
      <c r="O610" s="184"/>
      <c r="P610" s="184"/>
      <c r="Q610" s="184"/>
      <c r="R610" s="184"/>
      <c r="S610" s="186"/>
      <c r="T610" s="184">
        <v>0.0</v>
      </c>
    </row>
    <row r="611">
      <c r="A611" s="184"/>
      <c r="B611" s="184"/>
      <c r="C611" s="184"/>
      <c r="D611" s="184"/>
      <c r="E611" s="184"/>
      <c r="F611" s="184"/>
      <c r="G611" s="184"/>
      <c r="H611" s="184"/>
      <c r="I611" s="184"/>
      <c r="J611" s="184"/>
      <c r="K611" s="184"/>
      <c r="L611" s="184"/>
      <c r="M611" s="184"/>
      <c r="N611" s="184"/>
      <c r="O611" s="184"/>
      <c r="P611" s="184"/>
      <c r="Q611" s="184"/>
      <c r="R611" s="184"/>
      <c r="S611" s="186"/>
      <c r="T611" s="184">
        <v>0.0</v>
      </c>
    </row>
    <row r="612">
      <c r="A612" s="184"/>
      <c r="B612" s="184"/>
      <c r="C612" s="184"/>
      <c r="D612" s="184"/>
      <c r="E612" s="184"/>
      <c r="F612" s="184"/>
      <c r="G612" s="184"/>
      <c r="H612" s="184"/>
      <c r="I612" s="184"/>
      <c r="J612" s="184"/>
      <c r="K612" s="184"/>
      <c r="L612" s="184"/>
      <c r="M612" s="184"/>
      <c r="N612" s="184"/>
      <c r="O612" s="184"/>
      <c r="P612" s="184"/>
      <c r="Q612" s="184"/>
      <c r="R612" s="184"/>
      <c r="S612" s="186"/>
      <c r="T612" s="184">
        <v>0.0</v>
      </c>
    </row>
    <row r="613">
      <c r="A613" s="184"/>
      <c r="B613" s="184"/>
      <c r="C613" s="184"/>
      <c r="D613" s="184"/>
      <c r="E613" s="184"/>
      <c r="F613" s="184"/>
      <c r="G613" s="184"/>
      <c r="H613" s="184"/>
      <c r="I613" s="184"/>
      <c r="J613" s="184"/>
      <c r="K613" s="184"/>
      <c r="L613" s="184"/>
      <c r="M613" s="184"/>
      <c r="N613" s="184"/>
      <c r="O613" s="184"/>
      <c r="P613" s="184"/>
      <c r="Q613" s="184"/>
      <c r="R613" s="184"/>
      <c r="S613" s="186"/>
      <c r="T613" s="184">
        <v>0.0</v>
      </c>
    </row>
    <row r="614">
      <c r="A614" s="184"/>
      <c r="B614" s="184"/>
      <c r="C614" s="184"/>
      <c r="D614" s="184"/>
      <c r="E614" s="184"/>
      <c r="F614" s="184"/>
      <c r="G614" s="184"/>
      <c r="H614" s="184"/>
      <c r="I614" s="184"/>
      <c r="J614" s="184"/>
      <c r="K614" s="184"/>
      <c r="L614" s="184"/>
      <c r="M614" s="184"/>
      <c r="N614" s="184"/>
      <c r="O614" s="184"/>
      <c r="P614" s="184"/>
      <c r="Q614" s="184"/>
      <c r="R614" s="184"/>
      <c r="S614" s="186"/>
      <c r="T614" s="184">
        <v>0.0</v>
      </c>
    </row>
    <row r="615">
      <c r="A615" s="184"/>
      <c r="B615" s="184"/>
      <c r="C615" s="184"/>
      <c r="D615" s="184"/>
      <c r="E615" s="184"/>
      <c r="F615" s="184"/>
      <c r="G615" s="184"/>
      <c r="H615" s="184"/>
      <c r="I615" s="184"/>
      <c r="J615" s="184"/>
      <c r="K615" s="184"/>
      <c r="L615" s="184"/>
      <c r="M615" s="184"/>
      <c r="N615" s="184"/>
      <c r="O615" s="184"/>
      <c r="P615" s="184"/>
      <c r="Q615" s="184"/>
      <c r="R615" s="184"/>
      <c r="S615" s="186"/>
      <c r="T615" s="184">
        <v>0.0</v>
      </c>
    </row>
    <row r="616">
      <c r="A616" s="184"/>
      <c r="B616" s="184"/>
      <c r="C616" s="184"/>
      <c r="D616" s="184"/>
      <c r="E616" s="184"/>
      <c r="F616" s="184"/>
      <c r="G616" s="184"/>
      <c r="H616" s="184"/>
      <c r="I616" s="184"/>
      <c r="J616" s="184"/>
      <c r="K616" s="184"/>
      <c r="L616" s="184"/>
      <c r="M616" s="184"/>
      <c r="N616" s="184"/>
      <c r="O616" s="184"/>
      <c r="P616" s="184"/>
      <c r="Q616" s="184"/>
      <c r="R616" s="184"/>
      <c r="S616" s="186"/>
      <c r="T616" s="184">
        <v>0.0</v>
      </c>
    </row>
    <row r="617">
      <c r="A617" s="184"/>
      <c r="B617" s="184"/>
      <c r="C617" s="184"/>
      <c r="D617" s="184"/>
      <c r="E617" s="184"/>
      <c r="F617" s="184"/>
      <c r="G617" s="184"/>
      <c r="H617" s="184"/>
      <c r="I617" s="184"/>
      <c r="J617" s="184"/>
      <c r="K617" s="184"/>
      <c r="L617" s="184"/>
      <c r="M617" s="184"/>
      <c r="N617" s="184"/>
      <c r="O617" s="184"/>
      <c r="P617" s="184"/>
      <c r="Q617" s="184"/>
      <c r="R617" s="184"/>
      <c r="S617" s="186"/>
      <c r="T617" s="184">
        <v>0.0</v>
      </c>
    </row>
    <row r="618">
      <c r="A618" s="184"/>
      <c r="B618" s="184"/>
      <c r="C618" s="184"/>
      <c r="D618" s="184"/>
      <c r="E618" s="184"/>
      <c r="F618" s="184"/>
      <c r="G618" s="184"/>
      <c r="H618" s="184"/>
      <c r="I618" s="184"/>
      <c r="J618" s="184"/>
      <c r="K618" s="184"/>
      <c r="L618" s="184"/>
      <c r="M618" s="184"/>
      <c r="N618" s="184"/>
      <c r="O618" s="184"/>
      <c r="P618" s="184"/>
      <c r="Q618" s="184"/>
      <c r="R618" s="184"/>
      <c r="S618" s="186"/>
      <c r="T618" s="184">
        <v>0.0</v>
      </c>
    </row>
    <row r="619">
      <c r="A619" s="184"/>
      <c r="B619" s="184"/>
      <c r="C619" s="184"/>
      <c r="D619" s="184"/>
      <c r="E619" s="184"/>
      <c r="F619" s="184"/>
      <c r="G619" s="184"/>
      <c r="H619" s="184"/>
      <c r="I619" s="184"/>
      <c r="J619" s="184"/>
      <c r="K619" s="184"/>
      <c r="L619" s="184"/>
      <c r="M619" s="184"/>
      <c r="N619" s="184"/>
      <c r="O619" s="184"/>
      <c r="P619" s="184"/>
      <c r="Q619" s="184"/>
      <c r="R619" s="184"/>
      <c r="S619" s="186"/>
      <c r="T619" s="184">
        <v>0.0</v>
      </c>
    </row>
    <row r="620">
      <c r="A620" s="184"/>
      <c r="B620" s="184"/>
      <c r="C620" s="184"/>
      <c r="D620" s="184"/>
      <c r="E620" s="184"/>
      <c r="F620" s="184"/>
      <c r="G620" s="184"/>
      <c r="H620" s="184"/>
      <c r="I620" s="184"/>
      <c r="J620" s="184"/>
      <c r="K620" s="184"/>
      <c r="L620" s="184"/>
      <c r="M620" s="184"/>
      <c r="N620" s="184"/>
      <c r="O620" s="184"/>
      <c r="P620" s="184"/>
      <c r="Q620" s="184"/>
      <c r="R620" s="184"/>
      <c r="S620" s="186"/>
      <c r="T620" s="184">
        <v>0.0</v>
      </c>
    </row>
    <row r="621">
      <c r="A621" s="184"/>
      <c r="B621" s="184"/>
      <c r="C621" s="184"/>
      <c r="D621" s="184"/>
      <c r="E621" s="184"/>
      <c r="F621" s="184"/>
      <c r="G621" s="184"/>
      <c r="H621" s="184"/>
      <c r="I621" s="184"/>
      <c r="J621" s="184"/>
      <c r="K621" s="184"/>
      <c r="L621" s="184"/>
      <c r="M621" s="184"/>
      <c r="N621" s="184"/>
      <c r="O621" s="184"/>
      <c r="P621" s="184"/>
      <c r="Q621" s="184"/>
      <c r="R621" s="184"/>
      <c r="S621" s="186"/>
      <c r="T621" s="184">
        <v>0.0</v>
      </c>
    </row>
    <row r="622">
      <c r="A622" s="184"/>
      <c r="B622" s="184"/>
      <c r="C622" s="184"/>
      <c r="D622" s="184"/>
      <c r="E622" s="184"/>
      <c r="F622" s="184"/>
      <c r="G622" s="184"/>
      <c r="H622" s="184"/>
      <c r="I622" s="184"/>
      <c r="J622" s="184"/>
      <c r="K622" s="184"/>
      <c r="L622" s="184"/>
      <c r="M622" s="184"/>
      <c r="N622" s="184"/>
      <c r="O622" s="184"/>
      <c r="P622" s="184"/>
      <c r="Q622" s="184"/>
      <c r="R622" s="184"/>
      <c r="S622" s="186"/>
      <c r="T622" s="184">
        <v>0.0</v>
      </c>
    </row>
    <row r="623">
      <c r="A623" s="184"/>
      <c r="B623" s="184"/>
      <c r="C623" s="184"/>
      <c r="D623" s="184"/>
      <c r="E623" s="184"/>
      <c r="F623" s="184"/>
      <c r="G623" s="184"/>
      <c r="H623" s="184"/>
      <c r="I623" s="184"/>
      <c r="J623" s="184"/>
      <c r="K623" s="184"/>
      <c r="L623" s="184"/>
      <c r="M623" s="184"/>
      <c r="N623" s="184"/>
      <c r="O623" s="184"/>
      <c r="P623" s="184"/>
      <c r="Q623" s="184"/>
      <c r="R623" s="184"/>
      <c r="S623" s="186"/>
      <c r="T623" s="184">
        <v>0.0</v>
      </c>
    </row>
    <row r="624">
      <c r="A624" s="184"/>
      <c r="B624" s="184"/>
      <c r="C624" s="184"/>
      <c r="D624" s="184"/>
      <c r="E624" s="184"/>
      <c r="F624" s="184"/>
      <c r="G624" s="184"/>
      <c r="H624" s="184"/>
      <c r="I624" s="184"/>
      <c r="J624" s="184"/>
      <c r="K624" s="184"/>
      <c r="L624" s="184"/>
      <c r="M624" s="184"/>
      <c r="N624" s="184"/>
      <c r="O624" s="184"/>
      <c r="P624" s="184"/>
      <c r="Q624" s="184"/>
      <c r="R624" s="184"/>
      <c r="S624" s="186"/>
      <c r="T624" s="184">
        <v>0.0</v>
      </c>
    </row>
    <row r="625">
      <c r="A625" s="184"/>
      <c r="B625" s="184"/>
      <c r="C625" s="184"/>
      <c r="D625" s="184"/>
      <c r="E625" s="184"/>
      <c r="F625" s="184"/>
      <c r="G625" s="184"/>
      <c r="H625" s="184"/>
      <c r="I625" s="184"/>
      <c r="J625" s="184"/>
      <c r="K625" s="184"/>
      <c r="L625" s="184"/>
      <c r="M625" s="184"/>
      <c r="N625" s="184"/>
      <c r="O625" s="184"/>
      <c r="P625" s="184"/>
      <c r="Q625" s="184"/>
      <c r="R625" s="184"/>
      <c r="S625" s="186"/>
      <c r="T625" s="184">
        <v>0.0</v>
      </c>
    </row>
    <row r="626">
      <c r="A626" s="184"/>
      <c r="B626" s="184"/>
      <c r="C626" s="184"/>
      <c r="D626" s="184"/>
      <c r="E626" s="184"/>
      <c r="F626" s="184"/>
      <c r="G626" s="184"/>
      <c r="H626" s="184"/>
      <c r="I626" s="184"/>
      <c r="J626" s="184"/>
      <c r="K626" s="184"/>
      <c r="L626" s="184"/>
      <c r="M626" s="184"/>
      <c r="N626" s="184"/>
      <c r="O626" s="184"/>
      <c r="P626" s="184"/>
      <c r="Q626" s="184"/>
      <c r="R626" s="184"/>
      <c r="S626" s="186"/>
      <c r="T626" s="184">
        <v>0.0</v>
      </c>
    </row>
    <row r="627">
      <c r="A627" s="184"/>
      <c r="B627" s="184"/>
      <c r="C627" s="184"/>
      <c r="D627" s="184"/>
      <c r="E627" s="184"/>
      <c r="F627" s="184"/>
      <c r="G627" s="184"/>
      <c r="H627" s="184"/>
      <c r="I627" s="184"/>
      <c r="J627" s="184"/>
      <c r="K627" s="184"/>
      <c r="L627" s="184"/>
      <c r="M627" s="184"/>
      <c r="N627" s="184"/>
      <c r="O627" s="184"/>
      <c r="P627" s="184"/>
      <c r="Q627" s="184"/>
      <c r="R627" s="184"/>
      <c r="S627" s="186"/>
      <c r="T627" s="184">
        <v>0.0</v>
      </c>
    </row>
    <row r="628">
      <c r="A628" s="184"/>
      <c r="B628" s="184"/>
      <c r="C628" s="184"/>
      <c r="D628" s="184"/>
      <c r="E628" s="184"/>
      <c r="F628" s="184"/>
      <c r="G628" s="184"/>
      <c r="H628" s="184"/>
      <c r="I628" s="184"/>
      <c r="J628" s="184"/>
      <c r="K628" s="184"/>
      <c r="L628" s="184"/>
      <c r="M628" s="184"/>
      <c r="N628" s="184"/>
      <c r="O628" s="184"/>
      <c r="P628" s="184"/>
      <c r="Q628" s="184"/>
      <c r="R628" s="184"/>
      <c r="S628" s="186"/>
      <c r="T628" s="184">
        <v>0.0</v>
      </c>
    </row>
    <row r="629">
      <c r="A629" s="184"/>
      <c r="B629" s="184"/>
      <c r="C629" s="184"/>
      <c r="D629" s="184"/>
      <c r="E629" s="184"/>
      <c r="F629" s="184"/>
      <c r="G629" s="184"/>
      <c r="H629" s="184"/>
      <c r="I629" s="184"/>
      <c r="J629" s="184"/>
      <c r="K629" s="184"/>
      <c r="L629" s="184"/>
      <c r="M629" s="184"/>
      <c r="N629" s="184"/>
      <c r="O629" s="184"/>
      <c r="P629" s="184"/>
      <c r="Q629" s="184"/>
      <c r="R629" s="184"/>
      <c r="S629" s="186"/>
      <c r="T629" s="184">
        <v>0.0</v>
      </c>
    </row>
    <row r="630">
      <c r="A630" s="184"/>
      <c r="B630" s="184"/>
      <c r="C630" s="184"/>
      <c r="D630" s="184"/>
      <c r="E630" s="184"/>
      <c r="F630" s="184"/>
      <c r="G630" s="184"/>
      <c r="H630" s="184"/>
      <c r="I630" s="184"/>
      <c r="J630" s="184"/>
      <c r="K630" s="184"/>
      <c r="L630" s="184"/>
      <c r="M630" s="184"/>
      <c r="N630" s="184"/>
      <c r="O630" s="184"/>
      <c r="P630" s="184"/>
      <c r="Q630" s="184"/>
      <c r="R630" s="184"/>
      <c r="S630" s="186"/>
      <c r="T630" s="184">
        <v>0.0</v>
      </c>
    </row>
    <row r="631">
      <c r="A631" s="184"/>
      <c r="B631" s="184"/>
      <c r="C631" s="184"/>
      <c r="D631" s="184"/>
      <c r="E631" s="184"/>
      <c r="F631" s="184"/>
      <c r="G631" s="184"/>
      <c r="H631" s="184"/>
      <c r="I631" s="184"/>
      <c r="J631" s="184"/>
      <c r="K631" s="184"/>
      <c r="L631" s="184"/>
      <c r="M631" s="184"/>
      <c r="N631" s="184"/>
      <c r="O631" s="184"/>
      <c r="P631" s="184"/>
      <c r="Q631" s="184"/>
      <c r="R631" s="184"/>
      <c r="S631" s="186"/>
      <c r="T631" s="184">
        <v>0.0</v>
      </c>
    </row>
    <row r="632">
      <c r="A632" s="184"/>
      <c r="B632" s="184"/>
      <c r="C632" s="184"/>
      <c r="D632" s="184"/>
      <c r="E632" s="184"/>
      <c r="F632" s="184"/>
      <c r="G632" s="184"/>
      <c r="H632" s="184"/>
      <c r="I632" s="184"/>
      <c r="J632" s="184"/>
      <c r="K632" s="184"/>
      <c r="L632" s="184"/>
      <c r="M632" s="184"/>
      <c r="N632" s="184"/>
      <c r="O632" s="184"/>
      <c r="P632" s="184"/>
      <c r="Q632" s="184"/>
      <c r="R632" s="184"/>
      <c r="S632" s="186"/>
      <c r="T632" s="184">
        <v>0.0</v>
      </c>
    </row>
    <row r="633">
      <c r="A633" s="184"/>
      <c r="B633" s="184"/>
      <c r="C633" s="184"/>
      <c r="D633" s="184"/>
      <c r="E633" s="184"/>
      <c r="F633" s="184"/>
      <c r="G633" s="184"/>
      <c r="H633" s="184"/>
      <c r="I633" s="184"/>
      <c r="J633" s="184"/>
      <c r="K633" s="184"/>
      <c r="L633" s="184"/>
      <c r="M633" s="184"/>
      <c r="N633" s="184"/>
      <c r="O633" s="184"/>
      <c r="P633" s="184"/>
      <c r="Q633" s="184"/>
      <c r="R633" s="184"/>
      <c r="S633" s="186"/>
      <c r="T633" s="184">
        <v>0.0</v>
      </c>
    </row>
    <row r="634">
      <c r="A634" s="184"/>
      <c r="B634" s="184"/>
      <c r="C634" s="184"/>
      <c r="D634" s="184"/>
      <c r="E634" s="184"/>
      <c r="F634" s="184"/>
      <c r="G634" s="184"/>
      <c r="H634" s="184"/>
      <c r="I634" s="184"/>
      <c r="J634" s="184"/>
      <c r="K634" s="184"/>
      <c r="L634" s="184"/>
      <c r="M634" s="184"/>
      <c r="N634" s="184"/>
      <c r="O634" s="184"/>
      <c r="P634" s="184"/>
      <c r="Q634" s="184"/>
      <c r="R634" s="184"/>
      <c r="S634" s="186"/>
      <c r="T634" s="184">
        <v>0.0</v>
      </c>
    </row>
    <row r="635">
      <c r="A635" s="184"/>
      <c r="B635" s="184"/>
      <c r="C635" s="184"/>
      <c r="D635" s="184"/>
      <c r="E635" s="184"/>
      <c r="F635" s="184"/>
      <c r="G635" s="184"/>
      <c r="H635" s="184"/>
      <c r="I635" s="184"/>
      <c r="J635" s="184"/>
      <c r="K635" s="184"/>
      <c r="L635" s="184"/>
      <c r="M635" s="184"/>
      <c r="N635" s="184"/>
      <c r="O635" s="184"/>
      <c r="P635" s="184"/>
      <c r="Q635" s="184"/>
      <c r="R635" s="184"/>
      <c r="S635" s="186"/>
      <c r="T635" s="184">
        <v>0.0</v>
      </c>
    </row>
    <row r="636">
      <c r="A636" s="184"/>
      <c r="B636" s="184"/>
      <c r="C636" s="184"/>
      <c r="D636" s="184"/>
      <c r="E636" s="184"/>
      <c r="F636" s="184"/>
      <c r="G636" s="184"/>
      <c r="H636" s="184"/>
      <c r="I636" s="184"/>
      <c r="J636" s="184"/>
      <c r="K636" s="184"/>
      <c r="L636" s="184"/>
      <c r="M636" s="184"/>
      <c r="N636" s="184"/>
      <c r="O636" s="184"/>
      <c r="P636" s="184"/>
      <c r="Q636" s="184"/>
      <c r="R636" s="184"/>
      <c r="S636" s="186"/>
      <c r="T636" s="184">
        <v>0.0</v>
      </c>
    </row>
    <row r="637">
      <c r="A637" s="184"/>
      <c r="B637" s="184"/>
      <c r="C637" s="184"/>
      <c r="D637" s="184"/>
      <c r="E637" s="184"/>
      <c r="F637" s="184"/>
      <c r="G637" s="184"/>
      <c r="H637" s="184"/>
      <c r="I637" s="184"/>
      <c r="J637" s="184"/>
      <c r="K637" s="184"/>
      <c r="L637" s="184"/>
      <c r="M637" s="184"/>
      <c r="N637" s="184"/>
      <c r="O637" s="184"/>
      <c r="P637" s="184"/>
      <c r="Q637" s="184"/>
      <c r="R637" s="184"/>
      <c r="S637" s="186"/>
      <c r="T637" s="184">
        <v>0.0</v>
      </c>
    </row>
    <row r="638">
      <c r="A638" s="184"/>
      <c r="B638" s="184"/>
      <c r="C638" s="184"/>
      <c r="D638" s="184"/>
      <c r="E638" s="184"/>
      <c r="F638" s="184"/>
      <c r="G638" s="184"/>
      <c r="H638" s="184"/>
      <c r="I638" s="184"/>
      <c r="J638" s="184"/>
      <c r="K638" s="184"/>
      <c r="L638" s="184"/>
      <c r="M638" s="184"/>
      <c r="N638" s="184"/>
      <c r="O638" s="184"/>
      <c r="P638" s="184"/>
      <c r="Q638" s="184"/>
      <c r="R638" s="184"/>
      <c r="S638" s="186"/>
      <c r="T638" s="184">
        <v>0.0</v>
      </c>
    </row>
    <row r="639">
      <c r="A639" s="184"/>
      <c r="B639" s="184"/>
      <c r="C639" s="184"/>
      <c r="D639" s="184"/>
      <c r="E639" s="184"/>
      <c r="F639" s="184"/>
      <c r="G639" s="184"/>
      <c r="H639" s="184"/>
      <c r="I639" s="184"/>
      <c r="J639" s="184"/>
      <c r="K639" s="184"/>
      <c r="L639" s="184"/>
      <c r="M639" s="184"/>
      <c r="N639" s="184"/>
      <c r="O639" s="184"/>
      <c r="P639" s="184"/>
      <c r="Q639" s="184"/>
      <c r="R639" s="184"/>
      <c r="S639" s="186"/>
      <c r="T639" s="184">
        <v>0.0</v>
      </c>
    </row>
    <row r="640">
      <c r="A640" s="184"/>
      <c r="B640" s="184"/>
      <c r="C640" s="184"/>
      <c r="D640" s="184"/>
      <c r="E640" s="184"/>
      <c r="F640" s="184"/>
      <c r="G640" s="184"/>
      <c r="H640" s="184"/>
      <c r="I640" s="184"/>
      <c r="J640" s="184"/>
      <c r="K640" s="184"/>
      <c r="L640" s="184"/>
      <c r="M640" s="184"/>
      <c r="N640" s="184"/>
      <c r="O640" s="184"/>
      <c r="P640" s="184"/>
      <c r="Q640" s="184"/>
      <c r="R640" s="184"/>
      <c r="S640" s="186"/>
      <c r="T640" s="184">
        <v>0.0</v>
      </c>
    </row>
    <row r="641">
      <c r="A641" s="184"/>
      <c r="B641" s="184"/>
      <c r="C641" s="184"/>
      <c r="D641" s="184"/>
      <c r="E641" s="184"/>
      <c r="F641" s="184"/>
      <c r="G641" s="184"/>
      <c r="H641" s="184"/>
      <c r="I641" s="184"/>
      <c r="J641" s="184"/>
      <c r="K641" s="184"/>
      <c r="L641" s="184"/>
      <c r="M641" s="184"/>
      <c r="N641" s="184"/>
      <c r="O641" s="184"/>
      <c r="P641" s="184"/>
      <c r="Q641" s="184"/>
      <c r="R641" s="184"/>
      <c r="S641" s="186"/>
      <c r="T641" s="184">
        <v>0.0</v>
      </c>
    </row>
    <row r="642">
      <c r="A642" s="184"/>
      <c r="B642" s="184"/>
      <c r="C642" s="184"/>
      <c r="D642" s="184"/>
      <c r="E642" s="184"/>
      <c r="F642" s="184"/>
      <c r="G642" s="184"/>
      <c r="H642" s="184"/>
      <c r="I642" s="184"/>
      <c r="J642" s="184"/>
      <c r="K642" s="184"/>
      <c r="L642" s="184"/>
      <c r="M642" s="184"/>
      <c r="N642" s="184"/>
      <c r="O642" s="184"/>
      <c r="P642" s="184"/>
      <c r="Q642" s="184"/>
      <c r="R642" s="184"/>
      <c r="S642" s="186"/>
      <c r="T642" s="184">
        <v>0.0</v>
      </c>
    </row>
    <row r="643">
      <c r="A643" s="184"/>
      <c r="B643" s="184"/>
      <c r="C643" s="184"/>
      <c r="D643" s="184"/>
      <c r="E643" s="184"/>
      <c r="F643" s="184"/>
      <c r="G643" s="184"/>
      <c r="H643" s="184"/>
      <c r="I643" s="184"/>
      <c r="J643" s="184"/>
      <c r="K643" s="184"/>
      <c r="L643" s="184"/>
      <c r="M643" s="184"/>
      <c r="N643" s="184"/>
      <c r="O643" s="184"/>
      <c r="P643" s="184"/>
      <c r="Q643" s="184"/>
      <c r="R643" s="184"/>
      <c r="S643" s="186"/>
      <c r="T643" s="184">
        <v>0.0</v>
      </c>
    </row>
    <row r="644">
      <c r="A644" s="184"/>
      <c r="B644" s="184"/>
      <c r="C644" s="184"/>
      <c r="D644" s="184"/>
      <c r="E644" s="184"/>
      <c r="F644" s="184"/>
      <c r="G644" s="184"/>
      <c r="H644" s="184"/>
      <c r="I644" s="184"/>
      <c r="J644" s="184"/>
      <c r="K644" s="184"/>
      <c r="L644" s="184"/>
      <c r="M644" s="184"/>
      <c r="N644" s="184"/>
      <c r="O644" s="184"/>
      <c r="P644" s="184"/>
      <c r="Q644" s="184"/>
      <c r="R644" s="184"/>
      <c r="S644" s="186"/>
      <c r="T644" s="184">
        <v>0.0</v>
      </c>
    </row>
    <row r="645">
      <c r="A645" s="184"/>
      <c r="B645" s="184"/>
      <c r="C645" s="184"/>
      <c r="D645" s="184"/>
      <c r="E645" s="184"/>
      <c r="F645" s="184"/>
      <c r="G645" s="184"/>
      <c r="H645" s="184"/>
      <c r="I645" s="184"/>
      <c r="J645" s="184"/>
      <c r="K645" s="184"/>
      <c r="L645" s="184"/>
      <c r="M645" s="184"/>
      <c r="N645" s="184"/>
      <c r="O645" s="184"/>
      <c r="P645" s="184"/>
      <c r="Q645" s="184"/>
      <c r="R645" s="184"/>
      <c r="S645" s="186"/>
      <c r="T645" s="184">
        <v>0.0</v>
      </c>
    </row>
    <row r="646">
      <c r="A646" s="184"/>
      <c r="B646" s="184"/>
      <c r="C646" s="184"/>
      <c r="D646" s="184"/>
      <c r="E646" s="184"/>
      <c r="F646" s="184"/>
      <c r="G646" s="184"/>
      <c r="H646" s="184"/>
      <c r="I646" s="184"/>
      <c r="J646" s="184"/>
      <c r="K646" s="184"/>
      <c r="L646" s="184"/>
      <c r="M646" s="184"/>
      <c r="N646" s="184"/>
      <c r="O646" s="184"/>
      <c r="P646" s="184"/>
      <c r="Q646" s="184"/>
      <c r="R646" s="184"/>
      <c r="S646" s="186"/>
      <c r="T646" s="184">
        <v>0.0</v>
      </c>
    </row>
    <row r="647">
      <c r="A647" s="184"/>
      <c r="B647" s="184"/>
      <c r="C647" s="184"/>
      <c r="D647" s="184"/>
      <c r="E647" s="184"/>
      <c r="F647" s="184"/>
      <c r="G647" s="184"/>
      <c r="H647" s="184"/>
      <c r="I647" s="184"/>
      <c r="J647" s="184"/>
      <c r="K647" s="184"/>
      <c r="L647" s="184"/>
      <c r="M647" s="184"/>
      <c r="N647" s="184"/>
      <c r="O647" s="184"/>
      <c r="P647" s="184"/>
      <c r="Q647" s="184"/>
      <c r="R647" s="184"/>
      <c r="S647" s="186"/>
      <c r="T647" s="184">
        <v>0.0</v>
      </c>
    </row>
    <row r="648">
      <c r="A648" s="184"/>
      <c r="B648" s="184"/>
      <c r="C648" s="184"/>
      <c r="D648" s="184"/>
      <c r="E648" s="184"/>
      <c r="F648" s="184"/>
      <c r="G648" s="184"/>
      <c r="H648" s="184"/>
      <c r="I648" s="184"/>
      <c r="J648" s="184"/>
      <c r="K648" s="184"/>
      <c r="L648" s="184"/>
      <c r="M648" s="184"/>
      <c r="N648" s="184"/>
      <c r="O648" s="184"/>
      <c r="P648" s="184"/>
      <c r="Q648" s="184"/>
      <c r="R648" s="184"/>
      <c r="S648" s="186"/>
      <c r="T648" s="184">
        <v>0.0</v>
      </c>
    </row>
    <row r="649">
      <c r="A649" s="184"/>
      <c r="B649" s="184"/>
      <c r="C649" s="184"/>
      <c r="D649" s="184"/>
      <c r="E649" s="184"/>
      <c r="F649" s="184"/>
      <c r="G649" s="184"/>
      <c r="H649" s="184"/>
      <c r="I649" s="184"/>
      <c r="J649" s="184"/>
      <c r="K649" s="184"/>
      <c r="L649" s="184"/>
      <c r="M649" s="184"/>
      <c r="N649" s="184"/>
      <c r="O649" s="184"/>
      <c r="P649" s="184"/>
      <c r="Q649" s="184"/>
      <c r="R649" s="184"/>
      <c r="S649" s="186"/>
      <c r="T649" s="184">
        <v>0.0</v>
      </c>
    </row>
    <row r="650">
      <c r="A650" s="184"/>
      <c r="B650" s="184"/>
      <c r="C650" s="184"/>
      <c r="D650" s="184"/>
      <c r="E650" s="184"/>
      <c r="F650" s="184"/>
      <c r="G650" s="184"/>
      <c r="H650" s="184"/>
      <c r="I650" s="184"/>
      <c r="J650" s="184"/>
      <c r="K650" s="184"/>
      <c r="L650" s="184"/>
      <c r="M650" s="184"/>
      <c r="N650" s="184"/>
      <c r="O650" s="184"/>
      <c r="P650" s="184"/>
      <c r="Q650" s="184"/>
      <c r="R650" s="184"/>
      <c r="S650" s="186"/>
      <c r="T650" s="184">
        <v>0.0</v>
      </c>
    </row>
    <row r="651">
      <c r="A651" s="184"/>
      <c r="B651" s="184"/>
      <c r="C651" s="184"/>
      <c r="D651" s="184"/>
      <c r="E651" s="184"/>
      <c r="F651" s="184"/>
      <c r="G651" s="184"/>
      <c r="H651" s="184"/>
      <c r="I651" s="184"/>
      <c r="J651" s="184"/>
      <c r="K651" s="184"/>
      <c r="L651" s="184"/>
      <c r="M651" s="184"/>
      <c r="N651" s="184"/>
      <c r="O651" s="184"/>
      <c r="P651" s="184"/>
      <c r="Q651" s="184"/>
      <c r="R651" s="184"/>
      <c r="S651" s="186"/>
      <c r="T651" s="184">
        <v>0.0</v>
      </c>
    </row>
    <row r="652">
      <c r="A652" s="184"/>
      <c r="B652" s="184"/>
      <c r="C652" s="184"/>
      <c r="D652" s="184"/>
      <c r="E652" s="184"/>
      <c r="F652" s="184"/>
      <c r="G652" s="184"/>
      <c r="H652" s="184"/>
      <c r="I652" s="184"/>
      <c r="J652" s="184"/>
      <c r="K652" s="184"/>
      <c r="L652" s="184"/>
      <c r="M652" s="184"/>
      <c r="N652" s="184"/>
      <c r="O652" s="184"/>
      <c r="P652" s="184"/>
      <c r="Q652" s="184"/>
      <c r="R652" s="184"/>
      <c r="S652" s="186"/>
      <c r="T652" s="184">
        <v>0.0</v>
      </c>
    </row>
    <row r="653">
      <c r="A653" s="184"/>
      <c r="B653" s="184"/>
      <c r="C653" s="184"/>
      <c r="D653" s="184"/>
      <c r="E653" s="184"/>
      <c r="F653" s="184"/>
      <c r="G653" s="184"/>
      <c r="H653" s="184"/>
      <c r="I653" s="184"/>
      <c r="J653" s="184"/>
      <c r="K653" s="184"/>
      <c r="L653" s="184"/>
      <c r="M653" s="184"/>
      <c r="N653" s="184"/>
      <c r="O653" s="184"/>
      <c r="P653" s="184"/>
      <c r="Q653" s="184"/>
      <c r="R653" s="184"/>
      <c r="S653" s="186"/>
      <c r="T653" s="184">
        <v>0.0</v>
      </c>
    </row>
    <row r="654">
      <c r="A654" s="184"/>
      <c r="B654" s="184"/>
      <c r="C654" s="184"/>
      <c r="D654" s="184"/>
      <c r="E654" s="184"/>
      <c r="F654" s="184"/>
      <c r="G654" s="184"/>
      <c r="H654" s="184"/>
      <c r="I654" s="184"/>
      <c r="J654" s="184"/>
      <c r="K654" s="184"/>
      <c r="L654" s="184"/>
      <c r="M654" s="184"/>
      <c r="N654" s="184"/>
      <c r="O654" s="184"/>
      <c r="P654" s="184"/>
      <c r="Q654" s="184"/>
      <c r="R654" s="184"/>
      <c r="S654" s="186"/>
      <c r="T654" s="184">
        <v>0.0</v>
      </c>
    </row>
    <row r="655">
      <c r="A655" s="184"/>
      <c r="B655" s="184"/>
      <c r="C655" s="184"/>
      <c r="D655" s="184"/>
      <c r="E655" s="184"/>
      <c r="F655" s="184"/>
      <c r="G655" s="184"/>
      <c r="H655" s="184"/>
      <c r="I655" s="184"/>
      <c r="J655" s="184"/>
      <c r="K655" s="184"/>
      <c r="L655" s="184"/>
      <c r="M655" s="184"/>
      <c r="N655" s="184"/>
      <c r="O655" s="184"/>
      <c r="P655" s="184"/>
      <c r="Q655" s="184"/>
      <c r="R655" s="184"/>
      <c r="S655" s="186"/>
      <c r="T655" s="184">
        <v>0.0</v>
      </c>
    </row>
    <row r="656">
      <c r="A656" s="184"/>
      <c r="B656" s="184"/>
      <c r="C656" s="184"/>
      <c r="D656" s="184"/>
      <c r="E656" s="184"/>
      <c r="F656" s="184"/>
      <c r="G656" s="184"/>
      <c r="H656" s="184"/>
      <c r="I656" s="184"/>
      <c r="J656" s="184"/>
      <c r="K656" s="184"/>
      <c r="L656" s="184"/>
      <c r="M656" s="184"/>
      <c r="N656" s="184"/>
      <c r="O656" s="184"/>
      <c r="P656" s="184"/>
      <c r="Q656" s="184"/>
      <c r="R656" s="184"/>
      <c r="S656" s="186"/>
      <c r="T656" s="184">
        <v>0.0</v>
      </c>
    </row>
    <row r="657">
      <c r="A657" s="184"/>
      <c r="B657" s="184"/>
      <c r="C657" s="184"/>
      <c r="D657" s="184"/>
      <c r="E657" s="184"/>
      <c r="F657" s="184"/>
      <c r="G657" s="184"/>
      <c r="H657" s="184"/>
      <c r="I657" s="184"/>
      <c r="J657" s="184"/>
      <c r="K657" s="184"/>
      <c r="L657" s="184"/>
      <c r="M657" s="184"/>
      <c r="N657" s="184"/>
      <c r="O657" s="184"/>
      <c r="P657" s="184"/>
      <c r="Q657" s="184"/>
      <c r="R657" s="184"/>
      <c r="S657" s="186"/>
      <c r="T657" s="184">
        <v>0.0</v>
      </c>
    </row>
    <row r="658">
      <c r="A658" s="184"/>
      <c r="B658" s="184"/>
      <c r="C658" s="184"/>
      <c r="D658" s="184"/>
      <c r="E658" s="184"/>
      <c r="F658" s="184"/>
      <c r="G658" s="184"/>
      <c r="H658" s="184"/>
      <c r="I658" s="184"/>
      <c r="J658" s="184"/>
      <c r="K658" s="184"/>
      <c r="L658" s="184"/>
      <c r="M658" s="184"/>
      <c r="N658" s="184"/>
      <c r="O658" s="184"/>
      <c r="P658" s="184"/>
      <c r="Q658" s="184"/>
      <c r="R658" s="184"/>
      <c r="S658" s="186"/>
      <c r="T658" s="184">
        <v>0.0</v>
      </c>
    </row>
    <row r="659">
      <c r="A659" s="184"/>
      <c r="B659" s="184"/>
      <c r="C659" s="184"/>
      <c r="D659" s="184"/>
      <c r="E659" s="184"/>
      <c r="F659" s="184"/>
      <c r="G659" s="184"/>
      <c r="H659" s="184"/>
      <c r="I659" s="184"/>
      <c r="J659" s="184"/>
      <c r="K659" s="184"/>
      <c r="L659" s="184"/>
      <c r="M659" s="184"/>
      <c r="N659" s="184"/>
      <c r="O659" s="184"/>
      <c r="P659" s="184"/>
      <c r="Q659" s="184"/>
      <c r="R659" s="184"/>
      <c r="S659" s="186"/>
      <c r="T659" s="184">
        <v>0.0</v>
      </c>
    </row>
    <row r="660">
      <c r="A660" s="184"/>
      <c r="B660" s="184"/>
      <c r="C660" s="184"/>
      <c r="D660" s="184"/>
      <c r="E660" s="184"/>
      <c r="F660" s="184"/>
      <c r="G660" s="184"/>
      <c r="H660" s="184"/>
      <c r="I660" s="184"/>
      <c r="J660" s="184"/>
      <c r="K660" s="184"/>
      <c r="L660" s="184"/>
      <c r="M660" s="184"/>
      <c r="N660" s="184"/>
      <c r="O660" s="184"/>
      <c r="P660" s="184"/>
      <c r="Q660" s="184"/>
      <c r="R660" s="184"/>
      <c r="S660" s="186"/>
      <c r="T660" s="184">
        <v>0.0</v>
      </c>
    </row>
    <row r="661">
      <c r="A661" s="184"/>
      <c r="B661" s="184"/>
      <c r="C661" s="184"/>
      <c r="D661" s="184"/>
      <c r="E661" s="184"/>
      <c r="F661" s="184"/>
      <c r="G661" s="184"/>
      <c r="H661" s="184"/>
      <c r="I661" s="184"/>
      <c r="J661" s="184"/>
      <c r="K661" s="184"/>
      <c r="L661" s="184"/>
      <c r="M661" s="184"/>
      <c r="N661" s="184"/>
      <c r="O661" s="184"/>
      <c r="P661" s="184"/>
      <c r="Q661" s="184"/>
      <c r="R661" s="184"/>
      <c r="S661" s="186"/>
      <c r="T661" s="184">
        <v>0.0</v>
      </c>
    </row>
    <row r="662">
      <c r="A662" s="184"/>
      <c r="B662" s="184"/>
      <c r="C662" s="184"/>
      <c r="D662" s="184"/>
      <c r="E662" s="184"/>
      <c r="F662" s="184"/>
      <c r="G662" s="184"/>
      <c r="H662" s="184"/>
      <c r="I662" s="184"/>
      <c r="J662" s="184"/>
      <c r="K662" s="184"/>
      <c r="L662" s="184"/>
      <c r="M662" s="184"/>
      <c r="N662" s="184"/>
      <c r="O662" s="184"/>
      <c r="P662" s="184"/>
      <c r="Q662" s="184"/>
      <c r="R662" s="184"/>
      <c r="S662" s="186"/>
      <c r="T662" s="184">
        <v>0.0</v>
      </c>
    </row>
    <row r="663">
      <c r="A663" s="184"/>
      <c r="B663" s="184"/>
      <c r="C663" s="184"/>
      <c r="D663" s="184"/>
      <c r="E663" s="184"/>
      <c r="F663" s="184"/>
      <c r="G663" s="184"/>
      <c r="H663" s="184"/>
      <c r="I663" s="184"/>
      <c r="J663" s="184"/>
      <c r="K663" s="184"/>
      <c r="L663" s="184"/>
      <c r="M663" s="184"/>
      <c r="N663" s="184"/>
      <c r="O663" s="184"/>
      <c r="P663" s="184"/>
      <c r="Q663" s="184"/>
      <c r="R663" s="184"/>
      <c r="S663" s="186"/>
      <c r="T663" s="184">
        <v>0.0</v>
      </c>
    </row>
    <row r="664">
      <c r="A664" s="184"/>
      <c r="B664" s="184"/>
      <c r="C664" s="184"/>
      <c r="D664" s="184"/>
      <c r="E664" s="184"/>
      <c r="F664" s="184"/>
      <c r="G664" s="184"/>
      <c r="H664" s="184"/>
      <c r="I664" s="184"/>
      <c r="J664" s="184"/>
      <c r="K664" s="184"/>
      <c r="L664" s="184"/>
      <c r="M664" s="184"/>
      <c r="N664" s="184"/>
      <c r="O664" s="184"/>
      <c r="P664" s="184"/>
      <c r="Q664" s="184"/>
      <c r="R664" s="184"/>
      <c r="S664" s="186"/>
      <c r="T664" s="184">
        <v>0.0</v>
      </c>
    </row>
    <row r="665">
      <c r="A665" s="184"/>
      <c r="B665" s="184"/>
      <c r="C665" s="184"/>
      <c r="D665" s="184"/>
      <c r="E665" s="184"/>
      <c r="F665" s="184"/>
      <c r="G665" s="184"/>
      <c r="H665" s="184"/>
      <c r="I665" s="184"/>
      <c r="J665" s="184"/>
      <c r="K665" s="184"/>
      <c r="L665" s="184"/>
      <c r="M665" s="184"/>
      <c r="N665" s="184"/>
      <c r="O665" s="184"/>
      <c r="P665" s="184"/>
      <c r="Q665" s="184"/>
      <c r="R665" s="184"/>
      <c r="S665" s="186"/>
      <c r="T665" s="184">
        <v>0.0</v>
      </c>
    </row>
    <row r="666">
      <c r="A666" s="184"/>
      <c r="B666" s="184"/>
      <c r="C666" s="184"/>
      <c r="D666" s="184"/>
      <c r="E666" s="184"/>
      <c r="F666" s="184"/>
      <c r="G666" s="184"/>
      <c r="H666" s="184"/>
      <c r="I666" s="184"/>
      <c r="J666" s="184"/>
      <c r="K666" s="184"/>
      <c r="L666" s="184"/>
      <c r="M666" s="184"/>
      <c r="N666" s="184"/>
      <c r="O666" s="184"/>
      <c r="P666" s="184"/>
      <c r="Q666" s="184"/>
      <c r="R666" s="184"/>
      <c r="S666" s="186"/>
      <c r="T666" s="184">
        <v>0.0</v>
      </c>
    </row>
    <row r="667">
      <c r="A667" s="184"/>
      <c r="B667" s="184"/>
      <c r="C667" s="184"/>
      <c r="D667" s="184"/>
      <c r="E667" s="184"/>
      <c r="F667" s="184"/>
      <c r="G667" s="184"/>
      <c r="H667" s="184"/>
      <c r="I667" s="184"/>
      <c r="J667" s="184"/>
      <c r="K667" s="184"/>
      <c r="L667" s="184"/>
      <c r="M667" s="184"/>
      <c r="N667" s="184"/>
      <c r="O667" s="184"/>
      <c r="P667" s="184"/>
      <c r="Q667" s="184"/>
      <c r="R667" s="184"/>
      <c r="S667" s="186"/>
      <c r="T667" s="184">
        <v>0.0</v>
      </c>
    </row>
    <row r="668">
      <c r="A668" s="184"/>
      <c r="B668" s="184"/>
      <c r="C668" s="184"/>
      <c r="D668" s="184"/>
      <c r="E668" s="184"/>
      <c r="F668" s="184"/>
      <c r="G668" s="184"/>
      <c r="H668" s="184"/>
      <c r="I668" s="184"/>
      <c r="J668" s="184"/>
      <c r="K668" s="184"/>
      <c r="L668" s="184"/>
      <c r="M668" s="184"/>
      <c r="N668" s="184"/>
      <c r="O668" s="184"/>
      <c r="P668" s="184"/>
      <c r="Q668" s="184"/>
      <c r="R668" s="184"/>
      <c r="S668" s="186"/>
      <c r="T668" s="184">
        <v>0.0</v>
      </c>
    </row>
    <row r="669">
      <c r="A669" s="184"/>
      <c r="B669" s="184"/>
      <c r="C669" s="184"/>
      <c r="D669" s="184"/>
      <c r="E669" s="184"/>
      <c r="F669" s="184"/>
      <c r="G669" s="184"/>
      <c r="H669" s="184"/>
      <c r="I669" s="184"/>
      <c r="J669" s="184"/>
      <c r="K669" s="184"/>
      <c r="L669" s="184"/>
      <c r="M669" s="184"/>
      <c r="N669" s="184"/>
      <c r="O669" s="184"/>
      <c r="P669" s="184"/>
      <c r="Q669" s="184"/>
      <c r="R669" s="184"/>
      <c r="S669" s="186"/>
      <c r="T669" s="184">
        <v>0.0</v>
      </c>
    </row>
    <row r="670">
      <c r="A670" s="184"/>
      <c r="B670" s="184"/>
      <c r="C670" s="184"/>
      <c r="D670" s="184"/>
      <c r="E670" s="184"/>
      <c r="F670" s="184"/>
      <c r="G670" s="184"/>
      <c r="H670" s="184"/>
      <c r="I670" s="184"/>
      <c r="J670" s="184"/>
      <c r="K670" s="184"/>
      <c r="L670" s="184"/>
      <c r="M670" s="184"/>
      <c r="N670" s="184"/>
      <c r="O670" s="184"/>
      <c r="P670" s="184"/>
      <c r="Q670" s="184"/>
      <c r="R670" s="184"/>
      <c r="S670" s="186"/>
      <c r="T670" s="184">
        <v>0.0</v>
      </c>
    </row>
    <row r="671">
      <c r="A671" s="184"/>
      <c r="B671" s="184"/>
      <c r="C671" s="184"/>
      <c r="D671" s="184"/>
      <c r="E671" s="184"/>
      <c r="F671" s="184"/>
      <c r="G671" s="184"/>
      <c r="H671" s="184"/>
      <c r="I671" s="184"/>
      <c r="J671" s="184"/>
      <c r="K671" s="184"/>
      <c r="L671" s="184"/>
      <c r="M671" s="184"/>
      <c r="N671" s="184"/>
      <c r="O671" s="184"/>
      <c r="P671" s="184"/>
      <c r="Q671" s="184"/>
      <c r="R671" s="184"/>
      <c r="S671" s="186"/>
      <c r="T671" s="184">
        <v>0.0</v>
      </c>
    </row>
    <row r="672">
      <c r="A672" s="184"/>
      <c r="B672" s="184"/>
      <c r="C672" s="184"/>
      <c r="D672" s="184"/>
      <c r="E672" s="184"/>
      <c r="F672" s="184"/>
      <c r="G672" s="184"/>
      <c r="H672" s="184"/>
      <c r="I672" s="184"/>
      <c r="J672" s="184"/>
      <c r="K672" s="184"/>
      <c r="L672" s="184"/>
      <c r="M672" s="184"/>
      <c r="N672" s="184"/>
      <c r="O672" s="184"/>
      <c r="P672" s="184"/>
      <c r="Q672" s="184"/>
      <c r="R672" s="184"/>
      <c r="S672" s="186"/>
      <c r="T672" s="184">
        <v>0.0</v>
      </c>
    </row>
    <row r="673">
      <c r="A673" s="184"/>
      <c r="B673" s="184"/>
      <c r="C673" s="184"/>
      <c r="D673" s="184"/>
      <c r="E673" s="184"/>
      <c r="F673" s="184"/>
      <c r="G673" s="184"/>
      <c r="H673" s="184"/>
      <c r="I673" s="184"/>
      <c r="J673" s="184"/>
      <c r="K673" s="184"/>
      <c r="L673" s="184"/>
      <c r="M673" s="184"/>
      <c r="N673" s="184"/>
      <c r="O673" s="184"/>
      <c r="P673" s="184"/>
      <c r="Q673" s="184"/>
      <c r="R673" s="184"/>
      <c r="S673" s="186"/>
      <c r="T673" s="184">
        <v>0.0</v>
      </c>
    </row>
    <row r="674">
      <c r="A674" s="184"/>
      <c r="B674" s="184"/>
      <c r="C674" s="184"/>
      <c r="D674" s="184"/>
      <c r="E674" s="184"/>
      <c r="F674" s="184"/>
      <c r="G674" s="184"/>
      <c r="H674" s="184"/>
      <c r="I674" s="184"/>
      <c r="J674" s="184"/>
      <c r="K674" s="184"/>
      <c r="L674" s="184"/>
      <c r="M674" s="184"/>
      <c r="N674" s="184"/>
      <c r="O674" s="184"/>
      <c r="P674" s="184"/>
      <c r="Q674" s="184"/>
      <c r="R674" s="184"/>
      <c r="S674" s="186"/>
      <c r="T674" s="184">
        <v>0.0</v>
      </c>
    </row>
    <row r="675">
      <c r="A675" s="184"/>
      <c r="B675" s="184"/>
      <c r="C675" s="184"/>
      <c r="D675" s="184"/>
      <c r="E675" s="184"/>
      <c r="F675" s="184"/>
      <c r="G675" s="184"/>
      <c r="H675" s="184"/>
      <c r="I675" s="184"/>
      <c r="J675" s="184"/>
      <c r="K675" s="184"/>
      <c r="L675" s="184"/>
      <c r="M675" s="184"/>
      <c r="N675" s="184"/>
      <c r="O675" s="184"/>
      <c r="P675" s="184"/>
      <c r="Q675" s="184"/>
      <c r="R675" s="184"/>
      <c r="S675" s="186"/>
      <c r="T675" s="184">
        <v>0.0</v>
      </c>
    </row>
    <row r="676">
      <c r="A676" s="184"/>
      <c r="B676" s="184"/>
      <c r="C676" s="184"/>
      <c r="D676" s="184"/>
      <c r="E676" s="184"/>
      <c r="F676" s="184"/>
      <c r="G676" s="184"/>
      <c r="H676" s="184"/>
      <c r="I676" s="184"/>
      <c r="J676" s="184"/>
      <c r="K676" s="184"/>
      <c r="L676" s="184"/>
      <c r="M676" s="184"/>
      <c r="N676" s="184"/>
      <c r="O676" s="184"/>
      <c r="P676" s="184"/>
      <c r="Q676" s="184"/>
      <c r="R676" s="184"/>
      <c r="S676" s="186"/>
      <c r="T676" s="184">
        <v>0.0</v>
      </c>
    </row>
    <row r="677">
      <c r="A677" s="184"/>
      <c r="B677" s="184"/>
      <c r="C677" s="184"/>
      <c r="D677" s="184"/>
      <c r="E677" s="184"/>
      <c r="F677" s="184"/>
      <c r="G677" s="184"/>
      <c r="H677" s="184"/>
      <c r="I677" s="184"/>
      <c r="J677" s="184"/>
      <c r="K677" s="184"/>
      <c r="L677" s="184"/>
      <c r="M677" s="184"/>
      <c r="N677" s="184"/>
      <c r="O677" s="184"/>
      <c r="P677" s="184"/>
      <c r="Q677" s="184"/>
      <c r="R677" s="184"/>
      <c r="S677" s="186"/>
      <c r="T677" s="184">
        <v>0.0</v>
      </c>
    </row>
    <row r="678">
      <c r="A678" s="184"/>
      <c r="B678" s="184"/>
      <c r="C678" s="184"/>
      <c r="D678" s="184"/>
      <c r="E678" s="184"/>
      <c r="F678" s="184"/>
      <c r="G678" s="184"/>
      <c r="H678" s="184"/>
      <c r="I678" s="184"/>
      <c r="J678" s="184"/>
      <c r="K678" s="184"/>
      <c r="L678" s="184"/>
      <c r="M678" s="184"/>
      <c r="N678" s="184"/>
      <c r="O678" s="184"/>
      <c r="P678" s="184"/>
      <c r="Q678" s="184"/>
      <c r="R678" s="184"/>
      <c r="S678" s="186"/>
      <c r="T678" s="184">
        <v>0.0</v>
      </c>
    </row>
    <row r="679">
      <c r="A679" s="184"/>
      <c r="B679" s="184"/>
      <c r="C679" s="184"/>
      <c r="D679" s="184"/>
      <c r="E679" s="184"/>
      <c r="F679" s="184"/>
      <c r="G679" s="184"/>
      <c r="H679" s="184"/>
      <c r="I679" s="184"/>
      <c r="J679" s="184"/>
      <c r="K679" s="184"/>
      <c r="L679" s="184"/>
      <c r="M679" s="184"/>
      <c r="N679" s="184"/>
      <c r="O679" s="184"/>
      <c r="P679" s="184"/>
      <c r="Q679" s="184"/>
      <c r="R679" s="184"/>
      <c r="S679" s="186"/>
      <c r="T679" s="184">
        <v>0.0</v>
      </c>
    </row>
    <row r="680">
      <c r="A680" s="184"/>
      <c r="B680" s="184"/>
      <c r="C680" s="184"/>
      <c r="D680" s="184"/>
      <c r="E680" s="184"/>
      <c r="F680" s="184"/>
      <c r="G680" s="184"/>
      <c r="H680" s="184"/>
      <c r="I680" s="184"/>
      <c r="J680" s="184"/>
      <c r="K680" s="184"/>
      <c r="L680" s="184"/>
      <c r="M680" s="184"/>
      <c r="N680" s="184"/>
      <c r="O680" s="184"/>
      <c r="P680" s="184"/>
      <c r="Q680" s="184"/>
      <c r="R680" s="184"/>
      <c r="S680" s="186"/>
      <c r="T680" s="184">
        <v>0.0</v>
      </c>
    </row>
    <row r="681">
      <c r="A681" s="184"/>
      <c r="B681" s="184"/>
      <c r="C681" s="184"/>
      <c r="D681" s="184"/>
      <c r="E681" s="184"/>
      <c r="F681" s="184"/>
      <c r="G681" s="184"/>
      <c r="H681" s="184"/>
      <c r="I681" s="184"/>
      <c r="J681" s="184"/>
      <c r="K681" s="184"/>
      <c r="L681" s="184"/>
      <c r="M681" s="184"/>
      <c r="N681" s="184"/>
      <c r="O681" s="184"/>
      <c r="P681" s="184"/>
      <c r="Q681" s="184"/>
      <c r="R681" s="184"/>
      <c r="S681" s="186"/>
      <c r="T681" s="184">
        <v>0.0</v>
      </c>
    </row>
    <row r="682">
      <c r="A682" s="184"/>
      <c r="B682" s="184"/>
      <c r="C682" s="184"/>
      <c r="D682" s="184"/>
      <c r="E682" s="184"/>
      <c r="F682" s="184"/>
      <c r="G682" s="184"/>
      <c r="H682" s="184"/>
      <c r="I682" s="184"/>
      <c r="J682" s="184"/>
      <c r="K682" s="184"/>
      <c r="L682" s="184"/>
      <c r="M682" s="184"/>
      <c r="N682" s="184"/>
      <c r="O682" s="184"/>
      <c r="P682" s="184"/>
      <c r="Q682" s="184"/>
      <c r="R682" s="184"/>
      <c r="S682" s="186"/>
      <c r="T682" s="184">
        <v>0.0</v>
      </c>
    </row>
    <row r="683">
      <c r="A683" s="184"/>
      <c r="B683" s="184"/>
      <c r="C683" s="184"/>
      <c r="D683" s="184"/>
      <c r="E683" s="184"/>
      <c r="F683" s="184"/>
      <c r="G683" s="184"/>
      <c r="H683" s="184"/>
      <c r="I683" s="184"/>
      <c r="J683" s="184"/>
      <c r="K683" s="184"/>
      <c r="L683" s="184"/>
      <c r="M683" s="184"/>
      <c r="N683" s="184"/>
      <c r="O683" s="184"/>
      <c r="P683" s="184"/>
      <c r="Q683" s="184"/>
      <c r="R683" s="184"/>
      <c r="S683" s="186"/>
      <c r="T683" s="184">
        <v>0.0</v>
      </c>
    </row>
    <row r="684">
      <c r="A684" s="184"/>
      <c r="B684" s="184"/>
      <c r="C684" s="184"/>
      <c r="D684" s="184"/>
      <c r="E684" s="184"/>
      <c r="F684" s="184"/>
      <c r="G684" s="184"/>
      <c r="H684" s="184"/>
      <c r="I684" s="184"/>
      <c r="J684" s="184"/>
      <c r="K684" s="184"/>
      <c r="L684" s="184"/>
      <c r="M684" s="184"/>
      <c r="N684" s="184"/>
      <c r="O684" s="184"/>
      <c r="P684" s="184"/>
      <c r="Q684" s="184"/>
      <c r="R684" s="184"/>
      <c r="S684" s="186"/>
      <c r="T684" s="184">
        <v>0.0</v>
      </c>
    </row>
    <row r="685">
      <c r="A685" s="184"/>
      <c r="B685" s="184"/>
      <c r="C685" s="184"/>
      <c r="D685" s="184"/>
      <c r="E685" s="184"/>
      <c r="F685" s="184"/>
      <c r="G685" s="184"/>
      <c r="H685" s="184"/>
      <c r="I685" s="184"/>
      <c r="J685" s="184"/>
      <c r="K685" s="184"/>
      <c r="L685" s="184"/>
      <c r="M685" s="184"/>
      <c r="N685" s="184"/>
      <c r="O685" s="184"/>
      <c r="P685" s="184"/>
      <c r="Q685" s="184"/>
      <c r="R685" s="184"/>
      <c r="S685" s="186"/>
      <c r="T685" s="184">
        <v>0.0</v>
      </c>
    </row>
    <row r="686">
      <c r="A686" s="184"/>
      <c r="B686" s="184"/>
      <c r="C686" s="184"/>
      <c r="D686" s="184"/>
      <c r="E686" s="184"/>
      <c r="F686" s="184"/>
      <c r="G686" s="184"/>
      <c r="H686" s="184"/>
      <c r="I686" s="184"/>
      <c r="J686" s="184"/>
      <c r="K686" s="184"/>
      <c r="L686" s="184"/>
      <c r="M686" s="184"/>
      <c r="N686" s="184"/>
      <c r="O686" s="184"/>
      <c r="P686" s="184"/>
      <c r="Q686" s="184"/>
      <c r="R686" s="184"/>
      <c r="S686" s="186"/>
      <c r="T686" s="184">
        <v>0.0</v>
      </c>
    </row>
    <row r="687">
      <c r="A687" s="184"/>
      <c r="B687" s="184"/>
      <c r="C687" s="184"/>
      <c r="D687" s="184"/>
      <c r="E687" s="184"/>
      <c r="F687" s="184"/>
      <c r="G687" s="184"/>
      <c r="H687" s="184"/>
      <c r="I687" s="184"/>
      <c r="J687" s="184"/>
      <c r="K687" s="184"/>
      <c r="L687" s="184"/>
      <c r="M687" s="184"/>
      <c r="N687" s="184"/>
      <c r="O687" s="184"/>
      <c r="P687" s="184"/>
      <c r="Q687" s="184"/>
      <c r="R687" s="184"/>
      <c r="S687" s="186"/>
      <c r="T687" s="184">
        <v>0.0</v>
      </c>
    </row>
    <row r="688">
      <c r="A688" s="184"/>
      <c r="B688" s="184"/>
      <c r="C688" s="184"/>
      <c r="D688" s="184"/>
      <c r="E688" s="184"/>
      <c r="F688" s="184"/>
      <c r="G688" s="184"/>
      <c r="H688" s="184"/>
      <c r="I688" s="184"/>
      <c r="J688" s="184"/>
      <c r="K688" s="184"/>
      <c r="L688" s="184"/>
      <c r="M688" s="184"/>
      <c r="N688" s="184"/>
      <c r="O688" s="184"/>
      <c r="P688" s="184"/>
      <c r="Q688" s="184"/>
      <c r="R688" s="184"/>
      <c r="S688" s="186"/>
      <c r="T688" s="184">
        <v>0.0</v>
      </c>
    </row>
    <row r="689">
      <c r="A689" s="184"/>
      <c r="B689" s="184"/>
      <c r="C689" s="184"/>
      <c r="D689" s="184"/>
      <c r="E689" s="184"/>
      <c r="F689" s="184"/>
      <c r="G689" s="184"/>
      <c r="H689" s="184"/>
      <c r="I689" s="184"/>
      <c r="J689" s="184"/>
      <c r="K689" s="184"/>
      <c r="L689" s="184"/>
      <c r="M689" s="184"/>
      <c r="N689" s="184"/>
      <c r="O689" s="184"/>
      <c r="P689" s="184"/>
      <c r="Q689" s="184"/>
      <c r="R689" s="184"/>
      <c r="S689" s="186"/>
      <c r="T689" s="184">
        <v>0.0</v>
      </c>
    </row>
    <row r="690">
      <c r="A690" s="184"/>
      <c r="B690" s="184"/>
      <c r="C690" s="184"/>
      <c r="D690" s="184"/>
      <c r="E690" s="184"/>
      <c r="F690" s="184"/>
      <c r="G690" s="184"/>
      <c r="H690" s="184"/>
      <c r="I690" s="184"/>
      <c r="J690" s="184"/>
      <c r="K690" s="184"/>
      <c r="L690" s="184"/>
      <c r="M690" s="184"/>
      <c r="N690" s="184"/>
      <c r="O690" s="184"/>
      <c r="P690" s="184"/>
      <c r="Q690" s="184"/>
      <c r="R690" s="184"/>
      <c r="S690" s="186"/>
      <c r="T690" s="184">
        <v>0.0</v>
      </c>
    </row>
    <row r="691">
      <c r="A691" s="184"/>
      <c r="B691" s="184"/>
      <c r="C691" s="184"/>
      <c r="D691" s="184"/>
      <c r="E691" s="184"/>
      <c r="F691" s="184"/>
      <c r="G691" s="184"/>
      <c r="H691" s="184"/>
      <c r="I691" s="184"/>
      <c r="J691" s="184"/>
      <c r="K691" s="184"/>
      <c r="L691" s="184"/>
      <c r="M691" s="184"/>
      <c r="N691" s="184"/>
      <c r="O691" s="184"/>
      <c r="P691" s="184"/>
      <c r="Q691" s="184"/>
      <c r="R691" s="184"/>
      <c r="S691" s="186"/>
      <c r="T691" s="184">
        <v>0.0</v>
      </c>
    </row>
    <row r="692">
      <c r="A692" s="184"/>
      <c r="B692" s="184"/>
      <c r="C692" s="184"/>
      <c r="D692" s="184"/>
      <c r="E692" s="184"/>
      <c r="F692" s="184"/>
      <c r="G692" s="184"/>
      <c r="H692" s="184"/>
      <c r="I692" s="184"/>
      <c r="J692" s="184"/>
      <c r="K692" s="184"/>
      <c r="L692" s="184"/>
      <c r="M692" s="184"/>
      <c r="N692" s="184"/>
      <c r="O692" s="184"/>
      <c r="P692" s="184"/>
      <c r="Q692" s="184"/>
      <c r="R692" s="184"/>
      <c r="S692" s="186"/>
      <c r="T692" s="184">
        <v>0.0</v>
      </c>
    </row>
    <row r="693">
      <c r="A693" s="184"/>
      <c r="B693" s="184"/>
      <c r="C693" s="184"/>
      <c r="D693" s="184"/>
      <c r="E693" s="184"/>
      <c r="F693" s="184"/>
      <c r="G693" s="184"/>
      <c r="H693" s="184"/>
      <c r="I693" s="184"/>
      <c r="J693" s="184"/>
      <c r="K693" s="184"/>
      <c r="L693" s="184"/>
      <c r="M693" s="184"/>
      <c r="N693" s="184"/>
      <c r="O693" s="184"/>
      <c r="P693" s="184"/>
      <c r="Q693" s="184"/>
      <c r="R693" s="184"/>
      <c r="S693" s="186"/>
      <c r="T693" s="184">
        <v>0.0</v>
      </c>
    </row>
    <row r="694">
      <c r="A694" s="184"/>
      <c r="B694" s="184"/>
      <c r="C694" s="184"/>
      <c r="D694" s="184"/>
      <c r="E694" s="184"/>
      <c r="F694" s="184"/>
      <c r="G694" s="184"/>
      <c r="H694" s="184"/>
      <c r="I694" s="184"/>
      <c r="J694" s="184"/>
      <c r="K694" s="184"/>
      <c r="L694" s="184"/>
      <c r="M694" s="184"/>
      <c r="N694" s="184"/>
      <c r="O694" s="184"/>
      <c r="P694" s="184"/>
      <c r="Q694" s="184"/>
      <c r="R694" s="184"/>
      <c r="S694" s="186"/>
      <c r="T694" s="184">
        <v>0.0</v>
      </c>
    </row>
    <row r="695">
      <c r="A695" s="184"/>
      <c r="B695" s="184"/>
      <c r="C695" s="184"/>
      <c r="D695" s="184"/>
      <c r="E695" s="184"/>
      <c r="F695" s="184"/>
      <c r="G695" s="184"/>
      <c r="H695" s="184"/>
      <c r="I695" s="184"/>
      <c r="J695" s="184"/>
      <c r="K695" s="184"/>
      <c r="L695" s="184"/>
      <c r="M695" s="184"/>
      <c r="N695" s="184"/>
      <c r="O695" s="184"/>
      <c r="P695" s="184"/>
      <c r="Q695" s="184"/>
      <c r="R695" s="184"/>
      <c r="S695" s="186"/>
      <c r="T695" s="184">
        <v>0.0</v>
      </c>
    </row>
    <row r="696">
      <c r="A696" s="184"/>
      <c r="B696" s="184"/>
      <c r="C696" s="184"/>
      <c r="D696" s="184"/>
      <c r="E696" s="184"/>
      <c r="F696" s="184"/>
      <c r="G696" s="184"/>
      <c r="H696" s="184"/>
      <c r="I696" s="184"/>
      <c r="J696" s="184"/>
      <c r="K696" s="184"/>
      <c r="L696" s="184"/>
      <c r="M696" s="184"/>
      <c r="N696" s="184"/>
      <c r="O696" s="184"/>
      <c r="P696" s="184"/>
      <c r="Q696" s="184"/>
      <c r="R696" s="184"/>
      <c r="S696" s="186"/>
      <c r="T696" s="184">
        <v>0.0</v>
      </c>
    </row>
    <row r="697">
      <c r="A697" s="184"/>
      <c r="B697" s="184"/>
      <c r="C697" s="184"/>
      <c r="D697" s="184"/>
      <c r="E697" s="184"/>
      <c r="F697" s="184"/>
      <c r="G697" s="184"/>
      <c r="H697" s="184"/>
      <c r="I697" s="184"/>
      <c r="J697" s="184"/>
      <c r="K697" s="184"/>
      <c r="L697" s="184"/>
      <c r="M697" s="184"/>
      <c r="N697" s="184"/>
      <c r="O697" s="184"/>
      <c r="P697" s="184"/>
      <c r="Q697" s="184"/>
      <c r="R697" s="184"/>
      <c r="S697" s="186"/>
      <c r="T697" s="184">
        <v>0.0</v>
      </c>
    </row>
    <row r="698">
      <c r="A698" s="184"/>
      <c r="B698" s="184"/>
      <c r="C698" s="184"/>
      <c r="D698" s="184"/>
      <c r="E698" s="184"/>
      <c r="F698" s="184"/>
      <c r="G698" s="184"/>
      <c r="H698" s="184"/>
      <c r="I698" s="184"/>
      <c r="J698" s="184"/>
      <c r="K698" s="184"/>
      <c r="L698" s="184"/>
      <c r="M698" s="184"/>
      <c r="N698" s="184"/>
      <c r="O698" s="184"/>
      <c r="P698" s="184"/>
      <c r="Q698" s="184"/>
      <c r="R698" s="184"/>
      <c r="S698" s="186"/>
      <c r="T698" s="184">
        <v>0.0</v>
      </c>
    </row>
    <row r="699">
      <c r="A699" s="184"/>
      <c r="B699" s="184"/>
      <c r="C699" s="184"/>
      <c r="D699" s="184"/>
      <c r="E699" s="184"/>
      <c r="F699" s="184"/>
      <c r="G699" s="184"/>
      <c r="H699" s="184"/>
      <c r="I699" s="184"/>
      <c r="J699" s="184"/>
      <c r="K699" s="184"/>
      <c r="L699" s="184"/>
      <c r="M699" s="184"/>
      <c r="N699" s="184"/>
      <c r="O699" s="184"/>
      <c r="P699" s="184"/>
      <c r="Q699" s="184"/>
      <c r="R699" s="184"/>
      <c r="S699" s="186"/>
      <c r="T699" s="184">
        <v>0.0</v>
      </c>
    </row>
    <row r="700">
      <c r="A700" s="184"/>
      <c r="B700" s="184"/>
      <c r="C700" s="184"/>
      <c r="D700" s="184"/>
      <c r="E700" s="184"/>
      <c r="F700" s="184"/>
      <c r="G700" s="184"/>
      <c r="H700" s="184"/>
      <c r="I700" s="184"/>
      <c r="J700" s="184"/>
      <c r="K700" s="184"/>
      <c r="L700" s="184"/>
      <c r="M700" s="184"/>
      <c r="N700" s="184"/>
      <c r="O700" s="184"/>
      <c r="P700" s="184"/>
      <c r="Q700" s="184"/>
      <c r="R700" s="184"/>
      <c r="S700" s="186"/>
      <c r="T700" s="184">
        <v>0.0</v>
      </c>
    </row>
    <row r="701">
      <c r="A701" s="184"/>
      <c r="B701" s="184"/>
      <c r="C701" s="184"/>
      <c r="D701" s="184"/>
      <c r="E701" s="184"/>
      <c r="F701" s="184"/>
      <c r="G701" s="184"/>
      <c r="H701" s="184"/>
      <c r="I701" s="184"/>
      <c r="J701" s="184"/>
      <c r="K701" s="184"/>
      <c r="L701" s="184"/>
      <c r="M701" s="184"/>
      <c r="N701" s="184"/>
      <c r="O701" s="184"/>
      <c r="P701" s="184"/>
      <c r="Q701" s="184"/>
      <c r="R701" s="184"/>
      <c r="S701" s="186"/>
      <c r="T701" s="184">
        <v>0.0</v>
      </c>
    </row>
    <row r="702">
      <c r="A702" s="184"/>
      <c r="B702" s="184"/>
      <c r="C702" s="184"/>
      <c r="D702" s="184"/>
      <c r="E702" s="184"/>
      <c r="F702" s="184"/>
      <c r="G702" s="184"/>
      <c r="H702" s="184"/>
      <c r="I702" s="184"/>
      <c r="J702" s="184"/>
      <c r="K702" s="184"/>
      <c r="L702" s="184"/>
      <c r="M702" s="184"/>
      <c r="N702" s="184"/>
      <c r="O702" s="184"/>
      <c r="P702" s="184"/>
      <c r="Q702" s="184"/>
      <c r="R702" s="184"/>
      <c r="S702" s="186"/>
      <c r="T702" s="184">
        <v>0.0</v>
      </c>
    </row>
    <row r="703">
      <c r="A703" s="184"/>
      <c r="B703" s="184"/>
      <c r="C703" s="184"/>
      <c r="D703" s="184"/>
      <c r="E703" s="184"/>
      <c r="F703" s="184"/>
      <c r="G703" s="184"/>
      <c r="H703" s="184"/>
      <c r="I703" s="184"/>
      <c r="J703" s="184"/>
      <c r="K703" s="184"/>
      <c r="L703" s="184"/>
      <c r="M703" s="184"/>
      <c r="N703" s="184"/>
      <c r="O703" s="184"/>
      <c r="P703" s="184"/>
      <c r="Q703" s="184"/>
      <c r="R703" s="184"/>
      <c r="S703" s="186"/>
      <c r="T703" s="184">
        <v>0.0</v>
      </c>
    </row>
    <row r="704">
      <c r="A704" s="184"/>
      <c r="B704" s="184"/>
      <c r="C704" s="184"/>
      <c r="D704" s="184"/>
      <c r="E704" s="184"/>
      <c r="F704" s="184"/>
      <c r="G704" s="184"/>
      <c r="H704" s="184"/>
      <c r="I704" s="184"/>
      <c r="J704" s="184"/>
      <c r="K704" s="184"/>
      <c r="L704" s="184"/>
      <c r="M704" s="184"/>
      <c r="N704" s="184"/>
      <c r="O704" s="184"/>
      <c r="P704" s="184"/>
      <c r="Q704" s="184"/>
      <c r="R704" s="184"/>
      <c r="S704" s="186"/>
      <c r="T704" s="184">
        <v>0.0</v>
      </c>
    </row>
    <row r="705">
      <c r="A705" s="184"/>
      <c r="B705" s="184"/>
      <c r="C705" s="184"/>
      <c r="D705" s="184"/>
      <c r="E705" s="184"/>
      <c r="F705" s="184"/>
      <c r="G705" s="184"/>
      <c r="H705" s="184"/>
      <c r="I705" s="184"/>
      <c r="J705" s="184"/>
      <c r="K705" s="184"/>
      <c r="L705" s="184"/>
      <c r="M705" s="184"/>
      <c r="N705" s="184"/>
      <c r="O705" s="184"/>
      <c r="P705" s="184"/>
      <c r="Q705" s="184"/>
      <c r="R705" s="184"/>
      <c r="S705" s="186"/>
      <c r="T705" s="184">
        <v>0.0</v>
      </c>
    </row>
    <row r="706">
      <c r="A706" s="184"/>
      <c r="B706" s="184"/>
      <c r="C706" s="184"/>
      <c r="D706" s="184"/>
      <c r="E706" s="184"/>
      <c r="F706" s="184"/>
      <c r="G706" s="184"/>
      <c r="H706" s="184"/>
      <c r="I706" s="184"/>
      <c r="J706" s="184"/>
      <c r="K706" s="184"/>
      <c r="L706" s="184"/>
      <c r="M706" s="184"/>
      <c r="N706" s="184"/>
      <c r="O706" s="184"/>
      <c r="P706" s="184"/>
      <c r="Q706" s="184"/>
      <c r="R706" s="184"/>
      <c r="S706" s="186"/>
      <c r="T706" s="184">
        <v>0.0</v>
      </c>
    </row>
    <row r="707">
      <c r="A707" s="184"/>
      <c r="B707" s="184"/>
      <c r="C707" s="184"/>
      <c r="D707" s="184"/>
      <c r="E707" s="184"/>
      <c r="F707" s="184"/>
      <c r="G707" s="184"/>
      <c r="H707" s="184"/>
      <c r="I707" s="184"/>
      <c r="J707" s="184"/>
      <c r="K707" s="184"/>
      <c r="L707" s="184"/>
      <c r="M707" s="184"/>
      <c r="N707" s="184"/>
      <c r="O707" s="184"/>
      <c r="P707" s="184"/>
      <c r="Q707" s="184"/>
      <c r="R707" s="184"/>
      <c r="S707" s="186"/>
      <c r="T707" s="184">
        <v>0.0</v>
      </c>
    </row>
    <row r="708">
      <c r="A708" s="184"/>
      <c r="B708" s="184"/>
      <c r="C708" s="184"/>
      <c r="D708" s="184"/>
      <c r="E708" s="184"/>
      <c r="F708" s="184"/>
      <c r="G708" s="184"/>
      <c r="H708" s="184"/>
      <c r="I708" s="184"/>
      <c r="J708" s="184"/>
      <c r="K708" s="184"/>
      <c r="L708" s="184"/>
      <c r="M708" s="184"/>
      <c r="N708" s="184"/>
      <c r="O708" s="184"/>
      <c r="P708" s="184"/>
      <c r="Q708" s="184"/>
      <c r="R708" s="184"/>
      <c r="S708" s="186"/>
      <c r="T708" s="184">
        <v>0.0</v>
      </c>
    </row>
    <row r="709">
      <c r="A709" s="184"/>
      <c r="B709" s="184"/>
      <c r="C709" s="184"/>
      <c r="D709" s="184"/>
      <c r="E709" s="184"/>
      <c r="F709" s="184"/>
      <c r="G709" s="184"/>
      <c r="H709" s="184"/>
      <c r="I709" s="184"/>
      <c r="J709" s="184"/>
      <c r="K709" s="184"/>
      <c r="L709" s="184"/>
      <c r="M709" s="184"/>
      <c r="N709" s="184"/>
      <c r="O709" s="184"/>
      <c r="P709" s="184"/>
      <c r="Q709" s="184"/>
      <c r="R709" s="184"/>
      <c r="S709" s="186"/>
      <c r="T709" s="184">
        <v>0.0</v>
      </c>
    </row>
    <row r="710">
      <c r="A710" s="184"/>
      <c r="B710" s="184"/>
      <c r="C710" s="184"/>
      <c r="D710" s="184"/>
      <c r="E710" s="184"/>
      <c r="F710" s="184"/>
      <c r="G710" s="184"/>
      <c r="H710" s="184"/>
      <c r="I710" s="184"/>
      <c r="J710" s="184"/>
      <c r="K710" s="184"/>
      <c r="L710" s="184"/>
      <c r="M710" s="184"/>
      <c r="N710" s="184"/>
      <c r="O710" s="184"/>
      <c r="P710" s="184"/>
      <c r="Q710" s="184"/>
      <c r="R710" s="184"/>
      <c r="S710" s="186"/>
      <c r="T710" s="184">
        <v>0.0</v>
      </c>
    </row>
    <row r="711">
      <c r="A711" s="184"/>
      <c r="B711" s="184"/>
      <c r="C711" s="184"/>
      <c r="D711" s="184"/>
      <c r="E711" s="184"/>
      <c r="F711" s="184"/>
      <c r="G711" s="184"/>
      <c r="H711" s="184"/>
      <c r="I711" s="184"/>
      <c r="J711" s="184"/>
      <c r="K711" s="184"/>
      <c r="L711" s="184"/>
      <c r="M711" s="184"/>
      <c r="N711" s="184"/>
      <c r="O711" s="184"/>
      <c r="P711" s="184"/>
      <c r="Q711" s="184"/>
      <c r="R711" s="184"/>
      <c r="S711" s="186"/>
      <c r="T711" s="184">
        <v>0.0</v>
      </c>
    </row>
    <row r="712">
      <c r="A712" s="184"/>
      <c r="B712" s="184"/>
      <c r="C712" s="184"/>
      <c r="D712" s="184"/>
      <c r="E712" s="184"/>
      <c r="F712" s="184"/>
      <c r="G712" s="184"/>
      <c r="H712" s="184"/>
      <c r="I712" s="184"/>
      <c r="J712" s="184"/>
      <c r="K712" s="184"/>
      <c r="L712" s="184"/>
      <c r="M712" s="184"/>
      <c r="N712" s="184"/>
      <c r="O712" s="184"/>
      <c r="P712" s="184"/>
      <c r="Q712" s="184"/>
      <c r="R712" s="184"/>
      <c r="S712" s="186"/>
      <c r="T712" s="184">
        <v>0.0</v>
      </c>
    </row>
    <row r="713">
      <c r="A713" s="184"/>
      <c r="B713" s="184"/>
      <c r="C713" s="184"/>
      <c r="D713" s="184"/>
      <c r="E713" s="184"/>
      <c r="F713" s="184"/>
      <c r="G713" s="184"/>
      <c r="H713" s="184"/>
      <c r="I713" s="184"/>
      <c r="J713" s="184"/>
      <c r="K713" s="184"/>
      <c r="L713" s="184"/>
      <c r="M713" s="184"/>
      <c r="N713" s="184"/>
      <c r="O713" s="184"/>
      <c r="P713" s="184"/>
      <c r="Q713" s="184"/>
      <c r="R713" s="184"/>
      <c r="S713" s="186"/>
      <c r="T713" s="184">
        <v>0.0</v>
      </c>
    </row>
    <row r="714">
      <c r="A714" s="184"/>
      <c r="B714" s="184"/>
      <c r="C714" s="184"/>
      <c r="D714" s="184"/>
      <c r="E714" s="184"/>
      <c r="F714" s="184"/>
      <c r="G714" s="184"/>
      <c r="H714" s="184"/>
      <c r="I714" s="184"/>
      <c r="J714" s="184"/>
      <c r="K714" s="184"/>
      <c r="L714" s="184"/>
      <c r="M714" s="184"/>
      <c r="N714" s="184"/>
      <c r="O714" s="184"/>
      <c r="P714" s="184"/>
      <c r="Q714" s="184"/>
      <c r="R714" s="184"/>
      <c r="S714" s="186"/>
      <c r="T714" s="184">
        <v>0.0</v>
      </c>
    </row>
    <row r="715">
      <c r="A715" s="184"/>
      <c r="B715" s="184"/>
      <c r="C715" s="184"/>
      <c r="D715" s="184"/>
      <c r="E715" s="184"/>
      <c r="F715" s="184"/>
      <c r="G715" s="184"/>
      <c r="H715" s="184"/>
      <c r="I715" s="184"/>
      <c r="J715" s="184"/>
      <c r="K715" s="184"/>
      <c r="L715" s="184"/>
      <c r="M715" s="184"/>
      <c r="N715" s="184"/>
      <c r="O715" s="184"/>
      <c r="P715" s="184"/>
      <c r="Q715" s="184"/>
      <c r="R715" s="184"/>
      <c r="S715" s="186"/>
      <c r="T715" s="184">
        <v>0.0</v>
      </c>
    </row>
    <row r="716">
      <c r="A716" s="184"/>
      <c r="B716" s="184"/>
      <c r="C716" s="184"/>
      <c r="D716" s="184"/>
      <c r="E716" s="184"/>
      <c r="F716" s="184"/>
      <c r="G716" s="184"/>
      <c r="H716" s="184"/>
      <c r="I716" s="184"/>
      <c r="J716" s="184"/>
      <c r="K716" s="184"/>
      <c r="L716" s="184"/>
      <c r="M716" s="184"/>
      <c r="N716" s="184"/>
      <c r="O716" s="184"/>
      <c r="P716" s="184"/>
      <c r="Q716" s="184"/>
      <c r="R716" s="184"/>
      <c r="S716" s="186"/>
      <c r="T716" s="184">
        <v>0.0</v>
      </c>
    </row>
    <row r="717">
      <c r="A717" s="184"/>
      <c r="B717" s="184"/>
      <c r="C717" s="184"/>
      <c r="D717" s="184"/>
      <c r="E717" s="184"/>
      <c r="F717" s="184"/>
      <c r="G717" s="184"/>
      <c r="H717" s="184"/>
      <c r="I717" s="184"/>
      <c r="J717" s="184"/>
      <c r="K717" s="184"/>
      <c r="L717" s="184"/>
      <c r="M717" s="184"/>
      <c r="N717" s="184"/>
      <c r="O717" s="184"/>
      <c r="P717" s="184"/>
      <c r="Q717" s="184"/>
      <c r="R717" s="184"/>
      <c r="S717" s="186"/>
      <c r="T717" s="184">
        <v>0.0</v>
      </c>
    </row>
    <row r="718">
      <c r="A718" s="184"/>
      <c r="B718" s="184"/>
      <c r="C718" s="184"/>
      <c r="D718" s="184"/>
      <c r="E718" s="184"/>
      <c r="F718" s="184"/>
      <c r="G718" s="184"/>
      <c r="H718" s="184"/>
      <c r="I718" s="184"/>
      <c r="J718" s="184"/>
      <c r="K718" s="184"/>
      <c r="L718" s="184"/>
      <c r="M718" s="184"/>
      <c r="N718" s="184"/>
      <c r="O718" s="184"/>
      <c r="P718" s="184"/>
      <c r="Q718" s="184"/>
      <c r="R718" s="184"/>
      <c r="S718" s="186"/>
      <c r="T718" s="184">
        <v>0.0</v>
      </c>
    </row>
    <row r="719">
      <c r="A719" s="184"/>
      <c r="B719" s="184"/>
      <c r="C719" s="184"/>
      <c r="D719" s="184"/>
      <c r="E719" s="184"/>
      <c r="F719" s="184"/>
      <c r="G719" s="184"/>
      <c r="H719" s="184"/>
      <c r="I719" s="184"/>
      <c r="J719" s="184"/>
      <c r="K719" s="184"/>
      <c r="L719" s="184"/>
      <c r="M719" s="184"/>
      <c r="N719" s="184"/>
      <c r="O719" s="184"/>
      <c r="P719" s="184"/>
      <c r="Q719" s="184"/>
      <c r="R719" s="184"/>
      <c r="S719" s="186"/>
      <c r="T719" s="184">
        <v>0.0</v>
      </c>
    </row>
    <row r="720">
      <c r="A720" s="184"/>
      <c r="B720" s="184"/>
      <c r="C720" s="184"/>
      <c r="D720" s="184"/>
      <c r="E720" s="184"/>
      <c r="F720" s="184"/>
      <c r="G720" s="184"/>
      <c r="H720" s="184"/>
      <c r="I720" s="184"/>
      <c r="J720" s="184"/>
      <c r="K720" s="184"/>
      <c r="L720" s="184"/>
      <c r="M720" s="184"/>
      <c r="N720" s="184"/>
      <c r="O720" s="184"/>
      <c r="P720" s="184"/>
      <c r="Q720" s="184"/>
      <c r="R720" s="184"/>
      <c r="S720" s="186"/>
      <c r="T720" s="184">
        <v>0.0</v>
      </c>
    </row>
    <row r="721">
      <c r="A721" s="184"/>
      <c r="B721" s="184"/>
      <c r="C721" s="184"/>
      <c r="D721" s="184"/>
      <c r="E721" s="184"/>
      <c r="F721" s="184"/>
      <c r="G721" s="184"/>
      <c r="H721" s="184"/>
      <c r="I721" s="184"/>
      <c r="J721" s="184"/>
      <c r="K721" s="184"/>
      <c r="L721" s="184"/>
      <c r="M721" s="184"/>
      <c r="N721" s="184"/>
      <c r="O721" s="184"/>
      <c r="P721" s="184"/>
      <c r="Q721" s="184"/>
      <c r="R721" s="184"/>
      <c r="S721" s="186"/>
      <c r="T721" s="184">
        <v>0.0</v>
      </c>
    </row>
    <row r="722">
      <c r="A722" s="184"/>
      <c r="B722" s="184"/>
      <c r="C722" s="184"/>
      <c r="D722" s="184"/>
      <c r="E722" s="184"/>
      <c r="F722" s="184"/>
      <c r="G722" s="184"/>
      <c r="H722" s="184"/>
      <c r="I722" s="184"/>
      <c r="J722" s="184"/>
      <c r="K722" s="184"/>
      <c r="L722" s="184"/>
      <c r="M722" s="184"/>
      <c r="N722" s="184"/>
      <c r="O722" s="184"/>
      <c r="P722" s="184"/>
      <c r="Q722" s="184"/>
      <c r="R722" s="184"/>
      <c r="S722" s="186"/>
      <c r="T722" s="184">
        <v>0.0</v>
      </c>
    </row>
    <row r="723">
      <c r="A723" s="184"/>
      <c r="B723" s="184"/>
      <c r="C723" s="184"/>
      <c r="D723" s="184"/>
      <c r="E723" s="184"/>
      <c r="F723" s="184"/>
      <c r="G723" s="184"/>
      <c r="H723" s="184"/>
      <c r="I723" s="184"/>
      <c r="J723" s="184"/>
      <c r="K723" s="184"/>
      <c r="L723" s="184"/>
      <c r="M723" s="184"/>
      <c r="N723" s="184"/>
      <c r="O723" s="184"/>
      <c r="P723" s="184"/>
      <c r="Q723" s="184"/>
      <c r="R723" s="184"/>
      <c r="S723" s="186"/>
      <c r="T723" s="184">
        <v>0.0</v>
      </c>
    </row>
    <row r="724">
      <c r="A724" s="184"/>
      <c r="B724" s="184"/>
      <c r="C724" s="184"/>
      <c r="D724" s="184"/>
      <c r="E724" s="184"/>
      <c r="F724" s="184"/>
      <c r="G724" s="184"/>
      <c r="H724" s="184"/>
      <c r="I724" s="184"/>
      <c r="J724" s="184"/>
      <c r="K724" s="184"/>
      <c r="L724" s="184"/>
      <c r="M724" s="184"/>
      <c r="N724" s="184"/>
      <c r="O724" s="184"/>
      <c r="P724" s="184"/>
      <c r="Q724" s="184"/>
      <c r="R724" s="184"/>
      <c r="S724" s="186"/>
      <c r="T724" s="184">
        <v>0.0</v>
      </c>
    </row>
    <row r="725">
      <c r="A725" s="184"/>
      <c r="B725" s="184"/>
      <c r="C725" s="184"/>
      <c r="D725" s="184"/>
      <c r="E725" s="184"/>
      <c r="F725" s="184"/>
      <c r="G725" s="184"/>
      <c r="H725" s="184"/>
      <c r="I725" s="184"/>
      <c r="J725" s="184"/>
      <c r="K725" s="184"/>
      <c r="L725" s="184"/>
      <c r="M725" s="184"/>
      <c r="N725" s="184"/>
      <c r="O725" s="184"/>
      <c r="P725" s="184"/>
      <c r="Q725" s="184"/>
      <c r="R725" s="184"/>
      <c r="S725" s="186"/>
      <c r="T725" s="184">
        <v>0.0</v>
      </c>
    </row>
    <row r="726">
      <c r="A726" s="184"/>
      <c r="B726" s="184"/>
      <c r="C726" s="184"/>
      <c r="D726" s="184"/>
      <c r="E726" s="184"/>
      <c r="F726" s="184"/>
      <c r="G726" s="184"/>
      <c r="H726" s="184"/>
      <c r="I726" s="184"/>
      <c r="J726" s="184"/>
      <c r="K726" s="184"/>
      <c r="L726" s="184"/>
      <c r="M726" s="184"/>
      <c r="N726" s="184"/>
      <c r="O726" s="184"/>
      <c r="P726" s="184"/>
      <c r="Q726" s="184"/>
      <c r="R726" s="184"/>
      <c r="S726" s="186"/>
      <c r="T726" s="184">
        <v>0.0</v>
      </c>
    </row>
    <row r="727">
      <c r="A727" s="184"/>
      <c r="B727" s="184"/>
      <c r="C727" s="184"/>
      <c r="D727" s="184"/>
      <c r="E727" s="184"/>
      <c r="F727" s="184"/>
      <c r="G727" s="184"/>
      <c r="H727" s="184"/>
      <c r="I727" s="184"/>
      <c r="J727" s="184"/>
      <c r="K727" s="184"/>
      <c r="L727" s="184"/>
      <c r="M727" s="184"/>
      <c r="N727" s="184"/>
      <c r="O727" s="184"/>
      <c r="P727" s="184"/>
      <c r="Q727" s="184"/>
      <c r="R727" s="184"/>
      <c r="S727" s="186"/>
      <c r="T727" s="184">
        <v>0.0</v>
      </c>
    </row>
    <row r="728">
      <c r="A728" s="184"/>
      <c r="B728" s="184"/>
      <c r="C728" s="184"/>
      <c r="D728" s="184"/>
      <c r="E728" s="184"/>
      <c r="F728" s="184"/>
      <c r="G728" s="184"/>
      <c r="H728" s="184"/>
      <c r="I728" s="184"/>
      <c r="J728" s="184"/>
      <c r="K728" s="184"/>
      <c r="L728" s="184"/>
      <c r="M728" s="184"/>
      <c r="N728" s="184"/>
      <c r="O728" s="184"/>
      <c r="P728" s="184"/>
      <c r="Q728" s="184"/>
      <c r="R728" s="184"/>
      <c r="S728" s="186"/>
      <c r="T728" s="184">
        <v>0.0</v>
      </c>
    </row>
    <row r="729">
      <c r="A729" s="184"/>
      <c r="B729" s="184"/>
      <c r="C729" s="184"/>
      <c r="D729" s="184"/>
      <c r="E729" s="184"/>
      <c r="F729" s="184"/>
      <c r="G729" s="184"/>
      <c r="H729" s="184"/>
      <c r="I729" s="184"/>
      <c r="J729" s="184"/>
      <c r="K729" s="184"/>
      <c r="L729" s="184"/>
      <c r="M729" s="184"/>
      <c r="N729" s="184"/>
      <c r="O729" s="184"/>
      <c r="P729" s="184"/>
      <c r="Q729" s="184"/>
      <c r="R729" s="184"/>
      <c r="S729" s="186"/>
      <c r="T729" s="184">
        <v>0.0</v>
      </c>
    </row>
    <row r="730">
      <c r="A730" s="184"/>
      <c r="B730" s="184"/>
      <c r="C730" s="184"/>
      <c r="D730" s="184"/>
      <c r="E730" s="184"/>
      <c r="F730" s="184"/>
      <c r="G730" s="184"/>
      <c r="H730" s="184"/>
      <c r="I730" s="184"/>
      <c r="J730" s="184"/>
      <c r="K730" s="184"/>
      <c r="L730" s="184"/>
      <c r="M730" s="184"/>
      <c r="N730" s="184"/>
      <c r="O730" s="184"/>
      <c r="P730" s="184"/>
      <c r="Q730" s="184"/>
      <c r="R730" s="184"/>
      <c r="S730" s="186"/>
      <c r="T730" s="184">
        <v>0.0</v>
      </c>
    </row>
    <row r="731">
      <c r="A731" s="184"/>
      <c r="B731" s="184"/>
      <c r="C731" s="184"/>
      <c r="D731" s="184"/>
      <c r="E731" s="184"/>
      <c r="F731" s="184"/>
      <c r="G731" s="184"/>
      <c r="H731" s="184"/>
      <c r="I731" s="184"/>
      <c r="J731" s="184"/>
      <c r="K731" s="184"/>
      <c r="L731" s="184"/>
      <c r="M731" s="184"/>
      <c r="N731" s="184"/>
      <c r="O731" s="184"/>
      <c r="P731" s="184"/>
      <c r="Q731" s="184"/>
      <c r="R731" s="184"/>
      <c r="S731" s="186"/>
      <c r="T731" s="184">
        <v>0.0</v>
      </c>
    </row>
    <row r="732">
      <c r="A732" s="184"/>
      <c r="B732" s="184"/>
      <c r="C732" s="184"/>
      <c r="D732" s="184"/>
      <c r="E732" s="184"/>
      <c r="F732" s="184"/>
      <c r="G732" s="184"/>
      <c r="H732" s="184"/>
      <c r="I732" s="184"/>
      <c r="J732" s="184"/>
      <c r="K732" s="184"/>
      <c r="L732" s="184"/>
      <c r="M732" s="184"/>
      <c r="N732" s="184"/>
      <c r="O732" s="184"/>
      <c r="P732" s="184"/>
      <c r="Q732" s="184"/>
      <c r="R732" s="184"/>
      <c r="S732" s="186"/>
      <c r="T732" s="184">
        <v>0.0</v>
      </c>
    </row>
    <row r="733">
      <c r="A733" s="184"/>
      <c r="B733" s="184"/>
      <c r="C733" s="184"/>
      <c r="D733" s="184"/>
      <c r="E733" s="184"/>
      <c r="F733" s="184"/>
      <c r="G733" s="184"/>
      <c r="H733" s="184"/>
      <c r="I733" s="184"/>
      <c r="J733" s="184"/>
      <c r="K733" s="184"/>
      <c r="L733" s="184"/>
      <c r="M733" s="184"/>
      <c r="N733" s="184"/>
      <c r="O733" s="184"/>
      <c r="P733" s="184"/>
      <c r="Q733" s="184"/>
      <c r="R733" s="184"/>
      <c r="S733" s="186"/>
      <c r="T733" s="184">
        <v>0.0</v>
      </c>
    </row>
    <row r="734">
      <c r="A734" s="184"/>
      <c r="B734" s="184"/>
      <c r="C734" s="184"/>
      <c r="D734" s="184"/>
      <c r="E734" s="184"/>
      <c r="F734" s="184"/>
      <c r="G734" s="184"/>
      <c r="H734" s="184"/>
      <c r="I734" s="184"/>
      <c r="J734" s="184"/>
      <c r="K734" s="184"/>
      <c r="L734" s="184"/>
      <c r="M734" s="184"/>
      <c r="N734" s="184"/>
      <c r="O734" s="184"/>
      <c r="P734" s="184"/>
      <c r="Q734" s="184"/>
      <c r="R734" s="184"/>
      <c r="S734" s="186"/>
      <c r="T734" s="184">
        <v>0.0</v>
      </c>
    </row>
    <row r="735">
      <c r="A735" s="184"/>
      <c r="B735" s="184"/>
      <c r="C735" s="184"/>
      <c r="D735" s="184"/>
      <c r="E735" s="184"/>
      <c r="F735" s="184"/>
      <c r="G735" s="184"/>
      <c r="H735" s="184"/>
      <c r="I735" s="184"/>
      <c r="J735" s="184"/>
      <c r="K735" s="184"/>
      <c r="L735" s="184"/>
      <c r="M735" s="184"/>
      <c r="N735" s="184"/>
      <c r="O735" s="184"/>
      <c r="P735" s="184"/>
      <c r="Q735" s="184"/>
      <c r="R735" s="184"/>
      <c r="S735" s="186"/>
      <c r="T735" s="184">
        <v>0.0</v>
      </c>
    </row>
    <row r="736">
      <c r="A736" s="184"/>
      <c r="B736" s="184"/>
      <c r="C736" s="184"/>
      <c r="D736" s="184"/>
      <c r="E736" s="184"/>
      <c r="F736" s="184"/>
      <c r="G736" s="184"/>
      <c r="H736" s="184"/>
      <c r="I736" s="184"/>
      <c r="J736" s="184"/>
      <c r="K736" s="184"/>
      <c r="L736" s="184"/>
      <c r="M736" s="184"/>
      <c r="N736" s="184"/>
      <c r="O736" s="184"/>
      <c r="P736" s="184"/>
      <c r="Q736" s="184"/>
      <c r="R736" s="184"/>
      <c r="S736" s="186"/>
      <c r="T736" s="184">
        <v>0.0</v>
      </c>
    </row>
    <row r="737">
      <c r="A737" s="184"/>
      <c r="B737" s="184"/>
      <c r="C737" s="184"/>
      <c r="D737" s="184"/>
      <c r="E737" s="184"/>
      <c r="F737" s="184"/>
      <c r="G737" s="184"/>
      <c r="H737" s="184"/>
      <c r="I737" s="184"/>
      <c r="J737" s="184"/>
      <c r="K737" s="184"/>
      <c r="L737" s="184"/>
      <c r="M737" s="184"/>
      <c r="N737" s="184"/>
      <c r="O737" s="184"/>
      <c r="P737" s="184"/>
      <c r="Q737" s="184"/>
      <c r="R737" s="184"/>
      <c r="S737" s="186"/>
      <c r="T737" s="184">
        <v>0.0</v>
      </c>
    </row>
    <row r="738">
      <c r="A738" s="184"/>
      <c r="B738" s="184"/>
      <c r="C738" s="184"/>
      <c r="D738" s="184"/>
      <c r="E738" s="184"/>
      <c r="F738" s="184"/>
      <c r="G738" s="184"/>
      <c r="H738" s="184"/>
      <c r="I738" s="184"/>
      <c r="J738" s="184"/>
      <c r="K738" s="184"/>
      <c r="L738" s="184"/>
      <c r="M738" s="184"/>
      <c r="N738" s="184"/>
      <c r="O738" s="184"/>
      <c r="P738" s="184"/>
      <c r="Q738" s="184"/>
      <c r="R738" s="184"/>
      <c r="S738" s="186"/>
      <c r="T738" s="184">
        <v>0.0</v>
      </c>
    </row>
    <row r="739">
      <c r="A739" s="184"/>
      <c r="B739" s="184"/>
      <c r="C739" s="184"/>
      <c r="D739" s="184"/>
      <c r="E739" s="184"/>
      <c r="F739" s="184"/>
      <c r="G739" s="184"/>
      <c r="H739" s="184"/>
      <c r="I739" s="184"/>
      <c r="J739" s="184"/>
      <c r="K739" s="184"/>
      <c r="L739" s="184"/>
      <c r="M739" s="184"/>
      <c r="N739" s="184"/>
      <c r="O739" s="184"/>
      <c r="P739" s="184"/>
      <c r="Q739" s="184"/>
      <c r="R739" s="184"/>
      <c r="S739" s="186"/>
      <c r="T739" s="184">
        <v>0.0</v>
      </c>
    </row>
    <row r="740">
      <c r="A740" s="184"/>
      <c r="B740" s="184"/>
      <c r="C740" s="184"/>
      <c r="D740" s="184"/>
      <c r="E740" s="184"/>
      <c r="F740" s="184"/>
      <c r="G740" s="184"/>
      <c r="H740" s="184"/>
      <c r="I740" s="184"/>
      <c r="J740" s="184"/>
      <c r="K740" s="184"/>
      <c r="L740" s="184"/>
      <c r="M740" s="184"/>
      <c r="N740" s="184"/>
      <c r="O740" s="184"/>
      <c r="P740" s="184"/>
      <c r="Q740" s="184"/>
      <c r="R740" s="184"/>
      <c r="S740" s="186"/>
      <c r="T740" s="184">
        <v>0.0</v>
      </c>
    </row>
    <row r="741">
      <c r="A741" s="184"/>
      <c r="B741" s="184"/>
      <c r="C741" s="184"/>
      <c r="D741" s="184"/>
      <c r="E741" s="184"/>
      <c r="F741" s="184"/>
      <c r="G741" s="184"/>
      <c r="H741" s="184"/>
      <c r="I741" s="184"/>
      <c r="J741" s="184"/>
      <c r="K741" s="184"/>
      <c r="L741" s="184"/>
      <c r="M741" s="184"/>
      <c r="N741" s="184"/>
      <c r="O741" s="184"/>
      <c r="P741" s="184"/>
      <c r="Q741" s="184"/>
      <c r="R741" s="184"/>
      <c r="S741" s="186"/>
      <c r="T741" s="184">
        <v>0.0</v>
      </c>
    </row>
    <row r="742">
      <c r="A742" s="184"/>
      <c r="B742" s="184"/>
      <c r="C742" s="184"/>
      <c r="D742" s="184"/>
      <c r="E742" s="184"/>
      <c r="F742" s="184"/>
      <c r="G742" s="184"/>
      <c r="H742" s="184"/>
      <c r="I742" s="184"/>
      <c r="J742" s="184"/>
      <c r="K742" s="184"/>
      <c r="L742" s="184"/>
      <c r="M742" s="184"/>
      <c r="N742" s="184"/>
      <c r="O742" s="184"/>
      <c r="P742" s="184"/>
      <c r="Q742" s="184"/>
      <c r="R742" s="184"/>
      <c r="S742" s="186"/>
      <c r="T742" s="184">
        <v>0.0</v>
      </c>
    </row>
    <row r="743">
      <c r="A743" s="184"/>
      <c r="B743" s="184"/>
      <c r="C743" s="184"/>
      <c r="D743" s="184"/>
      <c r="E743" s="184"/>
      <c r="F743" s="184"/>
      <c r="G743" s="184"/>
      <c r="H743" s="184"/>
      <c r="I743" s="184"/>
      <c r="J743" s="184"/>
      <c r="K743" s="184"/>
      <c r="L743" s="184"/>
      <c r="M743" s="184"/>
      <c r="N743" s="184"/>
      <c r="O743" s="184"/>
      <c r="P743" s="184"/>
      <c r="Q743" s="184"/>
      <c r="R743" s="184"/>
      <c r="S743" s="186"/>
      <c r="T743" s="184">
        <v>0.0</v>
      </c>
    </row>
    <row r="744">
      <c r="A744" s="184"/>
      <c r="B744" s="184"/>
      <c r="C744" s="184"/>
      <c r="D744" s="184"/>
      <c r="E744" s="184"/>
      <c r="F744" s="184"/>
      <c r="G744" s="184"/>
      <c r="H744" s="184"/>
      <c r="I744" s="184"/>
      <c r="J744" s="184"/>
      <c r="K744" s="184"/>
      <c r="L744" s="184"/>
      <c r="M744" s="184"/>
      <c r="N744" s="184"/>
      <c r="O744" s="184"/>
      <c r="P744" s="184"/>
      <c r="Q744" s="184"/>
      <c r="R744" s="184"/>
      <c r="S744" s="186"/>
      <c r="T744" s="184">
        <v>0.0</v>
      </c>
    </row>
    <row r="745">
      <c r="A745" s="184"/>
      <c r="B745" s="184"/>
      <c r="C745" s="184"/>
      <c r="D745" s="184"/>
      <c r="E745" s="184"/>
      <c r="F745" s="184"/>
      <c r="G745" s="184"/>
      <c r="H745" s="184"/>
      <c r="I745" s="184"/>
      <c r="J745" s="184"/>
      <c r="K745" s="184"/>
      <c r="L745" s="184"/>
      <c r="M745" s="184"/>
      <c r="N745" s="184"/>
      <c r="O745" s="184"/>
      <c r="P745" s="184"/>
      <c r="Q745" s="184"/>
      <c r="R745" s="184"/>
      <c r="S745" s="186"/>
      <c r="T745" s="184">
        <v>0.0</v>
      </c>
    </row>
    <row r="746">
      <c r="A746" s="184"/>
      <c r="B746" s="184"/>
      <c r="C746" s="184"/>
      <c r="D746" s="184"/>
      <c r="E746" s="184"/>
      <c r="F746" s="184"/>
      <c r="G746" s="184"/>
      <c r="H746" s="184"/>
      <c r="I746" s="184"/>
      <c r="J746" s="184"/>
      <c r="K746" s="184"/>
      <c r="L746" s="184"/>
      <c r="M746" s="184"/>
      <c r="N746" s="184"/>
      <c r="O746" s="184"/>
      <c r="P746" s="184"/>
      <c r="Q746" s="184"/>
      <c r="R746" s="184"/>
      <c r="S746" s="186"/>
      <c r="T746" s="184">
        <v>0.0</v>
      </c>
    </row>
    <row r="747">
      <c r="A747" s="184"/>
      <c r="B747" s="184"/>
      <c r="C747" s="184"/>
      <c r="D747" s="184"/>
      <c r="E747" s="184"/>
      <c r="F747" s="184"/>
      <c r="G747" s="184"/>
      <c r="H747" s="184"/>
      <c r="I747" s="184"/>
      <c r="J747" s="184"/>
      <c r="K747" s="184"/>
      <c r="L747" s="184"/>
      <c r="M747" s="184"/>
      <c r="N747" s="184"/>
      <c r="O747" s="184"/>
      <c r="P747" s="184"/>
      <c r="Q747" s="184"/>
      <c r="R747" s="184"/>
      <c r="S747" s="186"/>
      <c r="T747" s="184">
        <v>0.0</v>
      </c>
    </row>
    <row r="748">
      <c r="A748" s="184"/>
      <c r="B748" s="184"/>
      <c r="C748" s="184"/>
      <c r="D748" s="184"/>
      <c r="E748" s="184"/>
      <c r="F748" s="184"/>
      <c r="G748" s="184"/>
      <c r="H748" s="184"/>
      <c r="I748" s="184"/>
      <c r="J748" s="184"/>
      <c r="K748" s="184"/>
      <c r="L748" s="184"/>
      <c r="M748" s="184"/>
      <c r="N748" s="184"/>
      <c r="O748" s="184"/>
      <c r="P748" s="184"/>
      <c r="Q748" s="184"/>
      <c r="R748" s="184"/>
      <c r="S748" s="186"/>
      <c r="T748" s="184">
        <v>0.0</v>
      </c>
    </row>
    <row r="749">
      <c r="A749" s="184"/>
      <c r="B749" s="184"/>
      <c r="C749" s="184"/>
      <c r="D749" s="184"/>
      <c r="E749" s="184"/>
      <c r="F749" s="184"/>
      <c r="G749" s="184"/>
      <c r="H749" s="184"/>
      <c r="I749" s="184"/>
      <c r="J749" s="184"/>
      <c r="K749" s="184"/>
      <c r="L749" s="184"/>
      <c r="M749" s="184"/>
      <c r="N749" s="184"/>
      <c r="O749" s="184"/>
      <c r="P749" s="184"/>
      <c r="Q749" s="184"/>
      <c r="R749" s="184"/>
      <c r="S749" s="186"/>
      <c r="T749" s="184">
        <v>0.0</v>
      </c>
    </row>
    <row r="750">
      <c r="A750" s="184"/>
      <c r="B750" s="184"/>
      <c r="C750" s="184"/>
      <c r="D750" s="184"/>
      <c r="E750" s="184"/>
      <c r="F750" s="184"/>
      <c r="G750" s="184"/>
      <c r="H750" s="184"/>
      <c r="I750" s="184"/>
      <c r="J750" s="184"/>
      <c r="K750" s="184"/>
      <c r="L750" s="184"/>
      <c r="M750" s="184"/>
      <c r="N750" s="184"/>
      <c r="O750" s="184"/>
      <c r="P750" s="184"/>
      <c r="Q750" s="184"/>
      <c r="R750" s="184"/>
      <c r="S750" s="186"/>
      <c r="T750" s="184">
        <v>0.0</v>
      </c>
    </row>
    <row r="751">
      <c r="A751" s="184"/>
      <c r="B751" s="184"/>
      <c r="C751" s="184"/>
      <c r="D751" s="184"/>
      <c r="E751" s="184"/>
      <c r="F751" s="184"/>
      <c r="G751" s="184"/>
      <c r="H751" s="184"/>
      <c r="I751" s="184"/>
      <c r="J751" s="184"/>
      <c r="K751" s="184"/>
      <c r="L751" s="184"/>
      <c r="M751" s="184"/>
      <c r="N751" s="184"/>
      <c r="O751" s="184"/>
      <c r="P751" s="184"/>
      <c r="Q751" s="184"/>
      <c r="R751" s="184"/>
      <c r="S751" s="186"/>
      <c r="T751" s="184">
        <v>0.0</v>
      </c>
    </row>
    <row r="752">
      <c r="A752" s="184"/>
      <c r="B752" s="184"/>
      <c r="C752" s="184"/>
      <c r="D752" s="184"/>
      <c r="E752" s="184"/>
      <c r="F752" s="184"/>
      <c r="G752" s="184"/>
      <c r="H752" s="184"/>
      <c r="I752" s="184"/>
      <c r="J752" s="184"/>
      <c r="K752" s="184"/>
      <c r="L752" s="184"/>
      <c r="M752" s="184"/>
      <c r="N752" s="184"/>
      <c r="O752" s="184"/>
      <c r="P752" s="184"/>
      <c r="Q752" s="184"/>
      <c r="R752" s="184"/>
      <c r="S752" s="186"/>
      <c r="T752" s="184">
        <v>0.0</v>
      </c>
    </row>
    <row r="753">
      <c r="A753" s="184"/>
      <c r="B753" s="184"/>
      <c r="C753" s="184"/>
      <c r="D753" s="184"/>
      <c r="E753" s="184"/>
      <c r="F753" s="184"/>
      <c r="G753" s="184"/>
      <c r="H753" s="184"/>
      <c r="I753" s="184"/>
      <c r="J753" s="184"/>
      <c r="K753" s="184"/>
      <c r="L753" s="184"/>
      <c r="M753" s="184"/>
      <c r="N753" s="184"/>
      <c r="O753" s="184"/>
      <c r="P753" s="184"/>
      <c r="Q753" s="184"/>
      <c r="R753" s="184"/>
      <c r="S753" s="186"/>
      <c r="T753" s="184">
        <v>0.0</v>
      </c>
    </row>
    <row r="754">
      <c r="A754" s="184"/>
      <c r="B754" s="184"/>
      <c r="C754" s="184"/>
      <c r="D754" s="184"/>
      <c r="E754" s="184"/>
      <c r="F754" s="184"/>
      <c r="G754" s="184"/>
      <c r="H754" s="184"/>
      <c r="I754" s="184"/>
      <c r="J754" s="184"/>
      <c r="K754" s="184"/>
      <c r="L754" s="184"/>
      <c r="M754" s="184"/>
      <c r="N754" s="184"/>
      <c r="O754" s="184"/>
      <c r="P754" s="184"/>
      <c r="Q754" s="184"/>
      <c r="R754" s="184"/>
      <c r="S754" s="186"/>
      <c r="T754" s="184">
        <v>0.0</v>
      </c>
    </row>
    <row r="755">
      <c r="A755" s="184"/>
      <c r="B755" s="184"/>
      <c r="C755" s="184"/>
      <c r="D755" s="184"/>
      <c r="E755" s="184"/>
      <c r="F755" s="184"/>
      <c r="G755" s="184"/>
      <c r="H755" s="184"/>
      <c r="I755" s="184"/>
      <c r="J755" s="184"/>
      <c r="K755" s="184"/>
      <c r="L755" s="184"/>
      <c r="M755" s="184"/>
      <c r="N755" s="184"/>
      <c r="O755" s="184"/>
      <c r="P755" s="184"/>
      <c r="Q755" s="184"/>
      <c r="R755" s="184"/>
      <c r="S755" s="186"/>
      <c r="T755" s="184">
        <v>0.0</v>
      </c>
    </row>
    <row r="756">
      <c r="A756" s="184"/>
      <c r="B756" s="184"/>
      <c r="C756" s="184"/>
      <c r="D756" s="184"/>
      <c r="E756" s="184"/>
      <c r="F756" s="184"/>
      <c r="G756" s="184"/>
      <c r="H756" s="184"/>
      <c r="I756" s="184"/>
      <c r="J756" s="184"/>
      <c r="K756" s="184"/>
      <c r="L756" s="184"/>
      <c r="M756" s="184"/>
      <c r="N756" s="184"/>
      <c r="O756" s="184"/>
      <c r="P756" s="184"/>
      <c r="Q756" s="184"/>
      <c r="R756" s="184"/>
      <c r="S756" s="186"/>
      <c r="T756" s="184">
        <v>0.0</v>
      </c>
    </row>
    <row r="757">
      <c r="A757" s="184"/>
      <c r="B757" s="184"/>
      <c r="C757" s="184"/>
      <c r="D757" s="184"/>
      <c r="E757" s="184"/>
      <c r="F757" s="184"/>
      <c r="G757" s="184"/>
      <c r="H757" s="184"/>
      <c r="I757" s="184"/>
      <c r="J757" s="184"/>
      <c r="K757" s="184"/>
      <c r="L757" s="184"/>
      <c r="M757" s="184"/>
      <c r="N757" s="184"/>
      <c r="O757" s="184"/>
      <c r="P757" s="184"/>
      <c r="Q757" s="184"/>
      <c r="R757" s="184"/>
      <c r="S757" s="186"/>
      <c r="T757" s="184">
        <v>0.0</v>
      </c>
    </row>
    <row r="758">
      <c r="A758" s="184"/>
      <c r="B758" s="184"/>
      <c r="C758" s="184"/>
      <c r="D758" s="184"/>
      <c r="E758" s="184"/>
      <c r="F758" s="184"/>
      <c r="G758" s="184"/>
      <c r="H758" s="184"/>
      <c r="I758" s="184"/>
      <c r="J758" s="184"/>
      <c r="K758" s="184"/>
      <c r="L758" s="184"/>
      <c r="M758" s="184"/>
      <c r="N758" s="184"/>
      <c r="O758" s="184"/>
      <c r="P758" s="184"/>
      <c r="Q758" s="184"/>
      <c r="R758" s="184"/>
      <c r="S758" s="186"/>
      <c r="T758" s="184">
        <v>0.0</v>
      </c>
    </row>
    <row r="759">
      <c r="A759" s="184"/>
      <c r="B759" s="184"/>
      <c r="C759" s="184"/>
      <c r="D759" s="184"/>
      <c r="E759" s="184"/>
      <c r="F759" s="184"/>
      <c r="G759" s="184"/>
      <c r="H759" s="184"/>
      <c r="I759" s="184"/>
      <c r="J759" s="184"/>
      <c r="K759" s="184"/>
      <c r="L759" s="184"/>
      <c r="M759" s="184"/>
      <c r="N759" s="184"/>
      <c r="O759" s="184"/>
      <c r="P759" s="184"/>
      <c r="Q759" s="184"/>
      <c r="R759" s="184"/>
      <c r="S759" s="186"/>
      <c r="T759" s="184">
        <v>0.0</v>
      </c>
    </row>
    <row r="760">
      <c r="A760" s="184"/>
      <c r="B760" s="184"/>
      <c r="C760" s="184"/>
      <c r="D760" s="184"/>
      <c r="E760" s="184"/>
      <c r="F760" s="184"/>
      <c r="G760" s="184"/>
      <c r="H760" s="184"/>
      <c r="I760" s="184"/>
      <c r="J760" s="184"/>
      <c r="K760" s="184"/>
      <c r="L760" s="184"/>
      <c r="M760" s="184"/>
      <c r="N760" s="184"/>
      <c r="O760" s="184"/>
      <c r="P760" s="184"/>
      <c r="Q760" s="184"/>
      <c r="R760" s="184"/>
      <c r="S760" s="186"/>
      <c r="T760" s="184">
        <v>0.0</v>
      </c>
    </row>
    <row r="761">
      <c r="A761" s="184"/>
      <c r="B761" s="184"/>
      <c r="C761" s="184"/>
      <c r="D761" s="184"/>
      <c r="E761" s="184"/>
      <c r="F761" s="184"/>
      <c r="G761" s="184"/>
      <c r="H761" s="184"/>
      <c r="I761" s="184"/>
      <c r="J761" s="184"/>
      <c r="K761" s="184"/>
      <c r="L761" s="184"/>
      <c r="M761" s="184"/>
      <c r="N761" s="184"/>
      <c r="O761" s="184"/>
      <c r="P761" s="184"/>
      <c r="Q761" s="184"/>
      <c r="R761" s="184"/>
      <c r="S761" s="186"/>
      <c r="T761" s="184">
        <v>0.0</v>
      </c>
    </row>
    <row r="762">
      <c r="A762" s="184"/>
      <c r="B762" s="184"/>
      <c r="C762" s="184"/>
      <c r="D762" s="184"/>
      <c r="E762" s="184"/>
      <c r="F762" s="184"/>
      <c r="G762" s="184"/>
      <c r="H762" s="184"/>
      <c r="I762" s="184"/>
      <c r="J762" s="184"/>
      <c r="K762" s="184"/>
      <c r="L762" s="184"/>
      <c r="M762" s="184"/>
      <c r="N762" s="184"/>
      <c r="O762" s="184"/>
      <c r="P762" s="184"/>
      <c r="Q762" s="184"/>
      <c r="R762" s="184"/>
      <c r="S762" s="186"/>
      <c r="T762" s="184">
        <v>0.0</v>
      </c>
    </row>
    <row r="763">
      <c r="A763" s="184"/>
      <c r="B763" s="184"/>
      <c r="C763" s="184"/>
      <c r="D763" s="184"/>
      <c r="E763" s="184"/>
      <c r="F763" s="184"/>
      <c r="G763" s="184"/>
      <c r="H763" s="184"/>
      <c r="I763" s="184"/>
      <c r="J763" s="184"/>
      <c r="K763" s="184"/>
      <c r="L763" s="184"/>
      <c r="M763" s="184"/>
      <c r="N763" s="184"/>
      <c r="O763" s="184"/>
      <c r="P763" s="184"/>
      <c r="Q763" s="184"/>
      <c r="R763" s="184"/>
      <c r="S763" s="186"/>
      <c r="T763" s="184">
        <v>0.0</v>
      </c>
    </row>
    <row r="764">
      <c r="A764" s="184"/>
      <c r="B764" s="184"/>
      <c r="C764" s="184"/>
      <c r="D764" s="184"/>
      <c r="E764" s="184"/>
      <c r="F764" s="184"/>
      <c r="G764" s="184"/>
      <c r="H764" s="184"/>
      <c r="I764" s="184"/>
      <c r="J764" s="184"/>
      <c r="K764" s="184"/>
      <c r="L764" s="184"/>
      <c r="M764" s="184"/>
      <c r="N764" s="184"/>
      <c r="O764" s="184"/>
      <c r="P764" s="184"/>
      <c r="Q764" s="184"/>
      <c r="R764" s="184"/>
      <c r="S764" s="186"/>
      <c r="T764" s="184">
        <v>0.0</v>
      </c>
    </row>
    <row r="765">
      <c r="A765" s="184"/>
      <c r="B765" s="184"/>
      <c r="C765" s="184"/>
      <c r="D765" s="184"/>
      <c r="E765" s="184"/>
      <c r="F765" s="184"/>
      <c r="G765" s="184"/>
      <c r="H765" s="184"/>
      <c r="I765" s="184"/>
      <c r="J765" s="184"/>
      <c r="K765" s="184"/>
      <c r="L765" s="184"/>
      <c r="M765" s="184"/>
      <c r="N765" s="184"/>
      <c r="O765" s="184"/>
      <c r="P765" s="184"/>
      <c r="Q765" s="184"/>
      <c r="R765" s="184"/>
      <c r="S765" s="186"/>
      <c r="T765" s="184">
        <v>0.0</v>
      </c>
    </row>
    <row r="766">
      <c r="A766" s="184"/>
      <c r="B766" s="184"/>
      <c r="C766" s="184"/>
      <c r="D766" s="184"/>
      <c r="E766" s="184"/>
      <c r="F766" s="184"/>
      <c r="G766" s="184"/>
      <c r="H766" s="184"/>
      <c r="I766" s="184"/>
      <c r="J766" s="184"/>
      <c r="K766" s="184"/>
      <c r="L766" s="184"/>
      <c r="M766" s="184"/>
      <c r="N766" s="184"/>
      <c r="O766" s="184"/>
      <c r="P766" s="184"/>
      <c r="Q766" s="184"/>
      <c r="R766" s="184"/>
      <c r="S766" s="186"/>
      <c r="T766" s="184">
        <v>0.0</v>
      </c>
    </row>
    <row r="767">
      <c r="A767" s="184"/>
      <c r="B767" s="184"/>
      <c r="C767" s="184"/>
      <c r="D767" s="184"/>
      <c r="E767" s="184"/>
      <c r="F767" s="184"/>
      <c r="G767" s="184"/>
      <c r="H767" s="184"/>
      <c r="I767" s="184"/>
      <c r="J767" s="184"/>
      <c r="K767" s="184"/>
      <c r="L767" s="184"/>
      <c r="M767" s="184"/>
      <c r="N767" s="184"/>
      <c r="O767" s="184"/>
      <c r="P767" s="184"/>
      <c r="Q767" s="184"/>
      <c r="R767" s="184"/>
      <c r="S767" s="186"/>
      <c r="T767" s="184">
        <v>0.0</v>
      </c>
    </row>
    <row r="768">
      <c r="A768" s="184"/>
      <c r="B768" s="184"/>
      <c r="C768" s="184"/>
      <c r="D768" s="184"/>
      <c r="E768" s="184"/>
      <c r="F768" s="184"/>
      <c r="G768" s="184"/>
      <c r="H768" s="184"/>
      <c r="I768" s="184"/>
      <c r="J768" s="184"/>
      <c r="K768" s="184"/>
      <c r="L768" s="184"/>
      <c r="M768" s="184"/>
      <c r="N768" s="184"/>
      <c r="O768" s="184"/>
      <c r="P768" s="184"/>
      <c r="Q768" s="184"/>
      <c r="R768" s="184"/>
      <c r="S768" s="186"/>
      <c r="T768" s="184">
        <v>0.0</v>
      </c>
    </row>
    <row r="769">
      <c r="A769" s="184"/>
      <c r="B769" s="184"/>
      <c r="C769" s="184"/>
      <c r="D769" s="184"/>
      <c r="E769" s="184"/>
      <c r="F769" s="184"/>
      <c r="G769" s="184"/>
      <c r="H769" s="184"/>
      <c r="I769" s="184"/>
      <c r="J769" s="184"/>
      <c r="K769" s="184"/>
      <c r="L769" s="184"/>
      <c r="M769" s="184"/>
      <c r="N769" s="184"/>
      <c r="O769" s="184"/>
      <c r="P769" s="184"/>
      <c r="Q769" s="184"/>
      <c r="R769" s="184"/>
      <c r="S769" s="186"/>
      <c r="T769" s="184">
        <v>0.0</v>
      </c>
    </row>
    <row r="770">
      <c r="A770" s="184"/>
      <c r="B770" s="184"/>
      <c r="C770" s="184"/>
      <c r="D770" s="184"/>
      <c r="E770" s="184"/>
      <c r="F770" s="184"/>
      <c r="G770" s="184"/>
      <c r="H770" s="184"/>
      <c r="I770" s="184"/>
      <c r="J770" s="184"/>
      <c r="K770" s="184"/>
      <c r="L770" s="184"/>
      <c r="M770" s="184"/>
      <c r="N770" s="184"/>
      <c r="O770" s="184"/>
      <c r="P770" s="184"/>
      <c r="Q770" s="184"/>
      <c r="R770" s="184"/>
      <c r="S770" s="186"/>
      <c r="T770" s="184">
        <v>0.0</v>
      </c>
    </row>
    <row r="771">
      <c r="A771" s="184"/>
      <c r="B771" s="184"/>
      <c r="C771" s="184"/>
      <c r="D771" s="184"/>
      <c r="E771" s="184"/>
      <c r="F771" s="184"/>
      <c r="G771" s="184"/>
      <c r="H771" s="184"/>
      <c r="I771" s="184"/>
      <c r="J771" s="184"/>
      <c r="K771" s="184"/>
      <c r="L771" s="184"/>
      <c r="M771" s="184"/>
      <c r="N771" s="184"/>
      <c r="O771" s="184"/>
      <c r="P771" s="184"/>
      <c r="Q771" s="184"/>
      <c r="R771" s="184"/>
      <c r="S771" s="186"/>
      <c r="T771" s="184">
        <v>0.0</v>
      </c>
    </row>
    <row r="772">
      <c r="A772" s="184"/>
      <c r="B772" s="184"/>
      <c r="C772" s="184"/>
      <c r="D772" s="184"/>
      <c r="E772" s="184"/>
      <c r="F772" s="184"/>
      <c r="G772" s="184"/>
      <c r="H772" s="184"/>
      <c r="I772" s="184"/>
      <c r="J772" s="184"/>
      <c r="K772" s="184"/>
      <c r="L772" s="184"/>
      <c r="M772" s="184"/>
      <c r="N772" s="184"/>
      <c r="O772" s="184"/>
      <c r="P772" s="184"/>
      <c r="Q772" s="184"/>
      <c r="R772" s="184"/>
      <c r="S772" s="186"/>
      <c r="T772" s="184">
        <v>0.0</v>
      </c>
    </row>
    <row r="773">
      <c r="A773" s="184"/>
      <c r="B773" s="184"/>
      <c r="C773" s="184"/>
      <c r="D773" s="184"/>
      <c r="E773" s="184"/>
      <c r="F773" s="184"/>
      <c r="G773" s="184"/>
      <c r="H773" s="184"/>
      <c r="I773" s="184"/>
      <c r="J773" s="184"/>
      <c r="K773" s="184"/>
      <c r="L773" s="184"/>
      <c r="M773" s="184"/>
      <c r="N773" s="184"/>
      <c r="O773" s="184"/>
      <c r="P773" s="184"/>
      <c r="Q773" s="184"/>
      <c r="R773" s="184"/>
      <c r="S773" s="186"/>
      <c r="T773" s="184">
        <v>0.0</v>
      </c>
    </row>
    <row r="774">
      <c r="A774" s="184"/>
      <c r="B774" s="184"/>
      <c r="C774" s="184"/>
      <c r="D774" s="184"/>
      <c r="E774" s="184"/>
      <c r="F774" s="184"/>
      <c r="G774" s="184"/>
      <c r="H774" s="184"/>
      <c r="I774" s="184"/>
      <c r="J774" s="184"/>
      <c r="K774" s="184"/>
      <c r="L774" s="184"/>
      <c r="M774" s="184"/>
      <c r="N774" s="184"/>
      <c r="O774" s="184"/>
      <c r="P774" s="184"/>
      <c r="Q774" s="184"/>
      <c r="R774" s="184"/>
      <c r="S774" s="186"/>
      <c r="T774" s="184">
        <v>0.0</v>
      </c>
    </row>
    <row r="775">
      <c r="A775" s="184"/>
      <c r="B775" s="184"/>
      <c r="C775" s="184"/>
      <c r="D775" s="184"/>
      <c r="E775" s="184"/>
      <c r="F775" s="184"/>
      <c r="G775" s="184"/>
      <c r="H775" s="184"/>
      <c r="I775" s="184"/>
      <c r="J775" s="184"/>
      <c r="K775" s="184"/>
      <c r="L775" s="184"/>
      <c r="M775" s="184"/>
      <c r="N775" s="184"/>
      <c r="O775" s="184"/>
      <c r="P775" s="184"/>
      <c r="Q775" s="184"/>
      <c r="R775" s="184"/>
      <c r="S775" s="186"/>
      <c r="T775" s="184">
        <v>0.0</v>
      </c>
    </row>
    <row r="776">
      <c r="A776" s="184"/>
      <c r="B776" s="184"/>
      <c r="C776" s="184"/>
      <c r="D776" s="184"/>
      <c r="E776" s="184"/>
      <c r="F776" s="184"/>
      <c r="G776" s="184"/>
      <c r="H776" s="184"/>
      <c r="I776" s="184"/>
      <c r="J776" s="184"/>
      <c r="K776" s="184"/>
      <c r="L776" s="184"/>
      <c r="M776" s="184"/>
      <c r="N776" s="184"/>
      <c r="O776" s="184"/>
      <c r="P776" s="184"/>
      <c r="Q776" s="184"/>
      <c r="R776" s="184"/>
      <c r="S776" s="186"/>
      <c r="T776" s="184">
        <v>0.0</v>
      </c>
    </row>
    <row r="777">
      <c r="A777" s="184"/>
      <c r="B777" s="184"/>
      <c r="C777" s="184"/>
      <c r="D777" s="184"/>
      <c r="E777" s="184"/>
      <c r="F777" s="184"/>
      <c r="G777" s="184"/>
      <c r="H777" s="184"/>
      <c r="I777" s="184"/>
      <c r="J777" s="184"/>
      <c r="K777" s="184"/>
      <c r="L777" s="184"/>
      <c r="M777" s="184"/>
      <c r="N777" s="184"/>
      <c r="O777" s="184"/>
      <c r="P777" s="184"/>
      <c r="Q777" s="184"/>
      <c r="R777" s="184"/>
      <c r="S777" s="186"/>
      <c r="T777" s="184">
        <v>0.0</v>
      </c>
    </row>
    <row r="778">
      <c r="A778" s="184"/>
      <c r="B778" s="184"/>
      <c r="C778" s="184"/>
      <c r="D778" s="184"/>
      <c r="E778" s="184"/>
      <c r="F778" s="184"/>
      <c r="G778" s="184"/>
      <c r="H778" s="184"/>
      <c r="I778" s="184"/>
      <c r="J778" s="184"/>
      <c r="K778" s="184"/>
      <c r="L778" s="184"/>
      <c r="M778" s="184"/>
      <c r="N778" s="184"/>
      <c r="O778" s="184"/>
      <c r="P778" s="184"/>
      <c r="Q778" s="184"/>
      <c r="R778" s="184"/>
      <c r="S778" s="186"/>
      <c r="T778" s="184">
        <v>0.0</v>
      </c>
    </row>
    <row r="779">
      <c r="A779" s="184"/>
      <c r="B779" s="184"/>
      <c r="C779" s="184"/>
      <c r="D779" s="184"/>
      <c r="E779" s="184"/>
      <c r="F779" s="184"/>
      <c r="G779" s="184"/>
      <c r="H779" s="184"/>
      <c r="I779" s="184"/>
      <c r="J779" s="184"/>
      <c r="K779" s="184"/>
      <c r="L779" s="184"/>
      <c r="M779" s="184"/>
      <c r="N779" s="184"/>
      <c r="O779" s="184"/>
      <c r="P779" s="184"/>
      <c r="Q779" s="184"/>
      <c r="R779" s="184"/>
      <c r="S779" s="186"/>
      <c r="T779" s="184">
        <v>0.0</v>
      </c>
    </row>
    <row r="780">
      <c r="A780" s="184"/>
      <c r="B780" s="184"/>
      <c r="C780" s="184"/>
      <c r="D780" s="184"/>
      <c r="E780" s="184"/>
      <c r="F780" s="184"/>
      <c r="G780" s="184"/>
      <c r="H780" s="184"/>
      <c r="I780" s="184"/>
      <c r="J780" s="184"/>
      <c r="K780" s="184"/>
      <c r="L780" s="184"/>
      <c r="M780" s="184"/>
      <c r="N780" s="184"/>
      <c r="O780" s="184"/>
      <c r="P780" s="184"/>
      <c r="Q780" s="184"/>
      <c r="R780" s="184"/>
      <c r="S780" s="186"/>
      <c r="T780" s="184">
        <v>0.0</v>
      </c>
    </row>
    <row r="781">
      <c r="A781" s="184"/>
      <c r="B781" s="184"/>
      <c r="C781" s="184"/>
      <c r="D781" s="184"/>
      <c r="E781" s="184"/>
      <c r="F781" s="184"/>
      <c r="G781" s="184"/>
      <c r="H781" s="184"/>
      <c r="I781" s="184"/>
      <c r="J781" s="184"/>
      <c r="K781" s="184"/>
      <c r="L781" s="184"/>
      <c r="M781" s="184"/>
      <c r="N781" s="184"/>
      <c r="O781" s="184"/>
      <c r="P781" s="184"/>
      <c r="Q781" s="184"/>
      <c r="R781" s="184"/>
      <c r="S781" s="186"/>
      <c r="T781" s="184">
        <v>0.0</v>
      </c>
    </row>
    <row r="782">
      <c r="A782" s="184"/>
      <c r="B782" s="184"/>
      <c r="C782" s="184"/>
      <c r="D782" s="184"/>
      <c r="E782" s="184"/>
      <c r="F782" s="184"/>
      <c r="G782" s="184"/>
      <c r="H782" s="184"/>
      <c r="I782" s="184"/>
      <c r="J782" s="184"/>
      <c r="K782" s="184"/>
      <c r="L782" s="184"/>
      <c r="M782" s="184"/>
      <c r="N782" s="184"/>
      <c r="O782" s="184"/>
      <c r="P782" s="184"/>
      <c r="Q782" s="184"/>
      <c r="R782" s="184"/>
      <c r="S782" s="186"/>
      <c r="T782" s="184">
        <v>0.0</v>
      </c>
    </row>
    <row r="783">
      <c r="A783" s="184"/>
      <c r="B783" s="184"/>
      <c r="C783" s="184"/>
      <c r="D783" s="184"/>
      <c r="E783" s="184"/>
      <c r="F783" s="184"/>
      <c r="G783" s="184"/>
      <c r="H783" s="184"/>
      <c r="I783" s="184"/>
      <c r="J783" s="184"/>
      <c r="K783" s="184"/>
      <c r="L783" s="184"/>
      <c r="M783" s="184"/>
      <c r="N783" s="184"/>
      <c r="O783" s="184"/>
      <c r="P783" s="184"/>
      <c r="Q783" s="184"/>
      <c r="R783" s="184"/>
      <c r="S783" s="186"/>
      <c r="T783" s="184">
        <v>0.0</v>
      </c>
    </row>
    <row r="784">
      <c r="A784" s="184"/>
      <c r="B784" s="184"/>
      <c r="C784" s="184"/>
      <c r="D784" s="184"/>
      <c r="E784" s="184"/>
      <c r="F784" s="184"/>
      <c r="G784" s="184"/>
      <c r="H784" s="184"/>
      <c r="I784" s="184"/>
      <c r="J784" s="184"/>
      <c r="K784" s="184"/>
      <c r="L784" s="184"/>
      <c r="M784" s="184"/>
      <c r="N784" s="184"/>
      <c r="O784" s="184"/>
      <c r="P784" s="184"/>
      <c r="Q784" s="184"/>
      <c r="R784" s="184"/>
      <c r="S784" s="186"/>
      <c r="T784" s="184">
        <v>0.0</v>
      </c>
    </row>
    <row r="785">
      <c r="A785" s="184"/>
      <c r="B785" s="184"/>
      <c r="C785" s="184"/>
      <c r="D785" s="184"/>
      <c r="E785" s="184"/>
      <c r="F785" s="184"/>
      <c r="G785" s="184"/>
      <c r="H785" s="184"/>
      <c r="I785" s="184"/>
      <c r="J785" s="184"/>
      <c r="K785" s="184"/>
      <c r="L785" s="184"/>
      <c r="M785" s="184"/>
      <c r="N785" s="184"/>
      <c r="O785" s="184"/>
      <c r="P785" s="184"/>
      <c r="Q785" s="184"/>
      <c r="R785" s="184"/>
      <c r="S785" s="186"/>
      <c r="T785" s="184">
        <v>0.0</v>
      </c>
    </row>
    <row r="786">
      <c r="A786" s="184"/>
      <c r="B786" s="184"/>
      <c r="C786" s="184"/>
      <c r="D786" s="184"/>
      <c r="E786" s="184"/>
      <c r="F786" s="184"/>
      <c r="G786" s="184"/>
      <c r="H786" s="184"/>
      <c r="I786" s="184"/>
      <c r="J786" s="184"/>
      <c r="K786" s="184"/>
      <c r="L786" s="184"/>
      <c r="M786" s="184"/>
      <c r="N786" s="184"/>
      <c r="O786" s="184"/>
      <c r="P786" s="184"/>
      <c r="Q786" s="184"/>
      <c r="R786" s="184"/>
      <c r="S786" s="186"/>
      <c r="T786" s="184">
        <v>0.0</v>
      </c>
    </row>
    <row r="787">
      <c r="A787" s="184"/>
      <c r="B787" s="184"/>
      <c r="C787" s="184"/>
      <c r="D787" s="184"/>
      <c r="E787" s="184"/>
      <c r="F787" s="184"/>
      <c r="G787" s="184"/>
      <c r="H787" s="184"/>
      <c r="I787" s="184"/>
      <c r="J787" s="184"/>
      <c r="K787" s="184"/>
      <c r="L787" s="184"/>
      <c r="M787" s="184"/>
      <c r="N787" s="184"/>
      <c r="O787" s="184"/>
      <c r="P787" s="184"/>
      <c r="Q787" s="184"/>
      <c r="R787" s="184"/>
      <c r="S787" s="186"/>
      <c r="T787" s="184">
        <v>0.0</v>
      </c>
    </row>
    <row r="788">
      <c r="A788" s="184"/>
      <c r="B788" s="184"/>
      <c r="C788" s="184"/>
      <c r="D788" s="184"/>
      <c r="E788" s="184"/>
      <c r="F788" s="184"/>
      <c r="G788" s="184"/>
      <c r="H788" s="184"/>
      <c r="I788" s="184"/>
      <c r="J788" s="184"/>
      <c r="K788" s="184"/>
      <c r="L788" s="184"/>
      <c r="M788" s="184"/>
      <c r="N788" s="184"/>
      <c r="O788" s="184"/>
      <c r="P788" s="184"/>
      <c r="Q788" s="184"/>
      <c r="R788" s="184"/>
      <c r="S788" s="186"/>
      <c r="T788" s="184">
        <v>0.0</v>
      </c>
    </row>
    <row r="789">
      <c r="A789" s="184"/>
      <c r="B789" s="184"/>
      <c r="C789" s="184"/>
      <c r="D789" s="184"/>
      <c r="E789" s="184"/>
      <c r="F789" s="184"/>
      <c r="G789" s="184"/>
      <c r="H789" s="184"/>
      <c r="I789" s="184"/>
      <c r="J789" s="184"/>
      <c r="K789" s="184"/>
      <c r="L789" s="184"/>
      <c r="M789" s="184"/>
      <c r="N789" s="184"/>
      <c r="O789" s="184"/>
      <c r="P789" s="184"/>
      <c r="Q789" s="184"/>
      <c r="R789" s="184"/>
      <c r="S789" s="186"/>
      <c r="T789" s="184">
        <v>0.0</v>
      </c>
    </row>
    <row r="790">
      <c r="A790" s="184"/>
      <c r="B790" s="184"/>
      <c r="C790" s="184"/>
      <c r="D790" s="184"/>
      <c r="E790" s="184"/>
      <c r="F790" s="184"/>
      <c r="G790" s="184"/>
      <c r="H790" s="184"/>
      <c r="I790" s="184"/>
      <c r="J790" s="184"/>
      <c r="K790" s="184"/>
      <c r="L790" s="184"/>
      <c r="M790" s="184"/>
      <c r="N790" s="184"/>
      <c r="O790" s="184"/>
      <c r="P790" s="184"/>
      <c r="Q790" s="184"/>
      <c r="R790" s="184"/>
      <c r="S790" s="186"/>
      <c r="T790" s="184">
        <v>0.0</v>
      </c>
    </row>
    <row r="791">
      <c r="A791" s="184"/>
      <c r="B791" s="184"/>
      <c r="C791" s="184"/>
      <c r="D791" s="184"/>
      <c r="E791" s="184"/>
      <c r="F791" s="184"/>
      <c r="G791" s="184"/>
      <c r="H791" s="184"/>
      <c r="I791" s="184"/>
      <c r="J791" s="184"/>
      <c r="K791" s="184"/>
      <c r="L791" s="184"/>
      <c r="M791" s="184"/>
      <c r="N791" s="184"/>
      <c r="O791" s="184"/>
      <c r="P791" s="184"/>
      <c r="Q791" s="184"/>
      <c r="R791" s="184"/>
      <c r="S791" s="186"/>
      <c r="T791" s="184">
        <v>0.0</v>
      </c>
    </row>
    <row r="792">
      <c r="A792" s="184"/>
      <c r="B792" s="184"/>
      <c r="C792" s="184"/>
      <c r="D792" s="184"/>
      <c r="E792" s="184"/>
      <c r="F792" s="184"/>
      <c r="G792" s="184"/>
      <c r="H792" s="184"/>
      <c r="I792" s="184"/>
      <c r="J792" s="184"/>
      <c r="K792" s="184"/>
      <c r="L792" s="184"/>
      <c r="M792" s="184"/>
      <c r="N792" s="184"/>
      <c r="O792" s="184"/>
      <c r="P792" s="184"/>
      <c r="Q792" s="184"/>
      <c r="R792" s="184"/>
      <c r="S792" s="186"/>
      <c r="T792" s="184">
        <v>0.0</v>
      </c>
    </row>
    <row r="793">
      <c r="A793" s="184"/>
      <c r="B793" s="184"/>
      <c r="C793" s="184"/>
      <c r="D793" s="184"/>
      <c r="E793" s="184"/>
      <c r="F793" s="184"/>
      <c r="G793" s="184"/>
      <c r="H793" s="184"/>
      <c r="I793" s="184"/>
      <c r="J793" s="184"/>
      <c r="K793" s="184"/>
      <c r="L793" s="184"/>
      <c r="M793" s="184"/>
      <c r="N793" s="184"/>
      <c r="O793" s="184"/>
      <c r="P793" s="184"/>
      <c r="Q793" s="184"/>
      <c r="R793" s="184"/>
      <c r="S793" s="186"/>
      <c r="T793" s="184">
        <v>0.0</v>
      </c>
    </row>
    <row r="794">
      <c r="A794" s="184"/>
      <c r="B794" s="184"/>
      <c r="C794" s="184"/>
      <c r="D794" s="184"/>
      <c r="E794" s="184"/>
      <c r="F794" s="184"/>
      <c r="G794" s="184"/>
      <c r="H794" s="184"/>
      <c r="I794" s="184"/>
      <c r="J794" s="184"/>
      <c r="K794" s="184"/>
      <c r="L794" s="184"/>
      <c r="M794" s="184"/>
      <c r="N794" s="184"/>
      <c r="O794" s="184"/>
      <c r="P794" s="184"/>
      <c r="Q794" s="184"/>
      <c r="R794" s="184"/>
      <c r="S794" s="186"/>
      <c r="T794" s="184">
        <v>0.0</v>
      </c>
    </row>
    <row r="795">
      <c r="A795" s="184"/>
      <c r="B795" s="184"/>
      <c r="C795" s="184"/>
      <c r="D795" s="184"/>
      <c r="E795" s="184"/>
      <c r="F795" s="184"/>
      <c r="G795" s="184"/>
      <c r="H795" s="184"/>
      <c r="I795" s="184"/>
      <c r="J795" s="184"/>
      <c r="K795" s="184"/>
      <c r="L795" s="184"/>
      <c r="M795" s="184"/>
      <c r="N795" s="184"/>
      <c r="O795" s="184"/>
      <c r="P795" s="184"/>
      <c r="Q795" s="184"/>
      <c r="R795" s="184"/>
      <c r="S795" s="186"/>
      <c r="T795" s="184">
        <v>0.0</v>
      </c>
    </row>
    <row r="796">
      <c r="A796" s="184"/>
      <c r="B796" s="184"/>
      <c r="C796" s="184"/>
      <c r="D796" s="184"/>
      <c r="E796" s="184"/>
      <c r="F796" s="184"/>
      <c r="G796" s="184"/>
      <c r="H796" s="184"/>
      <c r="I796" s="184"/>
      <c r="J796" s="184"/>
      <c r="K796" s="184"/>
      <c r="L796" s="184"/>
      <c r="M796" s="184"/>
      <c r="N796" s="184"/>
      <c r="O796" s="184"/>
      <c r="P796" s="184"/>
      <c r="Q796" s="184"/>
      <c r="R796" s="184"/>
      <c r="S796" s="186"/>
      <c r="T796" s="184">
        <v>0.0</v>
      </c>
    </row>
    <row r="797">
      <c r="A797" s="184"/>
      <c r="B797" s="184"/>
      <c r="C797" s="184"/>
      <c r="D797" s="184"/>
      <c r="E797" s="184"/>
      <c r="F797" s="184"/>
      <c r="G797" s="184"/>
      <c r="H797" s="184"/>
      <c r="I797" s="184"/>
      <c r="J797" s="184"/>
      <c r="K797" s="184"/>
      <c r="L797" s="184"/>
      <c r="M797" s="184"/>
      <c r="N797" s="184"/>
      <c r="O797" s="184"/>
      <c r="P797" s="184"/>
      <c r="Q797" s="184"/>
      <c r="R797" s="184"/>
      <c r="S797" s="186"/>
      <c r="T797" s="184">
        <v>0.0</v>
      </c>
    </row>
    <row r="798">
      <c r="A798" s="184"/>
      <c r="B798" s="184"/>
      <c r="C798" s="184"/>
      <c r="D798" s="184"/>
      <c r="E798" s="184"/>
      <c r="F798" s="184"/>
      <c r="G798" s="184"/>
      <c r="H798" s="184"/>
      <c r="I798" s="184"/>
      <c r="J798" s="184"/>
      <c r="K798" s="184"/>
      <c r="L798" s="184"/>
      <c r="M798" s="184"/>
      <c r="N798" s="184"/>
      <c r="O798" s="184"/>
      <c r="P798" s="184"/>
      <c r="Q798" s="184"/>
      <c r="R798" s="184"/>
      <c r="S798" s="186"/>
      <c r="T798" s="184">
        <v>0.0</v>
      </c>
    </row>
    <row r="799">
      <c r="A799" s="184"/>
      <c r="B799" s="184"/>
      <c r="C799" s="184"/>
      <c r="D799" s="184"/>
      <c r="E799" s="184"/>
      <c r="F799" s="184"/>
      <c r="G799" s="184"/>
      <c r="H799" s="184"/>
      <c r="I799" s="184"/>
      <c r="J799" s="184"/>
      <c r="K799" s="184"/>
      <c r="L799" s="184"/>
      <c r="M799" s="184"/>
      <c r="N799" s="184"/>
      <c r="O799" s="184"/>
      <c r="P799" s="184"/>
      <c r="Q799" s="184"/>
      <c r="R799" s="184"/>
      <c r="S799" s="186"/>
      <c r="T799" s="184">
        <v>0.0</v>
      </c>
    </row>
    <row r="800">
      <c r="A800" s="184"/>
      <c r="B800" s="184"/>
      <c r="C800" s="184"/>
      <c r="D800" s="184"/>
      <c r="E800" s="184"/>
      <c r="F800" s="184"/>
      <c r="G800" s="184"/>
      <c r="H800" s="184"/>
      <c r="I800" s="184"/>
      <c r="J800" s="184"/>
      <c r="K800" s="184"/>
      <c r="L800" s="184"/>
      <c r="M800" s="184"/>
      <c r="N800" s="184"/>
      <c r="O800" s="184"/>
      <c r="P800" s="184"/>
      <c r="Q800" s="184"/>
      <c r="R800" s="184"/>
      <c r="S800" s="186"/>
      <c r="T800" s="184">
        <v>0.0</v>
      </c>
    </row>
    <row r="801">
      <c r="A801" s="184"/>
      <c r="B801" s="184"/>
      <c r="C801" s="184"/>
      <c r="D801" s="184"/>
      <c r="E801" s="184"/>
      <c r="F801" s="184"/>
      <c r="G801" s="184"/>
      <c r="H801" s="184"/>
      <c r="I801" s="184"/>
      <c r="J801" s="184"/>
      <c r="K801" s="184"/>
      <c r="L801" s="184"/>
      <c r="M801" s="184"/>
      <c r="N801" s="184"/>
      <c r="O801" s="184"/>
      <c r="P801" s="184"/>
      <c r="Q801" s="184"/>
      <c r="R801" s="184"/>
      <c r="S801" s="186"/>
      <c r="T801" s="184">
        <v>0.0</v>
      </c>
    </row>
    <row r="802">
      <c r="A802" s="184"/>
      <c r="B802" s="184"/>
      <c r="C802" s="184"/>
      <c r="D802" s="184"/>
      <c r="E802" s="184"/>
      <c r="F802" s="184"/>
      <c r="G802" s="184"/>
      <c r="H802" s="184"/>
      <c r="I802" s="184"/>
      <c r="J802" s="184"/>
      <c r="K802" s="184"/>
      <c r="L802" s="184"/>
      <c r="M802" s="184"/>
      <c r="N802" s="184"/>
      <c r="O802" s="184"/>
      <c r="P802" s="184"/>
      <c r="Q802" s="184"/>
      <c r="R802" s="184"/>
      <c r="S802" s="186"/>
      <c r="T802" s="184">
        <v>0.0</v>
      </c>
    </row>
    <row r="803">
      <c r="A803" s="184"/>
      <c r="B803" s="184"/>
      <c r="C803" s="184"/>
      <c r="D803" s="184"/>
      <c r="E803" s="184"/>
      <c r="F803" s="184"/>
      <c r="G803" s="184"/>
      <c r="H803" s="184"/>
      <c r="I803" s="184"/>
      <c r="J803" s="184"/>
      <c r="K803" s="184"/>
      <c r="L803" s="184"/>
      <c r="M803" s="184"/>
      <c r="N803" s="184"/>
      <c r="O803" s="184"/>
      <c r="P803" s="184"/>
      <c r="Q803" s="184"/>
      <c r="R803" s="184"/>
      <c r="S803" s="186"/>
      <c r="T803" s="184">
        <v>0.0</v>
      </c>
    </row>
    <row r="804">
      <c r="A804" s="184"/>
      <c r="B804" s="184"/>
      <c r="C804" s="184"/>
      <c r="D804" s="184"/>
      <c r="E804" s="184"/>
      <c r="F804" s="184"/>
      <c r="G804" s="184"/>
      <c r="H804" s="184"/>
      <c r="I804" s="184"/>
      <c r="J804" s="184"/>
      <c r="K804" s="184"/>
      <c r="L804" s="184"/>
      <c r="M804" s="184"/>
      <c r="N804" s="184"/>
      <c r="O804" s="184"/>
      <c r="P804" s="184"/>
      <c r="Q804" s="184"/>
      <c r="R804" s="184"/>
      <c r="S804" s="186"/>
      <c r="T804" s="184">
        <v>0.0</v>
      </c>
    </row>
    <row r="805">
      <c r="A805" s="184"/>
      <c r="B805" s="184"/>
      <c r="C805" s="184"/>
      <c r="D805" s="184"/>
      <c r="E805" s="184"/>
      <c r="F805" s="184"/>
      <c r="G805" s="184"/>
      <c r="H805" s="184"/>
      <c r="I805" s="184"/>
      <c r="J805" s="184"/>
      <c r="K805" s="184"/>
      <c r="L805" s="184"/>
      <c r="M805" s="184"/>
      <c r="N805" s="184"/>
      <c r="O805" s="184"/>
      <c r="P805" s="184"/>
      <c r="Q805" s="184"/>
      <c r="R805" s="184"/>
      <c r="S805" s="186"/>
      <c r="T805" s="184">
        <v>0.0</v>
      </c>
    </row>
    <row r="806">
      <c r="A806" s="184"/>
      <c r="B806" s="184"/>
      <c r="C806" s="184"/>
      <c r="D806" s="184"/>
      <c r="E806" s="184"/>
      <c r="F806" s="184"/>
      <c r="G806" s="184"/>
      <c r="H806" s="184"/>
      <c r="I806" s="184"/>
      <c r="J806" s="184"/>
      <c r="K806" s="184"/>
      <c r="L806" s="184"/>
      <c r="M806" s="184"/>
      <c r="N806" s="184"/>
      <c r="O806" s="184"/>
      <c r="P806" s="184"/>
      <c r="Q806" s="184"/>
      <c r="R806" s="184"/>
      <c r="S806" s="186"/>
      <c r="T806" s="184">
        <v>0.0</v>
      </c>
    </row>
    <row r="807">
      <c r="A807" s="184"/>
      <c r="B807" s="184"/>
      <c r="C807" s="184"/>
      <c r="D807" s="184"/>
      <c r="E807" s="184"/>
      <c r="F807" s="184"/>
      <c r="G807" s="184"/>
      <c r="H807" s="184"/>
      <c r="I807" s="184"/>
      <c r="J807" s="184"/>
      <c r="K807" s="184"/>
      <c r="L807" s="184"/>
      <c r="M807" s="184"/>
      <c r="N807" s="184"/>
      <c r="O807" s="184"/>
      <c r="P807" s="184"/>
      <c r="Q807" s="184"/>
      <c r="R807" s="184"/>
      <c r="S807" s="186"/>
      <c r="T807" s="184">
        <v>0.0</v>
      </c>
    </row>
    <row r="808">
      <c r="A808" s="184"/>
      <c r="B808" s="184"/>
      <c r="C808" s="184"/>
      <c r="D808" s="184"/>
      <c r="E808" s="184"/>
      <c r="F808" s="184"/>
      <c r="G808" s="184"/>
      <c r="H808" s="184"/>
      <c r="I808" s="184"/>
      <c r="J808" s="184"/>
      <c r="K808" s="184"/>
      <c r="L808" s="184"/>
      <c r="M808" s="184"/>
      <c r="N808" s="184"/>
      <c r="O808" s="184"/>
      <c r="P808" s="184"/>
      <c r="Q808" s="184"/>
      <c r="R808" s="184"/>
      <c r="S808" s="186"/>
      <c r="T808" s="184">
        <v>0.0</v>
      </c>
    </row>
    <row r="809">
      <c r="A809" s="184"/>
      <c r="B809" s="184"/>
      <c r="C809" s="184"/>
      <c r="D809" s="184"/>
      <c r="E809" s="184"/>
      <c r="F809" s="184"/>
      <c r="G809" s="184"/>
      <c r="H809" s="184"/>
      <c r="I809" s="184"/>
      <c r="J809" s="184"/>
      <c r="K809" s="184"/>
      <c r="L809" s="184"/>
      <c r="M809" s="184"/>
      <c r="N809" s="184"/>
      <c r="O809" s="184"/>
      <c r="P809" s="184"/>
      <c r="Q809" s="184"/>
      <c r="R809" s="184"/>
      <c r="S809" s="186"/>
      <c r="T809" s="184">
        <v>0.0</v>
      </c>
    </row>
    <row r="810">
      <c r="A810" s="184"/>
      <c r="B810" s="184"/>
      <c r="C810" s="184"/>
      <c r="D810" s="184"/>
      <c r="E810" s="184"/>
      <c r="F810" s="184"/>
      <c r="G810" s="184"/>
      <c r="H810" s="184"/>
      <c r="I810" s="184"/>
      <c r="J810" s="184"/>
      <c r="K810" s="184"/>
      <c r="L810" s="184"/>
      <c r="M810" s="184"/>
      <c r="N810" s="184"/>
      <c r="O810" s="184"/>
      <c r="P810" s="184"/>
      <c r="Q810" s="184"/>
      <c r="R810" s="184"/>
      <c r="S810" s="186"/>
      <c r="T810" s="184">
        <v>0.0</v>
      </c>
    </row>
    <row r="811">
      <c r="A811" s="184"/>
      <c r="B811" s="184"/>
      <c r="C811" s="184"/>
      <c r="D811" s="184"/>
      <c r="E811" s="184"/>
      <c r="F811" s="184"/>
      <c r="G811" s="184"/>
      <c r="H811" s="184"/>
      <c r="I811" s="184"/>
      <c r="J811" s="184"/>
      <c r="K811" s="184"/>
      <c r="L811" s="184"/>
      <c r="M811" s="184"/>
      <c r="N811" s="184"/>
      <c r="O811" s="184"/>
      <c r="P811" s="184"/>
      <c r="Q811" s="184"/>
      <c r="R811" s="184"/>
      <c r="S811" s="186"/>
      <c r="T811" s="184">
        <v>0.0</v>
      </c>
    </row>
    <row r="812">
      <c r="A812" s="184"/>
      <c r="B812" s="184"/>
      <c r="C812" s="184"/>
      <c r="D812" s="184"/>
      <c r="E812" s="184"/>
      <c r="F812" s="184"/>
      <c r="G812" s="184"/>
      <c r="H812" s="184"/>
      <c r="I812" s="184"/>
      <c r="J812" s="184"/>
      <c r="K812" s="184"/>
      <c r="L812" s="184"/>
      <c r="M812" s="184"/>
      <c r="N812" s="184"/>
      <c r="O812" s="184"/>
      <c r="P812" s="184"/>
      <c r="Q812" s="184"/>
      <c r="R812" s="184"/>
      <c r="S812" s="186"/>
      <c r="T812" s="184">
        <v>0.0</v>
      </c>
    </row>
    <row r="813">
      <c r="A813" s="184"/>
      <c r="B813" s="184"/>
      <c r="C813" s="184"/>
      <c r="D813" s="184"/>
      <c r="E813" s="184"/>
      <c r="F813" s="184"/>
      <c r="G813" s="184"/>
      <c r="H813" s="184"/>
      <c r="I813" s="184"/>
      <c r="J813" s="184"/>
      <c r="K813" s="184"/>
      <c r="L813" s="184"/>
      <c r="M813" s="184"/>
      <c r="N813" s="184"/>
      <c r="O813" s="184"/>
      <c r="P813" s="184"/>
      <c r="Q813" s="184"/>
      <c r="R813" s="184"/>
      <c r="S813" s="186"/>
      <c r="T813" s="184">
        <v>0.0</v>
      </c>
    </row>
    <row r="814">
      <c r="A814" s="184"/>
      <c r="B814" s="184"/>
      <c r="C814" s="184"/>
      <c r="D814" s="184"/>
      <c r="E814" s="184"/>
      <c r="F814" s="184"/>
      <c r="G814" s="184"/>
      <c r="H814" s="184"/>
      <c r="I814" s="184"/>
      <c r="J814" s="184"/>
      <c r="K814" s="184"/>
      <c r="L814" s="184"/>
      <c r="M814" s="184"/>
      <c r="N814" s="184"/>
      <c r="O814" s="184"/>
      <c r="P814" s="184"/>
      <c r="Q814" s="184"/>
      <c r="R814" s="184"/>
      <c r="S814" s="186"/>
      <c r="T814" s="184">
        <v>0.0</v>
      </c>
    </row>
    <row r="815">
      <c r="A815" s="184"/>
      <c r="B815" s="184"/>
      <c r="C815" s="184"/>
      <c r="D815" s="184"/>
      <c r="E815" s="184"/>
      <c r="F815" s="184"/>
      <c r="G815" s="184"/>
      <c r="H815" s="184"/>
      <c r="I815" s="184"/>
      <c r="J815" s="184"/>
      <c r="K815" s="184"/>
      <c r="L815" s="184"/>
      <c r="M815" s="184"/>
      <c r="N815" s="184"/>
      <c r="O815" s="184"/>
      <c r="P815" s="184"/>
      <c r="Q815" s="184"/>
      <c r="R815" s="184"/>
      <c r="S815" s="186"/>
      <c r="T815" s="184">
        <v>0.0</v>
      </c>
    </row>
    <row r="816">
      <c r="A816" s="184"/>
      <c r="B816" s="184"/>
      <c r="C816" s="184"/>
      <c r="D816" s="184"/>
      <c r="E816" s="184"/>
      <c r="F816" s="184"/>
      <c r="G816" s="184"/>
      <c r="H816" s="184"/>
      <c r="I816" s="184"/>
      <c r="J816" s="184"/>
      <c r="K816" s="184"/>
      <c r="L816" s="184"/>
      <c r="M816" s="184"/>
      <c r="N816" s="184"/>
      <c r="O816" s="184"/>
      <c r="P816" s="184"/>
      <c r="Q816" s="184"/>
      <c r="R816" s="184"/>
      <c r="S816" s="186"/>
      <c r="T816" s="184">
        <v>0.0</v>
      </c>
    </row>
    <row r="817">
      <c r="A817" s="184"/>
      <c r="B817" s="184"/>
      <c r="C817" s="184"/>
      <c r="D817" s="184"/>
      <c r="E817" s="184"/>
      <c r="F817" s="184"/>
      <c r="G817" s="184"/>
      <c r="H817" s="184"/>
      <c r="I817" s="184"/>
      <c r="J817" s="184"/>
      <c r="K817" s="184"/>
      <c r="L817" s="184"/>
      <c r="M817" s="184"/>
      <c r="N817" s="184"/>
      <c r="O817" s="184"/>
      <c r="P817" s="184"/>
      <c r="Q817" s="184"/>
      <c r="R817" s="184"/>
      <c r="S817" s="186"/>
      <c r="T817" s="184">
        <v>0.0</v>
      </c>
    </row>
    <row r="818">
      <c r="A818" s="184"/>
      <c r="B818" s="184"/>
      <c r="C818" s="184"/>
      <c r="D818" s="184"/>
      <c r="E818" s="184"/>
      <c r="F818" s="184"/>
      <c r="G818" s="184"/>
      <c r="H818" s="184"/>
      <c r="I818" s="184"/>
      <c r="J818" s="184"/>
      <c r="K818" s="184"/>
      <c r="L818" s="184"/>
      <c r="M818" s="184"/>
      <c r="N818" s="184"/>
      <c r="O818" s="184"/>
      <c r="P818" s="184"/>
      <c r="Q818" s="184"/>
      <c r="R818" s="184"/>
      <c r="S818" s="186"/>
      <c r="T818" s="184">
        <v>0.0</v>
      </c>
    </row>
    <row r="819">
      <c r="A819" s="184"/>
      <c r="B819" s="184"/>
      <c r="C819" s="184"/>
      <c r="D819" s="184"/>
      <c r="E819" s="184"/>
      <c r="F819" s="184"/>
      <c r="G819" s="184"/>
      <c r="H819" s="184"/>
      <c r="I819" s="184"/>
      <c r="J819" s="184"/>
      <c r="K819" s="184"/>
      <c r="L819" s="184"/>
      <c r="M819" s="184"/>
      <c r="N819" s="184"/>
      <c r="O819" s="184"/>
      <c r="P819" s="184"/>
      <c r="Q819" s="184"/>
      <c r="R819" s="184"/>
      <c r="S819" s="186"/>
      <c r="T819" s="184">
        <v>0.0</v>
      </c>
    </row>
    <row r="820">
      <c r="A820" s="184"/>
      <c r="B820" s="184"/>
      <c r="C820" s="184"/>
      <c r="D820" s="184"/>
      <c r="E820" s="184"/>
      <c r="F820" s="184"/>
      <c r="G820" s="184"/>
      <c r="H820" s="184"/>
      <c r="I820" s="184"/>
      <c r="J820" s="184"/>
      <c r="K820" s="184"/>
      <c r="L820" s="184"/>
      <c r="M820" s="184"/>
      <c r="N820" s="184"/>
      <c r="O820" s="184"/>
      <c r="P820" s="184"/>
      <c r="Q820" s="184"/>
      <c r="R820" s="184"/>
      <c r="S820" s="186"/>
      <c r="T820" s="184">
        <v>0.0</v>
      </c>
    </row>
    <row r="821">
      <c r="A821" s="184"/>
      <c r="B821" s="184"/>
      <c r="C821" s="184"/>
      <c r="D821" s="184"/>
      <c r="E821" s="184"/>
      <c r="F821" s="184"/>
      <c r="G821" s="184"/>
      <c r="H821" s="184"/>
      <c r="I821" s="184"/>
      <c r="J821" s="184"/>
      <c r="K821" s="184"/>
      <c r="L821" s="184"/>
      <c r="M821" s="184"/>
      <c r="N821" s="184"/>
      <c r="O821" s="184"/>
      <c r="P821" s="184"/>
      <c r="Q821" s="184"/>
      <c r="R821" s="184"/>
      <c r="S821" s="186"/>
      <c r="T821" s="184">
        <v>0.0</v>
      </c>
    </row>
    <row r="822">
      <c r="A822" s="184"/>
      <c r="B822" s="184"/>
      <c r="C822" s="184"/>
      <c r="D822" s="184"/>
      <c r="E822" s="184"/>
      <c r="F822" s="184"/>
      <c r="G822" s="184"/>
      <c r="H822" s="184"/>
      <c r="I822" s="184"/>
      <c r="J822" s="184"/>
      <c r="K822" s="184"/>
      <c r="L822" s="184"/>
      <c r="M822" s="184"/>
      <c r="N822" s="184"/>
      <c r="O822" s="184"/>
      <c r="P822" s="184"/>
      <c r="Q822" s="184"/>
      <c r="R822" s="184"/>
      <c r="S822" s="186"/>
      <c r="T822" s="184">
        <v>0.0</v>
      </c>
    </row>
    <row r="823">
      <c r="A823" s="184"/>
      <c r="B823" s="184"/>
      <c r="C823" s="184"/>
      <c r="D823" s="184"/>
      <c r="E823" s="184"/>
      <c r="F823" s="184"/>
      <c r="G823" s="184"/>
      <c r="H823" s="184"/>
      <c r="I823" s="184"/>
      <c r="J823" s="184"/>
      <c r="K823" s="184"/>
      <c r="L823" s="184"/>
      <c r="M823" s="184"/>
      <c r="N823" s="184"/>
      <c r="O823" s="184"/>
      <c r="P823" s="184"/>
      <c r="Q823" s="184"/>
      <c r="R823" s="184"/>
      <c r="S823" s="186"/>
      <c r="T823" s="184">
        <v>0.0</v>
      </c>
    </row>
    <row r="824">
      <c r="A824" s="184"/>
      <c r="B824" s="184"/>
      <c r="C824" s="184"/>
      <c r="D824" s="184"/>
      <c r="E824" s="184"/>
      <c r="F824" s="184"/>
      <c r="G824" s="184"/>
      <c r="H824" s="184"/>
      <c r="I824" s="184"/>
      <c r="J824" s="184"/>
      <c r="K824" s="184"/>
      <c r="L824" s="184"/>
      <c r="M824" s="184"/>
      <c r="N824" s="184"/>
      <c r="O824" s="184"/>
      <c r="P824" s="184"/>
      <c r="Q824" s="184"/>
      <c r="R824" s="184"/>
      <c r="S824" s="186"/>
      <c r="T824" s="184">
        <v>0.0</v>
      </c>
    </row>
    <row r="825">
      <c r="A825" s="184"/>
      <c r="B825" s="184"/>
      <c r="C825" s="184"/>
      <c r="D825" s="184"/>
      <c r="E825" s="184"/>
      <c r="F825" s="184"/>
      <c r="G825" s="184"/>
      <c r="H825" s="184"/>
      <c r="I825" s="184"/>
      <c r="J825" s="184"/>
      <c r="K825" s="184"/>
      <c r="L825" s="184"/>
      <c r="M825" s="184"/>
      <c r="N825" s="184"/>
      <c r="O825" s="184"/>
      <c r="P825" s="184"/>
      <c r="Q825" s="184"/>
      <c r="R825" s="184"/>
      <c r="S825" s="186"/>
      <c r="T825" s="184">
        <v>0.0</v>
      </c>
    </row>
    <row r="826">
      <c r="A826" s="184"/>
      <c r="B826" s="184"/>
      <c r="C826" s="184"/>
      <c r="D826" s="184"/>
      <c r="E826" s="184"/>
      <c r="F826" s="184"/>
      <c r="G826" s="184"/>
      <c r="H826" s="184"/>
      <c r="I826" s="184"/>
      <c r="J826" s="184"/>
      <c r="K826" s="184"/>
      <c r="L826" s="184"/>
      <c r="M826" s="184"/>
      <c r="N826" s="184"/>
      <c r="O826" s="184"/>
      <c r="P826" s="184"/>
      <c r="Q826" s="184"/>
      <c r="R826" s="184"/>
      <c r="S826" s="186"/>
      <c r="T826" s="184">
        <v>0.0</v>
      </c>
    </row>
    <row r="827">
      <c r="A827" s="184"/>
      <c r="B827" s="184"/>
      <c r="C827" s="184"/>
      <c r="D827" s="184"/>
      <c r="E827" s="184"/>
      <c r="F827" s="184"/>
      <c r="G827" s="184"/>
      <c r="H827" s="184"/>
      <c r="I827" s="184"/>
      <c r="J827" s="184"/>
      <c r="K827" s="184"/>
      <c r="L827" s="184"/>
      <c r="M827" s="184"/>
      <c r="N827" s="184"/>
      <c r="O827" s="184"/>
      <c r="P827" s="184"/>
      <c r="Q827" s="184"/>
      <c r="R827" s="184"/>
      <c r="S827" s="186"/>
      <c r="T827" s="184">
        <v>0.0</v>
      </c>
    </row>
    <row r="828">
      <c r="A828" s="184"/>
      <c r="B828" s="184"/>
      <c r="C828" s="184"/>
      <c r="D828" s="184"/>
      <c r="E828" s="184"/>
      <c r="F828" s="184"/>
      <c r="G828" s="184"/>
      <c r="H828" s="184"/>
      <c r="I828" s="184"/>
      <c r="J828" s="184"/>
      <c r="K828" s="184"/>
      <c r="L828" s="184"/>
      <c r="M828" s="184"/>
      <c r="N828" s="184"/>
      <c r="O828" s="184"/>
      <c r="P828" s="184"/>
      <c r="Q828" s="184"/>
      <c r="R828" s="184"/>
      <c r="S828" s="186"/>
      <c r="T828" s="184">
        <v>0.0</v>
      </c>
    </row>
    <row r="829">
      <c r="A829" s="184"/>
      <c r="B829" s="184"/>
      <c r="C829" s="184"/>
      <c r="D829" s="184"/>
      <c r="E829" s="184"/>
      <c r="F829" s="184"/>
      <c r="G829" s="184"/>
      <c r="H829" s="184"/>
      <c r="I829" s="184"/>
      <c r="J829" s="184"/>
      <c r="K829" s="184"/>
      <c r="L829" s="184"/>
      <c r="M829" s="184"/>
      <c r="N829" s="184"/>
      <c r="O829" s="184"/>
      <c r="P829" s="184"/>
      <c r="Q829" s="184"/>
      <c r="R829" s="184"/>
      <c r="S829" s="186"/>
      <c r="T829" s="184">
        <v>0.0</v>
      </c>
    </row>
    <row r="830">
      <c r="A830" s="184"/>
      <c r="B830" s="184"/>
      <c r="C830" s="184"/>
      <c r="D830" s="184"/>
      <c r="E830" s="184"/>
      <c r="F830" s="184"/>
      <c r="G830" s="184"/>
      <c r="H830" s="184"/>
      <c r="I830" s="184"/>
      <c r="J830" s="184"/>
      <c r="K830" s="184"/>
      <c r="L830" s="184"/>
      <c r="M830" s="184"/>
      <c r="N830" s="184"/>
      <c r="O830" s="184"/>
      <c r="P830" s="184"/>
      <c r="Q830" s="184"/>
      <c r="R830" s="184"/>
      <c r="S830" s="186"/>
      <c r="T830" s="184">
        <v>0.0</v>
      </c>
    </row>
    <row r="831">
      <c r="A831" s="184"/>
      <c r="B831" s="184"/>
      <c r="C831" s="184"/>
      <c r="D831" s="184"/>
      <c r="E831" s="184"/>
      <c r="F831" s="184"/>
      <c r="G831" s="184"/>
      <c r="H831" s="184"/>
      <c r="I831" s="184"/>
      <c r="J831" s="184"/>
      <c r="K831" s="184"/>
      <c r="L831" s="184"/>
      <c r="M831" s="184"/>
      <c r="N831" s="184"/>
      <c r="O831" s="184"/>
      <c r="P831" s="184"/>
      <c r="Q831" s="184"/>
      <c r="R831" s="184"/>
      <c r="S831" s="186"/>
      <c r="T831" s="184">
        <v>0.0</v>
      </c>
    </row>
    <row r="832">
      <c r="A832" s="184"/>
      <c r="B832" s="184"/>
      <c r="C832" s="184"/>
      <c r="D832" s="184"/>
      <c r="E832" s="184"/>
      <c r="F832" s="184"/>
      <c r="G832" s="184"/>
      <c r="H832" s="184"/>
      <c r="I832" s="184"/>
      <c r="J832" s="184"/>
      <c r="K832" s="184"/>
      <c r="L832" s="184"/>
      <c r="M832" s="184"/>
      <c r="N832" s="184"/>
      <c r="O832" s="184"/>
      <c r="P832" s="184"/>
      <c r="Q832" s="184"/>
      <c r="R832" s="184"/>
      <c r="S832" s="186"/>
      <c r="T832" s="184">
        <v>0.0</v>
      </c>
    </row>
    <row r="833">
      <c r="A833" s="184"/>
      <c r="B833" s="184"/>
      <c r="C833" s="184"/>
      <c r="D833" s="184"/>
      <c r="E833" s="184"/>
      <c r="F833" s="184"/>
      <c r="G833" s="184"/>
      <c r="H833" s="184"/>
      <c r="I833" s="184"/>
      <c r="J833" s="184"/>
      <c r="K833" s="184"/>
      <c r="L833" s="184"/>
      <c r="M833" s="184"/>
      <c r="N833" s="184"/>
      <c r="O833" s="184"/>
      <c r="P833" s="184"/>
      <c r="Q833" s="184"/>
      <c r="R833" s="184"/>
      <c r="S833" s="186"/>
      <c r="T833" s="184">
        <v>0.0</v>
      </c>
    </row>
    <row r="834">
      <c r="A834" s="184"/>
      <c r="B834" s="184"/>
      <c r="C834" s="184"/>
      <c r="D834" s="184"/>
      <c r="E834" s="184"/>
      <c r="F834" s="184"/>
      <c r="G834" s="184"/>
      <c r="H834" s="184"/>
      <c r="I834" s="184"/>
      <c r="J834" s="184"/>
      <c r="K834" s="184"/>
      <c r="L834" s="184"/>
      <c r="M834" s="184"/>
      <c r="N834" s="184"/>
      <c r="O834" s="184"/>
      <c r="P834" s="184"/>
      <c r="Q834" s="184"/>
      <c r="R834" s="184"/>
      <c r="S834" s="186"/>
      <c r="T834" s="184">
        <v>0.0</v>
      </c>
    </row>
    <row r="835">
      <c r="A835" s="184"/>
      <c r="B835" s="184"/>
      <c r="C835" s="184"/>
      <c r="D835" s="184"/>
      <c r="E835" s="184"/>
      <c r="F835" s="184"/>
      <c r="G835" s="184"/>
      <c r="H835" s="184"/>
      <c r="I835" s="184"/>
      <c r="J835" s="184"/>
      <c r="K835" s="184"/>
      <c r="L835" s="184"/>
      <c r="M835" s="184"/>
      <c r="N835" s="184"/>
      <c r="O835" s="184"/>
      <c r="P835" s="184"/>
      <c r="Q835" s="184"/>
      <c r="R835" s="184"/>
      <c r="S835" s="186"/>
      <c r="T835" s="184">
        <v>0.0</v>
      </c>
    </row>
    <row r="836">
      <c r="A836" s="184"/>
      <c r="B836" s="184"/>
      <c r="C836" s="184"/>
      <c r="D836" s="184"/>
      <c r="E836" s="184"/>
      <c r="F836" s="184"/>
      <c r="G836" s="184"/>
      <c r="H836" s="184"/>
      <c r="I836" s="184"/>
      <c r="J836" s="184"/>
      <c r="K836" s="184"/>
      <c r="L836" s="184"/>
      <c r="M836" s="184"/>
      <c r="N836" s="184"/>
      <c r="O836" s="184"/>
      <c r="P836" s="184"/>
      <c r="Q836" s="184"/>
      <c r="R836" s="184"/>
      <c r="S836" s="186"/>
      <c r="T836" s="184">
        <v>0.0</v>
      </c>
    </row>
    <row r="837">
      <c r="A837" s="184"/>
      <c r="B837" s="184"/>
      <c r="C837" s="184"/>
      <c r="D837" s="184"/>
      <c r="E837" s="184"/>
      <c r="F837" s="184"/>
      <c r="G837" s="184"/>
      <c r="H837" s="184"/>
      <c r="I837" s="184"/>
      <c r="J837" s="184"/>
      <c r="K837" s="184"/>
      <c r="L837" s="184"/>
      <c r="M837" s="184"/>
      <c r="N837" s="184"/>
      <c r="O837" s="184"/>
      <c r="P837" s="184"/>
      <c r="Q837" s="184"/>
      <c r="R837" s="184"/>
      <c r="S837" s="186"/>
      <c r="T837" s="184">
        <v>0.0</v>
      </c>
    </row>
    <row r="838">
      <c r="A838" s="184"/>
      <c r="B838" s="184"/>
      <c r="C838" s="184"/>
      <c r="D838" s="184"/>
      <c r="E838" s="184"/>
      <c r="F838" s="184"/>
      <c r="G838" s="184"/>
      <c r="H838" s="184"/>
      <c r="I838" s="184"/>
      <c r="J838" s="184"/>
      <c r="K838" s="184"/>
      <c r="L838" s="184"/>
      <c r="M838" s="184"/>
      <c r="N838" s="184"/>
      <c r="O838" s="184"/>
      <c r="P838" s="184"/>
      <c r="Q838" s="184"/>
      <c r="R838" s="184"/>
      <c r="S838" s="186"/>
      <c r="T838" s="184">
        <v>0.0</v>
      </c>
    </row>
    <row r="839">
      <c r="A839" s="184"/>
      <c r="B839" s="184"/>
      <c r="C839" s="184"/>
      <c r="D839" s="184"/>
      <c r="E839" s="184"/>
      <c r="F839" s="184"/>
      <c r="G839" s="184"/>
      <c r="H839" s="184"/>
      <c r="I839" s="184"/>
      <c r="J839" s="184"/>
      <c r="K839" s="184"/>
      <c r="L839" s="184"/>
      <c r="M839" s="184"/>
      <c r="N839" s="184"/>
      <c r="O839" s="184"/>
      <c r="P839" s="184"/>
      <c r="Q839" s="184"/>
      <c r="R839" s="184"/>
      <c r="S839" s="186"/>
      <c r="T839" s="184">
        <v>0.0</v>
      </c>
    </row>
    <row r="840">
      <c r="A840" s="184"/>
      <c r="B840" s="184"/>
      <c r="C840" s="184"/>
      <c r="D840" s="184"/>
      <c r="E840" s="184"/>
      <c r="F840" s="184"/>
      <c r="G840" s="184"/>
      <c r="H840" s="184"/>
      <c r="I840" s="184"/>
      <c r="J840" s="184"/>
      <c r="K840" s="184"/>
      <c r="L840" s="184"/>
      <c r="M840" s="184"/>
      <c r="N840" s="184"/>
      <c r="O840" s="184"/>
      <c r="P840" s="184"/>
      <c r="Q840" s="184"/>
      <c r="R840" s="184"/>
      <c r="S840" s="186"/>
      <c r="T840" s="184">
        <v>0.0</v>
      </c>
    </row>
    <row r="841">
      <c r="A841" s="184"/>
      <c r="B841" s="184"/>
      <c r="C841" s="184"/>
      <c r="D841" s="184"/>
      <c r="E841" s="184"/>
      <c r="F841" s="184"/>
      <c r="G841" s="184"/>
      <c r="H841" s="184"/>
      <c r="I841" s="184"/>
      <c r="J841" s="184"/>
      <c r="K841" s="184"/>
      <c r="L841" s="184"/>
      <c r="M841" s="184"/>
      <c r="N841" s="184"/>
      <c r="O841" s="184"/>
      <c r="P841" s="184"/>
      <c r="Q841" s="184"/>
      <c r="R841" s="184"/>
      <c r="S841" s="186"/>
      <c r="T841" s="184">
        <v>0.0</v>
      </c>
    </row>
    <row r="842">
      <c r="A842" s="184"/>
      <c r="B842" s="184"/>
      <c r="C842" s="184"/>
      <c r="D842" s="184"/>
      <c r="E842" s="184"/>
      <c r="F842" s="184"/>
      <c r="G842" s="184"/>
      <c r="H842" s="184"/>
      <c r="I842" s="184"/>
      <c r="J842" s="184"/>
      <c r="K842" s="184"/>
      <c r="L842" s="184"/>
      <c r="M842" s="184"/>
      <c r="N842" s="184"/>
      <c r="O842" s="184"/>
      <c r="P842" s="184"/>
      <c r="Q842" s="184"/>
      <c r="R842" s="184"/>
      <c r="S842" s="186"/>
      <c r="T842" s="184">
        <v>0.0</v>
      </c>
    </row>
    <row r="843">
      <c r="A843" s="184"/>
      <c r="B843" s="184"/>
      <c r="C843" s="184"/>
      <c r="D843" s="184"/>
      <c r="E843" s="184"/>
      <c r="F843" s="184"/>
      <c r="G843" s="184"/>
      <c r="H843" s="184"/>
      <c r="I843" s="184"/>
      <c r="J843" s="184"/>
      <c r="K843" s="184"/>
      <c r="L843" s="184"/>
      <c r="M843" s="184"/>
      <c r="N843" s="184"/>
      <c r="O843" s="184"/>
      <c r="P843" s="184"/>
      <c r="Q843" s="184"/>
      <c r="R843" s="184"/>
      <c r="S843" s="186"/>
      <c r="T843" s="184">
        <v>0.0</v>
      </c>
    </row>
    <row r="844">
      <c r="A844" s="184"/>
      <c r="B844" s="184"/>
      <c r="C844" s="184"/>
      <c r="D844" s="184"/>
      <c r="E844" s="184"/>
      <c r="F844" s="184"/>
      <c r="G844" s="184"/>
      <c r="H844" s="184"/>
      <c r="I844" s="184"/>
      <c r="J844" s="184"/>
      <c r="K844" s="184"/>
      <c r="L844" s="184"/>
      <c r="M844" s="184"/>
      <c r="N844" s="184"/>
      <c r="O844" s="184"/>
      <c r="P844" s="184"/>
      <c r="Q844" s="184"/>
      <c r="R844" s="184"/>
      <c r="S844" s="186"/>
      <c r="T844" s="184">
        <v>0.0</v>
      </c>
    </row>
    <row r="845">
      <c r="A845" s="184"/>
      <c r="B845" s="184"/>
      <c r="C845" s="184"/>
      <c r="D845" s="184"/>
      <c r="E845" s="184"/>
      <c r="F845" s="184"/>
      <c r="G845" s="184"/>
      <c r="H845" s="184"/>
      <c r="I845" s="184"/>
      <c r="J845" s="184"/>
      <c r="K845" s="184"/>
      <c r="L845" s="184"/>
      <c r="M845" s="184"/>
      <c r="N845" s="184"/>
      <c r="O845" s="184"/>
      <c r="P845" s="184"/>
      <c r="Q845" s="184"/>
      <c r="R845" s="184"/>
      <c r="S845" s="186"/>
      <c r="T845" s="184">
        <v>0.0</v>
      </c>
    </row>
    <row r="846">
      <c r="A846" s="184"/>
      <c r="B846" s="184"/>
      <c r="C846" s="184"/>
      <c r="D846" s="184"/>
      <c r="E846" s="184"/>
      <c r="F846" s="184"/>
      <c r="G846" s="184"/>
      <c r="H846" s="184"/>
      <c r="I846" s="184"/>
      <c r="J846" s="184"/>
      <c r="K846" s="184"/>
      <c r="L846" s="184"/>
      <c r="M846" s="184"/>
      <c r="N846" s="184"/>
      <c r="O846" s="184"/>
      <c r="P846" s="184"/>
      <c r="Q846" s="184"/>
      <c r="R846" s="184"/>
      <c r="S846" s="186"/>
      <c r="T846" s="184">
        <v>0.0</v>
      </c>
    </row>
    <row r="847">
      <c r="A847" s="184"/>
      <c r="B847" s="184"/>
      <c r="C847" s="184"/>
      <c r="D847" s="184"/>
      <c r="E847" s="184"/>
      <c r="F847" s="184"/>
      <c r="G847" s="184"/>
      <c r="H847" s="184"/>
      <c r="I847" s="184"/>
      <c r="J847" s="184"/>
      <c r="K847" s="184"/>
      <c r="L847" s="184"/>
      <c r="M847" s="184"/>
      <c r="N847" s="184"/>
      <c r="O847" s="184"/>
      <c r="P847" s="184"/>
      <c r="Q847" s="184"/>
      <c r="R847" s="184"/>
      <c r="S847" s="186"/>
      <c r="T847" s="184">
        <v>0.0</v>
      </c>
    </row>
    <row r="848">
      <c r="A848" s="184"/>
      <c r="B848" s="184"/>
      <c r="C848" s="184"/>
      <c r="D848" s="184"/>
      <c r="E848" s="184"/>
      <c r="F848" s="184"/>
      <c r="G848" s="184"/>
      <c r="H848" s="184"/>
      <c r="I848" s="184"/>
      <c r="J848" s="184"/>
      <c r="K848" s="184"/>
      <c r="L848" s="184"/>
      <c r="M848" s="184"/>
      <c r="N848" s="184"/>
      <c r="O848" s="184"/>
      <c r="P848" s="184"/>
      <c r="Q848" s="184"/>
      <c r="R848" s="184"/>
      <c r="S848" s="186"/>
      <c r="T848" s="184">
        <v>0.0</v>
      </c>
    </row>
    <row r="849">
      <c r="A849" s="184"/>
      <c r="B849" s="184"/>
      <c r="C849" s="184"/>
      <c r="D849" s="184"/>
      <c r="E849" s="184"/>
      <c r="F849" s="184"/>
      <c r="G849" s="184"/>
      <c r="H849" s="184"/>
      <c r="I849" s="184"/>
      <c r="J849" s="184"/>
      <c r="K849" s="184"/>
      <c r="L849" s="184"/>
      <c r="M849" s="184"/>
      <c r="N849" s="184"/>
      <c r="O849" s="184"/>
      <c r="P849" s="184"/>
      <c r="Q849" s="184"/>
      <c r="R849" s="184"/>
      <c r="S849" s="186"/>
      <c r="T849" s="184">
        <v>0.0</v>
      </c>
    </row>
    <row r="850">
      <c r="A850" s="184"/>
      <c r="B850" s="184"/>
      <c r="C850" s="184"/>
      <c r="D850" s="184"/>
      <c r="E850" s="184"/>
      <c r="F850" s="184"/>
      <c r="G850" s="184"/>
      <c r="H850" s="184"/>
      <c r="I850" s="184"/>
      <c r="J850" s="184"/>
      <c r="K850" s="184"/>
      <c r="L850" s="184"/>
      <c r="M850" s="184"/>
      <c r="N850" s="184"/>
      <c r="O850" s="184"/>
      <c r="P850" s="184"/>
      <c r="Q850" s="184"/>
      <c r="R850" s="184"/>
      <c r="S850" s="186"/>
      <c r="T850" s="184">
        <v>0.0</v>
      </c>
    </row>
    <row r="851">
      <c r="A851" s="184"/>
      <c r="B851" s="184"/>
      <c r="C851" s="184"/>
      <c r="D851" s="184"/>
      <c r="E851" s="184"/>
      <c r="F851" s="184"/>
      <c r="G851" s="184"/>
      <c r="H851" s="184"/>
      <c r="I851" s="184"/>
      <c r="J851" s="184"/>
      <c r="K851" s="184"/>
      <c r="L851" s="184"/>
      <c r="M851" s="184"/>
      <c r="N851" s="184"/>
      <c r="O851" s="184"/>
      <c r="P851" s="184"/>
      <c r="Q851" s="184"/>
      <c r="R851" s="184"/>
      <c r="S851" s="186"/>
      <c r="T851" s="184">
        <v>0.0</v>
      </c>
    </row>
    <row r="852">
      <c r="A852" s="184"/>
      <c r="B852" s="184"/>
      <c r="C852" s="184"/>
      <c r="D852" s="184"/>
      <c r="E852" s="184"/>
      <c r="F852" s="184"/>
      <c r="G852" s="184"/>
      <c r="H852" s="184"/>
      <c r="I852" s="184"/>
      <c r="J852" s="184"/>
      <c r="K852" s="184"/>
      <c r="L852" s="184"/>
      <c r="M852" s="184"/>
      <c r="N852" s="184"/>
      <c r="O852" s="184"/>
      <c r="P852" s="184"/>
      <c r="Q852" s="184"/>
      <c r="R852" s="184"/>
      <c r="S852" s="186"/>
      <c r="T852" s="184">
        <v>0.0</v>
      </c>
    </row>
    <row r="853">
      <c r="A853" s="184"/>
      <c r="B853" s="184"/>
      <c r="C853" s="184"/>
      <c r="D853" s="184"/>
      <c r="E853" s="184"/>
      <c r="F853" s="184"/>
      <c r="G853" s="184"/>
      <c r="H853" s="184"/>
      <c r="I853" s="184"/>
      <c r="J853" s="184"/>
      <c r="K853" s="184"/>
      <c r="L853" s="184"/>
      <c r="M853" s="184"/>
      <c r="N853" s="184"/>
      <c r="O853" s="184"/>
      <c r="P853" s="184"/>
      <c r="Q853" s="184"/>
      <c r="R853" s="184"/>
      <c r="S853" s="186"/>
      <c r="T853" s="184">
        <v>0.0</v>
      </c>
    </row>
    <row r="854">
      <c r="A854" s="184"/>
      <c r="B854" s="184"/>
      <c r="C854" s="184"/>
      <c r="D854" s="184"/>
      <c r="E854" s="184"/>
      <c r="F854" s="184"/>
      <c r="G854" s="184"/>
      <c r="H854" s="184"/>
      <c r="I854" s="184"/>
      <c r="J854" s="184"/>
      <c r="K854" s="184"/>
      <c r="L854" s="184"/>
      <c r="M854" s="184"/>
      <c r="N854" s="184"/>
      <c r="O854" s="184"/>
      <c r="P854" s="184"/>
      <c r="Q854" s="184"/>
      <c r="R854" s="184"/>
      <c r="S854" s="186"/>
      <c r="T854" s="184">
        <v>0.0</v>
      </c>
    </row>
    <row r="855">
      <c r="A855" s="184"/>
      <c r="B855" s="184"/>
      <c r="C855" s="184"/>
      <c r="D855" s="184"/>
      <c r="E855" s="184"/>
      <c r="F855" s="184"/>
      <c r="G855" s="184"/>
      <c r="H855" s="184"/>
      <c r="I855" s="184"/>
      <c r="J855" s="184"/>
      <c r="K855" s="184"/>
      <c r="L855" s="184"/>
      <c r="M855" s="184"/>
      <c r="N855" s="184"/>
      <c r="O855" s="184"/>
      <c r="P855" s="184"/>
      <c r="Q855" s="184"/>
      <c r="R855" s="184"/>
      <c r="S855" s="186"/>
      <c r="T855" s="184">
        <v>0.0</v>
      </c>
    </row>
    <row r="856">
      <c r="A856" s="184"/>
      <c r="B856" s="184"/>
      <c r="C856" s="184"/>
      <c r="D856" s="184"/>
      <c r="E856" s="184"/>
      <c r="F856" s="184"/>
      <c r="G856" s="184"/>
      <c r="H856" s="184"/>
      <c r="I856" s="184"/>
      <c r="J856" s="184"/>
      <c r="K856" s="184"/>
      <c r="L856" s="184"/>
      <c r="M856" s="184"/>
      <c r="N856" s="184"/>
      <c r="O856" s="184"/>
      <c r="P856" s="184"/>
      <c r="Q856" s="184"/>
      <c r="R856" s="184"/>
      <c r="S856" s="186"/>
      <c r="T856" s="184">
        <v>0.0</v>
      </c>
    </row>
    <row r="857">
      <c r="A857" s="184"/>
      <c r="B857" s="184"/>
      <c r="C857" s="184"/>
      <c r="D857" s="184"/>
      <c r="E857" s="184"/>
      <c r="F857" s="184"/>
      <c r="G857" s="184"/>
      <c r="H857" s="184"/>
      <c r="I857" s="184"/>
      <c r="J857" s="184"/>
      <c r="K857" s="184"/>
      <c r="L857" s="184"/>
      <c r="M857" s="184"/>
      <c r="N857" s="184"/>
      <c r="O857" s="184"/>
      <c r="P857" s="184"/>
      <c r="Q857" s="184"/>
      <c r="R857" s="184"/>
      <c r="S857" s="186"/>
      <c r="T857" s="184">
        <v>0.0</v>
      </c>
    </row>
    <row r="858">
      <c r="A858" s="184"/>
      <c r="B858" s="184"/>
      <c r="C858" s="184"/>
      <c r="D858" s="184"/>
      <c r="E858" s="184"/>
      <c r="F858" s="184"/>
      <c r="G858" s="184"/>
      <c r="H858" s="184"/>
      <c r="I858" s="184"/>
      <c r="J858" s="184"/>
      <c r="K858" s="184"/>
      <c r="L858" s="184"/>
      <c r="M858" s="184"/>
      <c r="N858" s="184"/>
      <c r="O858" s="184"/>
      <c r="P858" s="184"/>
      <c r="Q858" s="184"/>
      <c r="R858" s="184"/>
      <c r="S858" s="186"/>
      <c r="T858" s="184">
        <v>0.0</v>
      </c>
    </row>
    <row r="859">
      <c r="A859" s="184"/>
      <c r="B859" s="184"/>
      <c r="C859" s="184"/>
      <c r="D859" s="184"/>
      <c r="E859" s="184"/>
      <c r="F859" s="184"/>
      <c r="G859" s="184"/>
      <c r="H859" s="184"/>
      <c r="I859" s="184"/>
      <c r="J859" s="184"/>
      <c r="K859" s="184"/>
      <c r="L859" s="184"/>
      <c r="M859" s="184"/>
      <c r="N859" s="184"/>
      <c r="O859" s="184"/>
      <c r="P859" s="184"/>
      <c r="Q859" s="184"/>
      <c r="R859" s="184"/>
      <c r="S859" s="186"/>
      <c r="T859" s="184">
        <v>0.0</v>
      </c>
    </row>
    <row r="860">
      <c r="A860" s="184"/>
      <c r="B860" s="184"/>
      <c r="C860" s="184"/>
      <c r="D860" s="184"/>
      <c r="E860" s="184"/>
      <c r="F860" s="184"/>
      <c r="G860" s="184"/>
      <c r="H860" s="184"/>
      <c r="I860" s="184"/>
      <c r="J860" s="184"/>
      <c r="K860" s="184"/>
      <c r="L860" s="184"/>
      <c r="M860" s="184"/>
      <c r="N860" s="184"/>
      <c r="O860" s="184"/>
      <c r="P860" s="184"/>
      <c r="Q860" s="184"/>
      <c r="R860" s="184"/>
      <c r="S860" s="186"/>
      <c r="T860" s="184">
        <v>0.0</v>
      </c>
    </row>
    <row r="861">
      <c r="A861" s="184"/>
      <c r="B861" s="184"/>
      <c r="C861" s="184"/>
      <c r="D861" s="184"/>
      <c r="E861" s="184"/>
      <c r="F861" s="184"/>
      <c r="G861" s="184"/>
      <c r="H861" s="184"/>
      <c r="I861" s="184"/>
      <c r="J861" s="184"/>
      <c r="K861" s="184"/>
      <c r="L861" s="184"/>
      <c r="M861" s="184"/>
      <c r="N861" s="184"/>
      <c r="O861" s="184"/>
      <c r="P861" s="184"/>
      <c r="Q861" s="184"/>
      <c r="R861" s="184"/>
      <c r="S861" s="186"/>
      <c r="T861" s="184">
        <v>0.0</v>
      </c>
    </row>
    <row r="862">
      <c r="A862" s="184"/>
      <c r="B862" s="184"/>
      <c r="C862" s="184"/>
      <c r="D862" s="184"/>
      <c r="E862" s="184"/>
      <c r="F862" s="184"/>
      <c r="G862" s="184"/>
      <c r="H862" s="184"/>
      <c r="I862" s="184"/>
      <c r="J862" s="184"/>
      <c r="K862" s="184"/>
      <c r="L862" s="184"/>
      <c r="M862" s="184"/>
      <c r="N862" s="184"/>
      <c r="O862" s="184"/>
      <c r="P862" s="184"/>
      <c r="Q862" s="184"/>
      <c r="R862" s="184"/>
      <c r="S862" s="186"/>
      <c r="T862" s="184">
        <v>0.0</v>
      </c>
    </row>
    <row r="863">
      <c r="A863" s="184"/>
      <c r="B863" s="184"/>
      <c r="C863" s="184"/>
      <c r="D863" s="184"/>
      <c r="E863" s="184"/>
      <c r="F863" s="184"/>
      <c r="G863" s="184"/>
      <c r="H863" s="184"/>
      <c r="I863" s="184"/>
      <c r="J863" s="184"/>
      <c r="K863" s="184"/>
      <c r="L863" s="184"/>
      <c r="M863" s="184"/>
      <c r="N863" s="184"/>
      <c r="O863" s="184"/>
      <c r="P863" s="184"/>
      <c r="Q863" s="184"/>
      <c r="R863" s="184"/>
      <c r="S863" s="186"/>
      <c r="T863" s="184">
        <v>0.0</v>
      </c>
    </row>
    <row r="864">
      <c r="A864" s="184"/>
      <c r="B864" s="184"/>
      <c r="C864" s="184"/>
      <c r="D864" s="184"/>
      <c r="E864" s="184"/>
      <c r="F864" s="184"/>
      <c r="G864" s="184"/>
      <c r="H864" s="184"/>
      <c r="I864" s="184"/>
      <c r="J864" s="184"/>
      <c r="K864" s="184"/>
      <c r="L864" s="184"/>
      <c r="M864" s="184"/>
      <c r="N864" s="184"/>
      <c r="O864" s="184"/>
      <c r="P864" s="184"/>
      <c r="Q864" s="184"/>
      <c r="R864" s="184"/>
      <c r="S864" s="186"/>
      <c r="T864" s="184">
        <v>0.0</v>
      </c>
    </row>
    <row r="865">
      <c r="A865" s="184"/>
      <c r="B865" s="184"/>
      <c r="C865" s="184"/>
      <c r="D865" s="184"/>
      <c r="E865" s="184"/>
      <c r="F865" s="184"/>
      <c r="G865" s="184"/>
      <c r="H865" s="184"/>
      <c r="I865" s="184"/>
      <c r="J865" s="184"/>
      <c r="K865" s="184"/>
      <c r="L865" s="184"/>
      <c r="M865" s="184"/>
      <c r="N865" s="184"/>
      <c r="O865" s="184"/>
      <c r="P865" s="184"/>
      <c r="Q865" s="184"/>
      <c r="R865" s="184"/>
      <c r="S865" s="186"/>
      <c r="T865" s="184">
        <v>0.0</v>
      </c>
    </row>
    <row r="866">
      <c r="A866" s="184"/>
      <c r="B866" s="184"/>
      <c r="C866" s="184"/>
      <c r="D866" s="184"/>
      <c r="E866" s="184"/>
      <c r="F866" s="184"/>
      <c r="G866" s="184"/>
      <c r="H866" s="184"/>
      <c r="I866" s="184"/>
      <c r="J866" s="184"/>
      <c r="K866" s="184"/>
      <c r="L866" s="184"/>
      <c r="M866" s="184"/>
      <c r="N866" s="184"/>
      <c r="O866" s="184"/>
      <c r="P866" s="184"/>
      <c r="Q866" s="184"/>
      <c r="R866" s="184"/>
      <c r="S866" s="186"/>
      <c r="T866" s="184">
        <v>0.0</v>
      </c>
    </row>
    <row r="867">
      <c r="A867" s="184"/>
      <c r="B867" s="184"/>
      <c r="C867" s="184"/>
      <c r="D867" s="184"/>
      <c r="E867" s="184"/>
      <c r="F867" s="184"/>
      <c r="G867" s="184"/>
      <c r="H867" s="184"/>
      <c r="I867" s="184"/>
      <c r="J867" s="184"/>
      <c r="K867" s="184"/>
      <c r="L867" s="184"/>
      <c r="M867" s="184"/>
      <c r="N867" s="184"/>
      <c r="O867" s="184"/>
      <c r="P867" s="184"/>
      <c r="Q867" s="184"/>
      <c r="R867" s="184"/>
      <c r="S867" s="186"/>
      <c r="T867" s="184">
        <v>0.0</v>
      </c>
    </row>
    <row r="868">
      <c r="A868" s="184"/>
      <c r="B868" s="184"/>
      <c r="C868" s="184"/>
      <c r="D868" s="184"/>
      <c r="E868" s="184"/>
      <c r="F868" s="184"/>
      <c r="G868" s="184"/>
      <c r="H868" s="184"/>
      <c r="I868" s="184"/>
      <c r="J868" s="184"/>
      <c r="K868" s="184"/>
      <c r="L868" s="184"/>
      <c r="M868" s="184"/>
      <c r="N868" s="184"/>
      <c r="O868" s="184"/>
      <c r="P868" s="184"/>
      <c r="Q868" s="184"/>
      <c r="R868" s="184"/>
      <c r="S868" s="186"/>
      <c r="T868" s="184">
        <v>0.0</v>
      </c>
    </row>
    <row r="869">
      <c r="A869" s="184"/>
      <c r="B869" s="184"/>
      <c r="C869" s="184"/>
      <c r="D869" s="184"/>
      <c r="E869" s="184"/>
      <c r="F869" s="184"/>
      <c r="G869" s="184"/>
      <c r="H869" s="184"/>
      <c r="I869" s="184"/>
      <c r="J869" s="184"/>
      <c r="K869" s="184"/>
      <c r="L869" s="184"/>
      <c r="M869" s="184"/>
      <c r="N869" s="184"/>
      <c r="O869" s="184"/>
      <c r="P869" s="184"/>
      <c r="Q869" s="184"/>
      <c r="R869" s="184"/>
      <c r="S869" s="186"/>
      <c r="T869" s="184">
        <v>0.0</v>
      </c>
    </row>
    <row r="870">
      <c r="A870" s="184"/>
      <c r="B870" s="184"/>
      <c r="C870" s="184"/>
      <c r="D870" s="184"/>
      <c r="E870" s="184"/>
      <c r="F870" s="184"/>
      <c r="G870" s="184"/>
      <c r="H870" s="184"/>
      <c r="I870" s="184"/>
      <c r="J870" s="184"/>
      <c r="K870" s="184"/>
      <c r="L870" s="184"/>
      <c r="M870" s="184"/>
      <c r="N870" s="184"/>
      <c r="O870" s="184"/>
      <c r="P870" s="184"/>
      <c r="Q870" s="184"/>
      <c r="R870" s="184"/>
      <c r="S870" s="186"/>
      <c r="T870" s="184">
        <v>0.0</v>
      </c>
    </row>
    <row r="871">
      <c r="A871" s="184"/>
      <c r="B871" s="184"/>
      <c r="C871" s="184"/>
      <c r="D871" s="184"/>
      <c r="E871" s="184"/>
      <c r="F871" s="184"/>
      <c r="G871" s="184"/>
      <c r="H871" s="184"/>
      <c r="I871" s="184"/>
      <c r="J871" s="184"/>
      <c r="K871" s="184"/>
      <c r="L871" s="184"/>
      <c r="M871" s="184"/>
      <c r="N871" s="184"/>
      <c r="O871" s="184"/>
      <c r="P871" s="184"/>
      <c r="Q871" s="184"/>
      <c r="R871" s="184"/>
      <c r="S871" s="186"/>
      <c r="T871" s="184">
        <v>0.0</v>
      </c>
    </row>
    <row r="872">
      <c r="A872" s="184"/>
      <c r="B872" s="184"/>
      <c r="C872" s="184"/>
      <c r="D872" s="184"/>
      <c r="E872" s="184"/>
      <c r="F872" s="184"/>
      <c r="G872" s="184"/>
      <c r="H872" s="184"/>
      <c r="I872" s="184"/>
      <c r="J872" s="184"/>
      <c r="K872" s="184"/>
      <c r="L872" s="184"/>
      <c r="M872" s="184"/>
      <c r="N872" s="184"/>
      <c r="O872" s="184"/>
      <c r="P872" s="184"/>
      <c r="Q872" s="184"/>
      <c r="R872" s="184"/>
      <c r="S872" s="186"/>
      <c r="T872" s="184">
        <v>0.0</v>
      </c>
    </row>
    <row r="873">
      <c r="A873" s="184"/>
      <c r="B873" s="184"/>
      <c r="C873" s="184"/>
      <c r="D873" s="184"/>
      <c r="E873" s="184"/>
      <c r="F873" s="184"/>
      <c r="G873" s="184"/>
      <c r="H873" s="184"/>
      <c r="I873" s="184"/>
      <c r="J873" s="184"/>
      <c r="K873" s="184"/>
      <c r="L873" s="184"/>
      <c r="M873" s="184"/>
      <c r="N873" s="184"/>
      <c r="O873" s="184"/>
      <c r="P873" s="184"/>
      <c r="Q873" s="184"/>
      <c r="R873" s="184"/>
      <c r="S873" s="186"/>
      <c r="T873" s="184">
        <v>0.0</v>
      </c>
    </row>
    <row r="874">
      <c r="A874" s="184"/>
      <c r="B874" s="184"/>
      <c r="C874" s="184"/>
      <c r="D874" s="184"/>
      <c r="E874" s="184"/>
      <c r="F874" s="184"/>
      <c r="G874" s="184"/>
      <c r="H874" s="184"/>
      <c r="I874" s="184"/>
      <c r="J874" s="184"/>
      <c r="K874" s="184"/>
      <c r="L874" s="184"/>
      <c r="M874" s="184"/>
      <c r="N874" s="184"/>
      <c r="O874" s="184"/>
      <c r="P874" s="184"/>
      <c r="Q874" s="184"/>
      <c r="R874" s="184"/>
      <c r="S874" s="186"/>
      <c r="T874" s="184">
        <v>0.0</v>
      </c>
    </row>
    <row r="875">
      <c r="A875" s="184"/>
      <c r="B875" s="184"/>
      <c r="C875" s="184"/>
      <c r="D875" s="184"/>
      <c r="E875" s="184"/>
      <c r="F875" s="184"/>
      <c r="G875" s="184"/>
      <c r="H875" s="184"/>
      <c r="I875" s="184"/>
      <c r="J875" s="184"/>
      <c r="K875" s="184"/>
      <c r="L875" s="184"/>
      <c r="M875" s="184"/>
      <c r="N875" s="184"/>
      <c r="O875" s="184"/>
      <c r="P875" s="184"/>
      <c r="Q875" s="184"/>
      <c r="R875" s="184"/>
      <c r="S875" s="186"/>
      <c r="T875" s="184">
        <v>0.0</v>
      </c>
    </row>
    <row r="876">
      <c r="A876" s="184"/>
      <c r="B876" s="184"/>
      <c r="C876" s="184"/>
      <c r="D876" s="184"/>
      <c r="E876" s="184"/>
      <c r="F876" s="184"/>
      <c r="G876" s="184"/>
      <c r="H876" s="184"/>
      <c r="I876" s="184"/>
      <c r="J876" s="184"/>
      <c r="K876" s="184"/>
      <c r="L876" s="184"/>
      <c r="M876" s="184"/>
      <c r="N876" s="184"/>
      <c r="O876" s="184"/>
      <c r="P876" s="184"/>
      <c r="Q876" s="184"/>
      <c r="R876" s="184"/>
      <c r="S876" s="186"/>
      <c r="T876" s="184">
        <v>0.0</v>
      </c>
    </row>
    <row r="877">
      <c r="A877" s="184"/>
      <c r="B877" s="184"/>
      <c r="C877" s="184"/>
      <c r="D877" s="184"/>
      <c r="E877" s="184"/>
      <c r="F877" s="184"/>
      <c r="G877" s="184"/>
      <c r="H877" s="184"/>
      <c r="I877" s="184"/>
      <c r="J877" s="184"/>
      <c r="K877" s="184"/>
      <c r="L877" s="184"/>
      <c r="M877" s="184"/>
      <c r="N877" s="184"/>
      <c r="O877" s="184"/>
      <c r="P877" s="184"/>
      <c r="Q877" s="184"/>
      <c r="R877" s="184"/>
      <c r="S877" s="186"/>
      <c r="T877" s="184">
        <v>0.0</v>
      </c>
    </row>
    <row r="878">
      <c r="A878" s="184"/>
      <c r="B878" s="184"/>
      <c r="C878" s="184"/>
      <c r="D878" s="184"/>
      <c r="E878" s="184"/>
      <c r="F878" s="184"/>
      <c r="G878" s="184"/>
      <c r="H878" s="184"/>
      <c r="I878" s="184"/>
      <c r="J878" s="184"/>
      <c r="K878" s="184"/>
      <c r="L878" s="184"/>
      <c r="M878" s="184"/>
      <c r="N878" s="184"/>
      <c r="O878" s="184"/>
      <c r="P878" s="184"/>
      <c r="Q878" s="184"/>
      <c r="R878" s="184"/>
      <c r="S878" s="186"/>
      <c r="T878" s="184">
        <v>0.0</v>
      </c>
    </row>
    <row r="879">
      <c r="A879" s="184"/>
      <c r="B879" s="184"/>
      <c r="C879" s="184"/>
      <c r="D879" s="184"/>
      <c r="E879" s="184"/>
      <c r="F879" s="184"/>
      <c r="G879" s="184"/>
      <c r="H879" s="184"/>
      <c r="I879" s="184"/>
      <c r="J879" s="184"/>
      <c r="K879" s="184"/>
      <c r="L879" s="184"/>
      <c r="M879" s="184"/>
      <c r="N879" s="184"/>
      <c r="O879" s="184"/>
      <c r="P879" s="184"/>
      <c r="Q879" s="184"/>
      <c r="R879" s="184"/>
      <c r="S879" s="186"/>
      <c r="T879" s="184">
        <v>0.0</v>
      </c>
    </row>
    <row r="880">
      <c r="A880" s="184"/>
      <c r="B880" s="184"/>
      <c r="C880" s="184"/>
      <c r="D880" s="184"/>
      <c r="E880" s="184"/>
      <c r="F880" s="184"/>
      <c r="G880" s="184"/>
      <c r="H880" s="184"/>
      <c r="I880" s="184"/>
      <c r="J880" s="184"/>
      <c r="K880" s="184"/>
      <c r="L880" s="184"/>
      <c r="M880" s="184"/>
      <c r="N880" s="184"/>
      <c r="O880" s="184"/>
      <c r="P880" s="184"/>
      <c r="Q880" s="184"/>
      <c r="R880" s="184"/>
      <c r="S880" s="186"/>
      <c r="T880" s="184">
        <v>0.0</v>
      </c>
    </row>
    <row r="881">
      <c r="A881" s="184"/>
      <c r="B881" s="184"/>
      <c r="C881" s="184"/>
      <c r="D881" s="184"/>
      <c r="E881" s="184"/>
      <c r="F881" s="184"/>
      <c r="G881" s="184"/>
      <c r="H881" s="184"/>
      <c r="I881" s="184"/>
      <c r="J881" s="184"/>
      <c r="K881" s="184"/>
      <c r="L881" s="184"/>
      <c r="M881" s="184"/>
      <c r="N881" s="184"/>
      <c r="O881" s="184"/>
      <c r="P881" s="184"/>
      <c r="Q881" s="184"/>
      <c r="R881" s="184"/>
      <c r="S881" s="186"/>
      <c r="T881" s="184">
        <v>0.0</v>
      </c>
    </row>
    <row r="882">
      <c r="A882" s="184"/>
      <c r="B882" s="184"/>
      <c r="C882" s="184"/>
      <c r="D882" s="184"/>
      <c r="E882" s="184"/>
      <c r="F882" s="184"/>
      <c r="G882" s="184"/>
      <c r="H882" s="184"/>
      <c r="I882" s="184"/>
      <c r="J882" s="184"/>
      <c r="K882" s="184"/>
      <c r="L882" s="184"/>
      <c r="M882" s="184"/>
      <c r="N882" s="184"/>
      <c r="O882" s="184"/>
      <c r="P882" s="184"/>
      <c r="Q882" s="184"/>
      <c r="R882" s="184"/>
      <c r="S882" s="186"/>
      <c r="T882" s="184">
        <v>0.0</v>
      </c>
    </row>
    <row r="883">
      <c r="A883" s="184"/>
      <c r="B883" s="184"/>
      <c r="C883" s="184"/>
      <c r="D883" s="184"/>
      <c r="E883" s="184"/>
      <c r="F883" s="184"/>
      <c r="G883" s="184"/>
      <c r="H883" s="184"/>
      <c r="I883" s="184"/>
      <c r="J883" s="184"/>
      <c r="K883" s="184"/>
      <c r="L883" s="184"/>
      <c r="M883" s="184"/>
      <c r="N883" s="184"/>
      <c r="O883" s="184"/>
      <c r="P883" s="184"/>
      <c r="Q883" s="184"/>
      <c r="R883" s="184"/>
      <c r="S883" s="186"/>
      <c r="T883" s="184">
        <v>0.0</v>
      </c>
    </row>
    <row r="884">
      <c r="A884" s="184"/>
      <c r="B884" s="184"/>
      <c r="C884" s="184"/>
      <c r="D884" s="184"/>
      <c r="E884" s="184"/>
      <c r="F884" s="184"/>
      <c r="G884" s="184"/>
      <c r="H884" s="184"/>
      <c r="I884" s="184"/>
      <c r="J884" s="184"/>
      <c r="K884" s="184"/>
      <c r="L884" s="184"/>
      <c r="M884" s="184"/>
      <c r="N884" s="184"/>
      <c r="O884" s="184"/>
      <c r="P884" s="184"/>
      <c r="Q884" s="184"/>
      <c r="R884" s="184"/>
      <c r="S884" s="186"/>
      <c r="T884" s="184">
        <v>0.0</v>
      </c>
    </row>
    <row r="885">
      <c r="A885" s="184"/>
      <c r="B885" s="184"/>
      <c r="C885" s="184"/>
      <c r="D885" s="184"/>
      <c r="E885" s="184"/>
      <c r="F885" s="184"/>
      <c r="G885" s="184"/>
      <c r="H885" s="184"/>
      <c r="I885" s="184"/>
      <c r="J885" s="184"/>
      <c r="K885" s="184"/>
      <c r="L885" s="184"/>
      <c r="M885" s="184"/>
      <c r="N885" s="184"/>
      <c r="O885" s="184"/>
      <c r="P885" s="184"/>
      <c r="Q885" s="184"/>
      <c r="R885" s="184"/>
      <c r="S885" s="186"/>
      <c r="T885" s="184">
        <v>0.0</v>
      </c>
    </row>
    <row r="886">
      <c r="A886" s="184"/>
      <c r="B886" s="184"/>
      <c r="C886" s="184"/>
      <c r="D886" s="184"/>
      <c r="E886" s="184"/>
      <c r="F886" s="184"/>
      <c r="G886" s="184"/>
      <c r="H886" s="184"/>
      <c r="I886" s="184"/>
      <c r="J886" s="184"/>
      <c r="K886" s="184"/>
      <c r="L886" s="184"/>
      <c r="M886" s="184"/>
      <c r="N886" s="184"/>
      <c r="O886" s="184"/>
      <c r="P886" s="184"/>
      <c r="Q886" s="184"/>
      <c r="R886" s="184"/>
      <c r="S886" s="186"/>
      <c r="T886" s="184">
        <v>0.0</v>
      </c>
    </row>
    <row r="887">
      <c r="A887" s="184"/>
      <c r="B887" s="184"/>
      <c r="C887" s="184"/>
      <c r="D887" s="184"/>
      <c r="E887" s="184"/>
      <c r="F887" s="184"/>
      <c r="G887" s="184"/>
      <c r="H887" s="184"/>
      <c r="I887" s="184"/>
      <c r="J887" s="184"/>
      <c r="K887" s="184"/>
      <c r="L887" s="184"/>
      <c r="M887" s="184"/>
      <c r="N887" s="184"/>
      <c r="O887" s="184"/>
      <c r="P887" s="184"/>
      <c r="Q887" s="184"/>
      <c r="R887" s="184"/>
      <c r="S887" s="186"/>
      <c r="T887" s="184">
        <v>0.0</v>
      </c>
    </row>
    <row r="888">
      <c r="A888" s="184"/>
      <c r="B888" s="184"/>
      <c r="C888" s="184"/>
      <c r="D888" s="184"/>
      <c r="E888" s="184"/>
      <c r="F888" s="184"/>
      <c r="G888" s="184"/>
      <c r="H888" s="184"/>
      <c r="I888" s="184"/>
      <c r="J888" s="184"/>
      <c r="K888" s="184"/>
      <c r="L888" s="184"/>
      <c r="M888" s="184"/>
      <c r="N888" s="184"/>
      <c r="O888" s="184"/>
      <c r="P888" s="184"/>
      <c r="Q888" s="184"/>
      <c r="R888" s="184"/>
      <c r="S888" s="186"/>
      <c r="T888" s="184">
        <v>0.0</v>
      </c>
    </row>
    <row r="889">
      <c r="A889" s="184"/>
      <c r="B889" s="184"/>
      <c r="C889" s="184"/>
      <c r="D889" s="184"/>
      <c r="E889" s="184"/>
      <c r="F889" s="184"/>
      <c r="G889" s="184"/>
      <c r="H889" s="184"/>
      <c r="I889" s="184"/>
      <c r="J889" s="184"/>
      <c r="K889" s="184"/>
      <c r="L889" s="184"/>
      <c r="M889" s="184"/>
      <c r="N889" s="184"/>
      <c r="O889" s="184"/>
      <c r="P889" s="184"/>
      <c r="Q889" s="184"/>
      <c r="R889" s="184"/>
      <c r="S889" s="186"/>
      <c r="T889" s="184">
        <v>0.0</v>
      </c>
    </row>
    <row r="890">
      <c r="A890" s="184"/>
      <c r="B890" s="184"/>
      <c r="C890" s="184"/>
      <c r="D890" s="184"/>
      <c r="E890" s="184"/>
      <c r="F890" s="184"/>
      <c r="G890" s="184"/>
      <c r="H890" s="184"/>
      <c r="I890" s="184"/>
      <c r="J890" s="184"/>
      <c r="K890" s="184"/>
      <c r="L890" s="184"/>
      <c r="M890" s="184"/>
      <c r="N890" s="184"/>
      <c r="O890" s="184"/>
      <c r="P890" s="184"/>
      <c r="Q890" s="184"/>
      <c r="R890" s="184"/>
      <c r="S890" s="186"/>
      <c r="T890" s="184">
        <v>0.0</v>
      </c>
    </row>
    <row r="891">
      <c r="A891" s="184"/>
      <c r="B891" s="184"/>
      <c r="C891" s="184"/>
      <c r="D891" s="184"/>
      <c r="E891" s="184"/>
      <c r="F891" s="184"/>
      <c r="G891" s="184"/>
      <c r="H891" s="184"/>
      <c r="I891" s="184"/>
      <c r="J891" s="184"/>
      <c r="K891" s="184"/>
      <c r="L891" s="184"/>
      <c r="M891" s="184"/>
      <c r="N891" s="184"/>
      <c r="O891" s="184"/>
      <c r="P891" s="184"/>
      <c r="Q891" s="184"/>
      <c r="R891" s="184"/>
      <c r="S891" s="186"/>
      <c r="T891" s="184">
        <v>0.0</v>
      </c>
    </row>
    <row r="892">
      <c r="A892" s="184"/>
      <c r="B892" s="184"/>
      <c r="C892" s="184"/>
      <c r="D892" s="184"/>
      <c r="E892" s="184"/>
      <c r="F892" s="184"/>
      <c r="G892" s="184"/>
      <c r="H892" s="184"/>
      <c r="I892" s="184"/>
      <c r="J892" s="184"/>
      <c r="K892" s="184"/>
      <c r="L892" s="184"/>
      <c r="M892" s="184"/>
      <c r="N892" s="184"/>
      <c r="O892" s="184"/>
      <c r="P892" s="184"/>
      <c r="Q892" s="184"/>
      <c r="R892" s="184"/>
      <c r="S892" s="186"/>
      <c r="T892" s="184">
        <v>0.0</v>
      </c>
    </row>
    <row r="893">
      <c r="A893" s="184"/>
      <c r="B893" s="184"/>
      <c r="C893" s="184"/>
      <c r="D893" s="184"/>
      <c r="E893" s="184"/>
      <c r="F893" s="184"/>
      <c r="G893" s="184"/>
      <c r="H893" s="184"/>
      <c r="I893" s="184"/>
      <c r="J893" s="184"/>
      <c r="K893" s="184"/>
      <c r="L893" s="184"/>
      <c r="M893" s="184"/>
      <c r="N893" s="184"/>
      <c r="O893" s="184"/>
      <c r="P893" s="184"/>
      <c r="Q893" s="184"/>
      <c r="R893" s="184"/>
      <c r="S893" s="186"/>
      <c r="T893" s="184">
        <v>0.0</v>
      </c>
    </row>
    <row r="894">
      <c r="A894" s="184"/>
      <c r="B894" s="184"/>
      <c r="C894" s="184"/>
      <c r="D894" s="184"/>
      <c r="E894" s="184"/>
      <c r="F894" s="184"/>
      <c r="G894" s="184"/>
      <c r="H894" s="184"/>
      <c r="I894" s="184"/>
      <c r="J894" s="184"/>
      <c r="K894" s="184"/>
      <c r="L894" s="184"/>
      <c r="M894" s="184"/>
      <c r="N894" s="184"/>
      <c r="O894" s="184"/>
      <c r="P894" s="184"/>
      <c r="Q894" s="184"/>
      <c r="R894" s="184"/>
      <c r="S894" s="186"/>
      <c r="T894" s="184">
        <v>0.0</v>
      </c>
    </row>
    <row r="895">
      <c r="A895" s="184"/>
      <c r="B895" s="184"/>
      <c r="C895" s="184"/>
      <c r="D895" s="184"/>
      <c r="E895" s="184"/>
      <c r="F895" s="184"/>
      <c r="G895" s="184"/>
      <c r="H895" s="184"/>
      <c r="I895" s="184"/>
      <c r="J895" s="184"/>
      <c r="K895" s="184"/>
      <c r="L895" s="184"/>
      <c r="M895" s="184"/>
      <c r="N895" s="184"/>
      <c r="O895" s="184"/>
      <c r="P895" s="184"/>
      <c r="Q895" s="184"/>
      <c r="R895" s="184"/>
      <c r="S895" s="186"/>
      <c r="T895" s="184">
        <v>0.0</v>
      </c>
    </row>
    <row r="896">
      <c r="A896" s="184"/>
      <c r="B896" s="184"/>
      <c r="C896" s="184"/>
      <c r="D896" s="184"/>
      <c r="E896" s="184"/>
      <c r="F896" s="184"/>
      <c r="G896" s="184"/>
      <c r="H896" s="184"/>
      <c r="I896" s="184"/>
      <c r="J896" s="184"/>
      <c r="K896" s="184"/>
      <c r="L896" s="184"/>
      <c r="M896" s="184"/>
      <c r="N896" s="184"/>
      <c r="O896" s="184"/>
      <c r="P896" s="184"/>
      <c r="Q896" s="184"/>
      <c r="R896" s="184"/>
      <c r="S896" s="186"/>
      <c r="T896" s="184">
        <v>0.0</v>
      </c>
    </row>
    <row r="897">
      <c r="A897" s="184"/>
      <c r="B897" s="184"/>
      <c r="C897" s="184"/>
      <c r="D897" s="184"/>
      <c r="E897" s="184"/>
      <c r="F897" s="184"/>
      <c r="G897" s="184"/>
      <c r="H897" s="184"/>
      <c r="I897" s="184"/>
      <c r="J897" s="184"/>
      <c r="K897" s="184"/>
      <c r="L897" s="184"/>
      <c r="M897" s="184"/>
      <c r="N897" s="184"/>
      <c r="O897" s="184"/>
      <c r="P897" s="184"/>
      <c r="Q897" s="184"/>
      <c r="R897" s="184"/>
      <c r="S897" s="186"/>
      <c r="T897" s="184">
        <v>0.0</v>
      </c>
    </row>
    <row r="898">
      <c r="A898" s="184"/>
      <c r="B898" s="184"/>
      <c r="C898" s="184"/>
      <c r="D898" s="184"/>
      <c r="E898" s="184"/>
      <c r="F898" s="184"/>
      <c r="G898" s="184"/>
      <c r="H898" s="184"/>
      <c r="I898" s="184"/>
      <c r="J898" s="184"/>
      <c r="K898" s="184"/>
      <c r="L898" s="184"/>
      <c r="M898" s="184"/>
      <c r="N898" s="184"/>
      <c r="O898" s="184"/>
      <c r="P898" s="184"/>
      <c r="Q898" s="184"/>
      <c r="R898" s="184"/>
      <c r="S898" s="186"/>
      <c r="T898" s="184">
        <v>0.0</v>
      </c>
    </row>
    <row r="899">
      <c r="A899" s="184"/>
      <c r="B899" s="184"/>
      <c r="C899" s="184"/>
      <c r="D899" s="184"/>
      <c r="E899" s="184"/>
      <c r="F899" s="184"/>
      <c r="G899" s="184"/>
      <c r="H899" s="184"/>
      <c r="I899" s="184"/>
      <c r="J899" s="184"/>
      <c r="K899" s="184"/>
      <c r="L899" s="184"/>
      <c r="M899" s="184"/>
      <c r="N899" s="184"/>
      <c r="O899" s="184"/>
      <c r="P899" s="184"/>
      <c r="Q899" s="184"/>
      <c r="R899" s="184"/>
      <c r="S899" s="186"/>
      <c r="T899" s="184">
        <v>0.0</v>
      </c>
    </row>
    <row r="900">
      <c r="A900" s="184"/>
      <c r="B900" s="184"/>
      <c r="C900" s="184"/>
      <c r="D900" s="184"/>
      <c r="E900" s="184"/>
      <c r="F900" s="184"/>
      <c r="G900" s="184"/>
      <c r="H900" s="184"/>
      <c r="I900" s="184"/>
      <c r="J900" s="184"/>
      <c r="K900" s="184"/>
      <c r="L900" s="184"/>
      <c r="M900" s="184"/>
      <c r="N900" s="184"/>
      <c r="O900" s="184"/>
      <c r="P900" s="184"/>
      <c r="Q900" s="184"/>
      <c r="R900" s="184"/>
      <c r="S900" s="186"/>
      <c r="T900" s="184">
        <v>0.0</v>
      </c>
    </row>
    <row r="901">
      <c r="A901" s="184"/>
      <c r="B901" s="184"/>
      <c r="C901" s="184"/>
      <c r="D901" s="184"/>
      <c r="E901" s="184"/>
      <c r="F901" s="184"/>
      <c r="G901" s="184"/>
      <c r="H901" s="184"/>
      <c r="I901" s="184"/>
      <c r="J901" s="184"/>
      <c r="K901" s="184"/>
      <c r="L901" s="184"/>
      <c r="M901" s="184"/>
      <c r="N901" s="184"/>
      <c r="O901" s="184"/>
      <c r="P901" s="184"/>
      <c r="Q901" s="184"/>
      <c r="R901" s="184"/>
      <c r="S901" s="186"/>
      <c r="T901" s="184">
        <v>0.0</v>
      </c>
    </row>
    <row r="902">
      <c r="A902" s="184"/>
      <c r="B902" s="184"/>
      <c r="C902" s="184"/>
      <c r="D902" s="184"/>
      <c r="E902" s="184"/>
      <c r="F902" s="184"/>
      <c r="G902" s="184"/>
      <c r="H902" s="184"/>
      <c r="I902" s="184"/>
      <c r="J902" s="184"/>
      <c r="K902" s="184"/>
      <c r="L902" s="184"/>
      <c r="M902" s="184"/>
      <c r="N902" s="184"/>
      <c r="O902" s="184"/>
      <c r="P902" s="184"/>
      <c r="Q902" s="184"/>
      <c r="R902" s="184"/>
      <c r="S902" s="186"/>
      <c r="T902" s="184">
        <v>0.0</v>
      </c>
    </row>
    <row r="903">
      <c r="A903" s="184"/>
      <c r="B903" s="184"/>
      <c r="C903" s="184"/>
      <c r="D903" s="184"/>
      <c r="E903" s="184"/>
      <c r="F903" s="184"/>
      <c r="G903" s="184"/>
      <c r="H903" s="184"/>
      <c r="I903" s="184"/>
      <c r="J903" s="184"/>
      <c r="K903" s="184"/>
      <c r="L903" s="184"/>
      <c r="M903" s="184"/>
      <c r="N903" s="184"/>
      <c r="O903" s="184"/>
      <c r="P903" s="184"/>
      <c r="Q903" s="184"/>
      <c r="R903" s="184"/>
      <c r="S903" s="186"/>
      <c r="T903" s="184">
        <v>0.0</v>
      </c>
    </row>
    <row r="904">
      <c r="A904" s="184"/>
      <c r="B904" s="184"/>
      <c r="C904" s="184"/>
      <c r="D904" s="184"/>
      <c r="E904" s="184"/>
      <c r="F904" s="184"/>
      <c r="G904" s="184"/>
      <c r="H904" s="184"/>
      <c r="I904" s="184"/>
      <c r="J904" s="184"/>
      <c r="K904" s="184"/>
      <c r="L904" s="184"/>
      <c r="M904" s="184"/>
      <c r="N904" s="184"/>
      <c r="O904" s="184"/>
      <c r="P904" s="184"/>
      <c r="Q904" s="184"/>
      <c r="R904" s="184"/>
      <c r="S904" s="186"/>
      <c r="T904" s="184">
        <v>0.0</v>
      </c>
    </row>
    <row r="905">
      <c r="A905" s="184"/>
      <c r="B905" s="184"/>
      <c r="C905" s="184"/>
      <c r="D905" s="184"/>
      <c r="E905" s="184"/>
      <c r="F905" s="184"/>
      <c r="G905" s="184"/>
      <c r="H905" s="184"/>
      <c r="I905" s="184"/>
      <c r="J905" s="184"/>
      <c r="K905" s="184"/>
      <c r="L905" s="184"/>
      <c r="M905" s="184"/>
      <c r="N905" s="184"/>
      <c r="O905" s="184"/>
      <c r="P905" s="184"/>
      <c r="Q905" s="184"/>
      <c r="R905" s="184"/>
      <c r="S905" s="186"/>
      <c r="T905" s="184">
        <v>0.0</v>
      </c>
    </row>
    <row r="906">
      <c r="A906" s="184"/>
      <c r="B906" s="184"/>
      <c r="C906" s="184"/>
      <c r="D906" s="184"/>
      <c r="E906" s="184"/>
      <c r="F906" s="184"/>
      <c r="G906" s="184"/>
      <c r="H906" s="184"/>
      <c r="I906" s="184"/>
      <c r="J906" s="184"/>
      <c r="K906" s="184"/>
      <c r="L906" s="184"/>
      <c r="M906" s="184"/>
      <c r="N906" s="184"/>
      <c r="O906" s="184"/>
      <c r="P906" s="184"/>
      <c r="Q906" s="184"/>
      <c r="R906" s="184"/>
      <c r="S906" s="186"/>
      <c r="T906" s="184">
        <v>0.0</v>
      </c>
    </row>
    <row r="907">
      <c r="A907" s="184"/>
      <c r="B907" s="184"/>
      <c r="C907" s="184"/>
      <c r="D907" s="184"/>
      <c r="E907" s="184"/>
      <c r="F907" s="184"/>
      <c r="G907" s="184"/>
      <c r="H907" s="184"/>
      <c r="I907" s="184"/>
      <c r="J907" s="184"/>
      <c r="K907" s="184"/>
      <c r="L907" s="184"/>
      <c r="M907" s="184"/>
      <c r="N907" s="184"/>
      <c r="O907" s="184"/>
      <c r="P907" s="184"/>
      <c r="Q907" s="184"/>
      <c r="R907" s="184"/>
      <c r="S907" s="186"/>
      <c r="T907" s="184">
        <v>0.0</v>
      </c>
    </row>
    <row r="908">
      <c r="A908" s="184"/>
      <c r="B908" s="184"/>
      <c r="C908" s="184"/>
      <c r="D908" s="184"/>
      <c r="E908" s="184"/>
      <c r="F908" s="184"/>
      <c r="G908" s="184"/>
      <c r="H908" s="184"/>
      <c r="I908" s="184"/>
      <c r="J908" s="184"/>
      <c r="K908" s="184"/>
      <c r="L908" s="184"/>
      <c r="M908" s="184"/>
      <c r="N908" s="184"/>
      <c r="O908" s="184"/>
      <c r="P908" s="184"/>
      <c r="Q908" s="184"/>
      <c r="R908" s="184"/>
      <c r="S908" s="186"/>
      <c r="T908" s="184">
        <v>0.0</v>
      </c>
    </row>
    <row r="909">
      <c r="A909" s="184"/>
      <c r="B909" s="184"/>
      <c r="C909" s="184"/>
      <c r="D909" s="184"/>
      <c r="E909" s="184"/>
      <c r="F909" s="184"/>
      <c r="G909" s="184"/>
      <c r="H909" s="184"/>
      <c r="I909" s="184"/>
      <c r="J909" s="184"/>
      <c r="K909" s="184"/>
      <c r="L909" s="184"/>
      <c r="M909" s="184"/>
      <c r="N909" s="184"/>
      <c r="O909" s="184"/>
      <c r="P909" s="184"/>
      <c r="Q909" s="184"/>
      <c r="R909" s="184"/>
      <c r="S909" s="186"/>
      <c r="T909" s="184">
        <v>0.0</v>
      </c>
    </row>
    <row r="910">
      <c r="A910" s="184"/>
      <c r="B910" s="184"/>
      <c r="C910" s="184"/>
      <c r="D910" s="184"/>
      <c r="E910" s="184"/>
      <c r="F910" s="184"/>
      <c r="G910" s="184"/>
      <c r="H910" s="184"/>
      <c r="I910" s="184"/>
      <c r="J910" s="184"/>
      <c r="K910" s="184"/>
      <c r="L910" s="184"/>
      <c r="M910" s="184"/>
      <c r="N910" s="184"/>
      <c r="O910" s="184"/>
      <c r="P910" s="184"/>
      <c r="Q910" s="184"/>
      <c r="R910" s="184"/>
      <c r="S910" s="186"/>
      <c r="T910" s="184">
        <v>0.0</v>
      </c>
    </row>
    <row r="911">
      <c r="A911" s="184"/>
      <c r="B911" s="184"/>
      <c r="C911" s="184"/>
      <c r="D911" s="184"/>
      <c r="E911" s="184"/>
      <c r="F911" s="184"/>
      <c r="G911" s="184"/>
      <c r="H911" s="184"/>
      <c r="I911" s="184"/>
      <c r="J911" s="184"/>
      <c r="K911" s="184"/>
      <c r="L911" s="184"/>
      <c r="M911" s="184"/>
      <c r="N911" s="184"/>
      <c r="O911" s="184"/>
      <c r="P911" s="184"/>
      <c r="Q911" s="184"/>
      <c r="R911" s="184"/>
      <c r="S911" s="186"/>
      <c r="T911" s="184">
        <v>0.0</v>
      </c>
    </row>
    <row r="912">
      <c r="A912" s="184"/>
      <c r="B912" s="184"/>
      <c r="C912" s="184"/>
      <c r="D912" s="184"/>
      <c r="E912" s="184"/>
      <c r="F912" s="184"/>
      <c r="G912" s="184"/>
      <c r="H912" s="184"/>
      <c r="I912" s="184"/>
      <c r="J912" s="184"/>
      <c r="K912" s="184"/>
      <c r="L912" s="184"/>
      <c r="M912" s="184"/>
      <c r="N912" s="184"/>
      <c r="O912" s="184"/>
      <c r="P912" s="184"/>
      <c r="Q912" s="184"/>
      <c r="R912" s="184"/>
      <c r="S912" s="186"/>
      <c r="T912" s="184">
        <v>0.0</v>
      </c>
    </row>
    <row r="913">
      <c r="A913" s="184"/>
      <c r="B913" s="184"/>
      <c r="C913" s="184"/>
      <c r="D913" s="184"/>
      <c r="E913" s="184"/>
      <c r="F913" s="184"/>
      <c r="G913" s="184"/>
      <c r="H913" s="184"/>
      <c r="I913" s="184"/>
      <c r="J913" s="184"/>
      <c r="K913" s="184"/>
      <c r="L913" s="184"/>
      <c r="M913" s="184"/>
      <c r="N913" s="184"/>
      <c r="O913" s="184"/>
      <c r="P913" s="184"/>
      <c r="Q913" s="184"/>
      <c r="R913" s="184"/>
      <c r="S913" s="186"/>
      <c r="T913" s="184">
        <v>0.0</v>
      </c>
    </row>
    <row r="914">
      <c r="A914" s="184"/>
      <c r="B914" s="184"/>
      <c r="C914" s="184"/>
      <c r="D914" s="184"/>
      <c r="E914" s="184"/>
      <c r="F914" s="184"/>
      <c r="G914" s="184"/>
      <c r="H914" s="184"/>
      <c r="I914" s="184"/>
      <c r="J914" s="184"/>
      <c r="K914" s="184"/>
      <c r="L914" s="184"/>
      <c r="M914" s="184"/>
      <c r="N914" s="184"/>
      <c r="O914" s="184"/>
      <c r="P914" s="184"/>
      <c r="Q914" s="184"/>
      <c r="R914" s="184"/>
      <c r="S914" s="186"/>
      <c r="T914" s="184">
        <v>0.0</v>
      </c>
    </row>
    <row r="915">
      <c r="A915" s="184"/>
      <c r="B915" s="184"/>
      <c r="C915" s="184"/>
      <c r="D915" s="184"/>
      <c r="E915" s="184"/>
      <c r="F915" s="184"/>
      <c r="G915" s="184"/>
      <c r="H915" s="184"/>
      <c r="I915" s="184"/>
      <c r="J915" s="184"/>
      <c r="K915" s="184"/>
      <c r="L915" s="184"/>
      <c r="M915" s="184"/>
      <c r="N915" s="184"/>
      <c r="O915" s="184"/>
      <c r="P915" s="184"/>
      <c r="Q915" s="184"/>
      <c r="R915" s="184"/>
      <c r="S915" s="186"/>
      <c r="T915" s="184">
        <v>0.0</v>
      </c>
    </row>
    <row r="916">
      <c r="A916" s="184"/>
      <c r="B916" s="184"/>
      <c r="C916" s="184"/>
      <c r="D916" s="184"/>
      <c r="E916" s="184"/>
      <c r="F916" s="184"/>
      <c r="G916" s="184"/>
      <c r="H916" s="184"/>
      <c r="I916" s="184"/>
      <c r="J916" s="184"/>
      <c r="K916" s="184"/>
      <c r="L916" s="184"/>
      <c r="M916" s="184"/>
      <c r="N916" s="184"/>
      <c r="O916" s="184"/>
      <c r="P916" s="184"/>
      <c r="Q916" s="184"/>
      <c r="R916" s="184"/>
      <c r="S916" s="186"/>
      <c r="T916" s="184">
        <v>0.0</v>
      </c>
    </row>
    <row r="917">
      <c r="A917" s="184"/>
      <c r="B917" s="184"/>
      <c r="C917" s="184"/>
      <c r="D917" s="184"/>
      <c r="E917" s="184"/>
      <c r="F917" s="184"/>
      <c r="G917" s="184"/>
      <c r="H917" s="184"/>
      <c r="I917" s="184"/>
      <c r="J917" s="184"/>
      <c r="K917" s="184"/>
      <c r="L917" s="184"/>
      <c r="M917" s="184"/>
      <c r="N917" s="184"/>
      <c r="O917" s="184"/>
      <c r="P917" s="184"/>
      <c r="Q917" s="184"/>
      <c r="R917" s="184"/>
      <c r="S917" s="186"/>
      <c r="T917" s="184">
        <v>0.0</v>
      </c>
    </row>
    <row r="918">
      <c r="A918" s="184"/>
      <c r="B918" s="184"/>
      <c r="C918" s="184"/>
      <c r="D918" s="184"/>
      <c r="E918" s="184"/>
      <c r="F918" s="184"/>
      <c r="G918" s="184"/>
      <c r="H918" s="184"/>
      <c r="I918" s="184"/>
      <c r="J918" s="184"/>
      <c r="K918" s="184"/>
      <c r="L918" s="184"/>
      <c r="M918" s="184"/>
      <c r="N918" s="184"/>
      <c r="O918" s="184"/>
      <c r="P918" s="184"/>
      <c r="Q918" s="184"/>
      <c r="R918" s="184"/>
      <c r="S918" s="186"/>
      <c r="T918" s="184">
        <v>0.0</v>
      </c>
    </row>
    <row r="919">
      <c r="A919" s="184"/>
      <c r="B919" s="184"/>
      <c r="C919" s="184"/>
      <c r="D919" s="184"/>
      <c r="E919" s="184"/>
      <c r="F919" s="184"/>
      <c r="G919" s="184"/>
      <c r="H919" s="184"/>
      <c r="I919" s="184"/>
      <c r="J919" s="184"/>
      <c r="K919" s="184"/>
      <c r="L919" s="184"/>
      <c r="M919" s="184"/>
      <c r="N919" s="184"/>
      <c r="O919" s="184"/>
      <c r="P919" s="184"/>
      <c r="Q919" s="184"/>
      <c r="R919" s="184"/>
      <c r="S919" s="186"/>
      <c r="T919" s="184">
        <v>0.0</v>
      </c>
    </row>
    <row r="920">
      <c r="A920" s="184"/>
      <c r="B920" s="184"/>
      <c r="C920" s="184"/>
      <c r="D920" s="184"/>
      <c r="E920" s="184"/>
      <c r="F920" s="184"/>
      <c r="G920" s="184"/>
      <c r="H920" s="184"/>
      <c r="I920" s="184"/>
      <c r="J920" s="184"/>
      <c r="K920" s="184"/>
      <c r="L920" s="184"/>
      <c r="M920" s="184"/>
      <c r="N920" s="184"/>
      <c r="O920" s="184"/>
      <c r="P920" s="184"/>
      <c r="Q920" s="184"/>
      <c r="R920" s="184"/>
      <c r="S920" s="186"/>
      <c r="T920" s="184">
        <v>0.0</v>
      </c>
    </row>
    <row r="921">
      <c r="A921" s="184"/>
      <c r="B921" s="184"/>
      <c r="C921" s="184"/>
      <c r="D921" s="184"/>
      <c r="E921" s="184"/>
      <c r="F921" s="184"/>
      <c r="G921" s="184"/>
      <c r="H921" s="184"/>
      <c r="I921" s="184"/>
      <c r="J921" s="184"/>
      <c r="K921" s="184"/>
      <c r="L921" s="184"/>
      <c r="M921" s="184"/>
      <c r="N921" s="184"/>
      <c r="O921" s="184"/>
      <c r="P921" s="184"/>
      <c r="Q921" s="184"/>
      <c r="R921" s="184"/>
      <c r="S921" s="186"/>
      <c r="T921" s="184">
        <v>0.0</v>
      </c>
    </row>
    <row r="922">
      <c r="A922" s="184"/>
      <c r="B922" s="184"/>
      <c r="C922" s="184"/>
      <c r="D922" s="184"/>
      <c r="E922" s="184"/>
      <c r="F922" s="184"/>
      <c r="G922" s="184"/>
      <c r="H922" s="184"/>
      <c r="I922" s="184"/>
      <c r="J922" s="184"/>
      <c r="K922" s="184"/>
      <c r="L922" s="184"/>
      <c r="M922" s="184"/>
      <c r="N922" s="184"/>
      <c r="O922" s="184"/>
      <c r="P922" s="184"/>
      <c r="Q922" s="184"/>
      <c r="R922" s="184"/>
      <c r="S922" s="186"/>
      <c r="T922" s="184">
        <v>0.0</v>
      </c>
    </row>
    <row r="923">
      <c r="A923" s="184"/>
      <c r="B923" s="184"/>
      <c r="C923" s="184"/>
      <c r="D923" s="184"/>
      <c r="E923" s="184"/>
      <c r="F923" s="184"/>
      <c r="G923" s="184"/>
      <c r="H923" s="184"/>
      <c r="I923" s="184"/>
      <c r="J923" s="184"/>
      <c r="K923" s="184"/>
      <c r="L923" s="184"/>
      <c r="M923" s="184"/>
      <c r="N923" s="184"/>
      <c r="O923" s="184"/>
      <c r="P923" s="184"/>
      <c r="Q923" s="184"/>
      <c r="R923" s="184"/>
      <c r="S923" s="186"/>
      <c r="T923" s="184">
        <v>0.0</v>
      </c>
    </row>
    <row r="924">
      <c r="A924" s="184"/>
      <c r="B924" s="184"/>
      <c r="C924" s="184"/>
      <c r="D924" s="184"/>
      <c r="E924" s="184"/>
      <c r="F924" s="184"/>
      <c r="G924" s="184"/>
      <c r="H924" s="184"/>
      <c r="I924" s="184"/>
      <c r="J924" s="184"/>
      <c r="K924" s="184"/>
      <c r="L924" s="184"/>
      <c r="M924" s="184"/>
      <c r="N924" s="184"/>
      <c r="O924" s="184"/>
      <c r="P924" s="184"/>
      <c r="Q924" s="184"/>
      <c r="R924" s="184"/>
      <c r="S924" s="186"/>
      <c r="T924" s="184">
        <v>0.0</v>
      </c>
    </row>
    <row r="925">
      <c r="A925" s="184"/>
      <c r="B925" s="184"/>
      <c r="C925" s="184"/>
      <c r="D925" s="184"/>
      <c r="E925" s="184"/>
      <c r="F925" s="184"/>
      <c r="G925" s="184"/>
      <c r="H925" s="184"/>
      <c r="I925" s="184"/>
      <c r="J925" s="184"/>
      <c r="K925" s="184"/>
      <c r="L925" s="184"/>
      <c r="M925" s="184"/>
      <c r="N925" s="184"/>
      <c r="O925" s="184"/>
      <c r="P925" s="184"/>
      <c r="Q925" s="184"/>
      <c r="R925" s="184"/>
      <c r="S925" s="186"/>
      <c r="T925" s="184">
        <v>0.0</v>
      </c>
    </row>
    <row r="926">
      <c r="A926" s="184"/>
      <c r="B926" s="184"/>
      <c r="C926" s="184"/>
      <c r="D926" s="184"/>
      <c r="E926" s="184"/>
      <c r="F926" s="184"/>
      <c r="G926" s="184"/>
      <c r="H926" s="184"/>
      <c r="I926" s="184"/>
      <c r="J926" s="184"/>
      <c r="K926" s="184"/>
      <c r="L926" s="184"/>
      <c r="M926" s="184"/>
      <c r="N926" s="184"/>
      <c r="O926" s="184"/>
      <c r="P926" s="184"/>
      <c r="Q926" s="184"/>
      <c r="R926" s="184"/>
      <c r="S926" s="186"/>
      <c r="T926" s="184">
        <v>0.0</v>
      </c>
    </row>
    <row r="927">
      <c r="A927" s="184"/>
      <c r="B927" s="184"/>
      <c r="C927" s="184"/>
      <c r="D927" s="184"/>
      <c r="E927" s="184"/>
      <c r="F927" s="184"/>
      <c r="G927" s="184"/>
      <c r="H927" s="184"/>
      <c r="I927" s="184"/>
      <c r="J927" s="184"/>
      <c r="K927" s="184"/>
      <c r="L927" s="184"/>
      <c r="M927" s="184"/>
      <c r="N927" s="184"/>
      <c r="O927" s="184"/>
      <c r="P927" s="184"/>
      <c r="Q927" s="184"/>
      <c r="R927" s="184"/>
      <c r="S927" s="186"/>
      <c r="T927" s="184">
        <v>0.0</v>
      </c>
    </row>
    <row r="928">
      <c r="A928" s="184"/>
      <c r="B928" s="184"/>
      <c r="C928" s="184"/>
      <c r="D928" s="184"/>
      <c r="E928" s="184"/>
      <c r="F928" s="184"/>
      <c r="G928" s="184"/>
      <c r="H928" s="184"/>
      <c r="I928" s="184"/>
      <c r="J928" s="184"/>
      <c r="K928" s="184"/>
      <c r="L928" s="184"/>
      <c r="M928" s="184"/>
      <c r="N928" s="184"/>
      <c r="O928" s="184"/>
      <c r="P928" s="184"/>
      <c r="Q928" s="184"/>
      <c r="R928" s="184"/>
      <c r="S928" s="186"/>
      <c r="T928" s="184">
        <v>0.0</v>
      </c>
    </row>
    <row r="929">
      <c r="A929" s="184"/>
      <c r="B929" s="184"/>
      <c r="C929" s="184"/>
      <c r="D929" s="184"/>
      <c r="E929" s="184"/>
      <c r="F929" s="184"/>
      <c r="G929" s="184"/>
      <c r="H929" s="184"/>
      <c r="I929" s="184"/>
      <c r="J929" s="184"/>
      <c r="K929" s="184"/>
      <c r="L929" s="184"/>
      <c r="M929" s="184"/>
      <c r="N929" s="184"/>
      <c r="O929" s="184"/>
      <c r="P929" s="184"/>
      <c r="Q929" s="184"/>
      <c r="R929" s="184"/>
      <c r="S929" s="186"/>
      <c r="T929" s="184">
        <v>0.0</v>
      </c>
    </row>
    <row r="930">
      <c r="A930" s="184"/>
      <c r="B930" s="184"/>
      <c r="C930" s="184"/>
      <c r="D930" s="184"/>
      <c r="E930" s="184"/>
      <c r="F930" s="184"/>
      <c r="G930" s="184"/>
      <c r="H930" s="184"/>
      <c r="I930" s="184"/>
      <c r="J930" s="184"/>
      <c r="K930" s="184"/>
      <c r="L930" s="184"/>
      <c r="M930" s="184"/>
      <c r="N930" s="184"/>
      <c r="O930" s="184"/>
      <c r="P930" s="184"/>
      <c r="Q930" s="184"/>
      <c r="R930" s="184"/>
      <c r="S930" s="186"/>
      <c r="T930" s="184">
        <v>0.0</v>
      </c>
    </row>
    <row r="931">
      <c r="A931" s="184"/>
      <c r="B931" s="184"/>
      <c r="C931" s="184"/>
      <c r="D931" s="184"/>
      <c r="E931" s="184"/>
      <c r="F931" s="184"/>
      <c r="G931" s="184"/>
      <c r="H931" s="184"/>
      <c r="I931" s="184"/>
      <c r="J931" s="184"/>
      <c r="K931" s="184"/>
      <c r="L931" s="184"/>
      <c r="M931" s="184"/>
      <c r="N931" s="184"/>
      <c r="O931" s="184"/>
      <c r="P931" s="184"/>
      <c r="Q931" s="184"/>
      <c r="R931" s="184"/>
      <c r="S931" s="186"/>
      <c r="T931" s="184">
        <v>0.0</v>
      </c>
    </row>
    <row r="932">
      <c r="A932" s="184"/>
      <c r="B932" s="184"/>
      <c r="C932" s="184"/>
      <c r="D932" s="184"/>
      <c r="E932" s="184"/>
      <c r="F932" s="184"/>
      <c r="G932" s="184"/>
      <c r="H932" s="184"/>
      <c r="I932" s="184"/>
      <c r="J932" s="184"/>
      <c r="K932" s="184"/>
      <c r="L932" s="184"/>
      <c r="M932" s="184"/>
      <c r="N932" s="184"/>
      <c r="O932" s="184"/>
      <c r="P932" s="184"/>
      <c r="Q932" s="184"/>
      <c r="R932" s="184"/>
      <c r="S932" s="186"/>
      <c r="T932" s="184">
        <v>0.0</v>
      </c>
    </row>
    <row r="933">
      <c r="A933" s="184"/>
      <c r="B933" s="184"/>
      <c r="C933" s="184"/>
      <c r="D933" s="184"/>
      <c r="E933" s="184"/>
      <c r="F933" s="184"/>
      <c r="G933" s="184"/>
      <c r="H933" s="184"/>
      <c r="I933" s="184"/>
      <c r="J933" s="184"/>
      <c r="K933" s="184"/>
      <c r="L933" s="184"/>
      <c r="M933" s="184"/>
      <c r="N933" s="184"/>
      <c r="O933" s="184"/>
      <c r="P933" s="184"/>
      <c r="Q933" s="184"/>
      <c r="R933" s="184"/>
      <c r="S933" s="186"/>
      <c r="T933" s="184">
        <v>0.0</v>
      </c>
    </row>
    <row r="934">
      <c r="A934" s="184"/>
      <c r="B934" s="184"/>
      <c r="C934" s="184"/>
      <c r="D934" s="184"/>
      <c r="E934" s="184"/>
      <c r="F934" s="184"/>
      <c r="G934" s="184"/>
      <c r="H934" s="184"/>
      <c r="I934" s="184"/>
      <c r="J934" s="184"/>
      <c r="K934" s="184"/>
      <c r="L934" s="184"/>
      <c r="M934" s="184"/>
      <c r="N934" s="184"/>
      <c r="O934" s="184"/>
      <c r="P934" s="184"/>
      <c r="Q934" s="184"/>
      <c r="R934" s="184"/>
      <c r="S934" s="186"/>
      <c r="T934" s="184">
        <v>0.0</v>
      </c>
    </row>
    <row r="935">
      <c r="A935" s="184"/>
      <c r="B935" s="184"/>
      <c r="C935" s="184"/>
      <c r="D935" s="184"/>
      <c r="E935" s="184"/>
      <c r="F935" s="184"/>
      <c r="G935" s="184"/>
      <c r="H935" s="184"/>
      <c r="I935" s="184"/>
      <c r="J935" s="184"/>
      <c r="K935" s="184"/>
      <c r="L935" s="184"/>
      <c r="M935" s="184"/>
      <c r="N935" s="184"/>
      <c r="O935" s="184"/>
      <c r="P935" s="184"/>
      <c r="Q935" s="184"/>
      <c r="R935" s="184"/>
      <c r="S935" s="186"/>
      <c r="T935" s="184">
        <v>0.0</v>
      </c>
    </row>
    <row r="936">
      <c r="A936" s="184"/>
      <c r="B936" s="184"/>
      <c r="C936" s="184"/>
      <c r="D936" s="184"/>
      <c r="E936" s="184"/>
      <c r="F936" s="184"/>
      <c r="G936" s="184"/>
      <c r="H936" s="184"/>
      <c r="I936" s="184"/>
      <c r="J936" s="184"/>
      <c r="K936" s="184"/>
      <c r="L936" s="184"/>
      <c r="M936" s="184"/>
      <c r="N936" s="184"/>
      <c r="O936" s="184"/>
      <c r="P936" s="184"/>
      <c r="Q936" s="184"/>
      <c r="R936" s="184"/>
      <c r="S936" s="186"/>
      <c r="T936" s="184">
        <v>0.0</v>
      </c>
    </row>
    <row r="937">
      <c r="A937" s="184"/>
      <c r="B937" s="184"/>
      <c r="C937" s="184"/>
      <c r="D937" s="184"/>
      <c r="E937" s="184"/>
      <c r="F937" s="184"/>
      <c r="G937" s="184"/>
      <c r="H937" s="184"/>
      <c r="I937" s="184"/>
      <c r="J937" s="184"/>
      <c r="K937" s="184"/>
      <c r="L937" s="184"/>
      <c r="M937" s="184"/>
      <c r="N937" s="184"/>
      <c r="O937" s="184"/>
      <c r="P937" s="184"/>
      <c r="Q937" s="184"/>
      <c r="R937" s="184"/>
      <c r="S937" s="186"/>
      <c r="T937" s="184">
        <v>0.0</v>
      </c>
    </row>
    <row r="938">
      <c r="A938" s="184"/>
      <c r="B938" s="184"/>
      <c r="C938" s="184"/>
      <c r="D938" s="184"/>
      <c r="E938" s="184"/>
      <c r="F938" s="184"/>
      <c r="G938" s="184"/>
      <c r="H938" s="184"/>
      <c r="I938" s="184"/>
      <c r="J938" s="184"/>
      <c r="K938" s="184"/>
      <c r="L938" s="184"/>
      <c r="M938" s="184"/>
      <c r="N938" s="184"/>
      <c r="O938" s="184"/>
      <c r="P938" s="184"/>
      <c r="Q938" s="184"/>
      <c r="R938" s="184"/>
      <c r="S938" s="186"/>
      <c r="T938" s="184">
        <v>0.0</v>
      </c>
    </row>
    <row r="939">
      <c r="A939" s="184"/>
      <c r="B939" s="184"/>
      <c r="C939" s="184"/>
      <c r="D939" s="184"/>
      <c r="E939" s="184"/>
      <c r="F939" s="184"/>
      <c r="G939" s="184"/>
      <c r="H939" s="184"/>
      <c r="I939" s="184"/>
      <c r="J939" s="184"/>
      <c r="K939" s="184"/>
      <c r="L939" s="184"/>
      <c r="M939" s="184"/>
      <c r="N939" s="184"/>
      <c r="O939" s="184"/>
      <c r="P939" s="184"/>
      <c r="Q939" s="184"/>
      <c r="R939" s="184"/>
      <c r="S939" s="186"/>
      <c r="T939" s="184">
        <v>0.0</v>
      </c>
    </row>
    <row r="940">
      <c r="A940" s="184"/>
      <c r="B940" s="184"/>
      <c r="C940" s="184"/>
      <c r="D940" s="184"/>
      <c r="E940" s="184"/>
      <c r="F940" s="184"/>
      <c r="G940" s="184"/>
      <c r="H940" s="184"/>
      <c r="I940" s="184"/>
      <c r="J940" s="184"/>
      <c r="K940" s="184"/>
      <c r="L940" s="184"/>
      <c r="M940" s="184"/>
      <c r="N940" s="184"/>
      <c r="O940" s="184"/>
      <c r="P940" s="184"/>
      <c r="Q940" s="184"/>
      <c r="R940" s="184"/>
      <c r="S940" s="186"/>
      <c r="T940" s="184">
        <v>0.0</v>
      </c>
    </row>
    <row r="941">
      <c r="A941" s="184"/>
      <c r="B941" s="184"/>
      <c r="C941" s="184"/>
      <c r="D941" s="184"/>
      <c r="E941" s="184"/>
      <c r="F941" s="184"/>
      <c r="G941" s="184"/>
      <c r="H941" s="184"/>
      <c r="I941" s="184"/>
      <c r="J941" s="184"/>
      <c r="K941" s="184"/>
      <c r="L941" s="184"/>
      <c r="M941" s="184"/>
      <c r="N941" s="184"/>
      <c r="O941" s="184"/>
      <c r="P941" s="184"/>
      <c r="Q941" s="184"/>
      <c r="R941" s="184"/>
      <c r="S941" s="186"/>
      <c r="T941" s="184">
        <v>0.0</v>
      </c>
    </row>
    <row r="942">
      <c r="A942" s="184"/>
      <c r="B942" s="184"/>
      <c r="C942" s="184"/>
      <c r="D942" s="184"/>
      <c r="E942" s="184"/>
      <c r="F942" s="184"/>
      <c r="G942" s="184"/>
      <c r="H942" s="184"/>
      <c r="I942" s="184"/>
      <c r="J942" s="184"/>
      <c r="K942" s="184"/>
      <c r="L942" s="184"/>
      <c r="M942" s="184"/>
      <c r="N942" s="184"/>
      <c r="O942" s="184"/>
      <c r="P942" s="184"/>
      <c r="Q942" s="184"/>
      <c r="R942" s="184"/>
      <c r="S942" s="186"/>
      <c r="T942" s="184">
        <v>0.0</v>
      </c>
    </row>
    <row r="943">
      <c r="A943" s="184"/>
      <c r="B943" s="184"/>
      <c r="C943" s="184"/>
      <c r="D943" s="184"/>
      <c r="E943" s="184"/>
      <c r="F943" s="184"/>
      <c r="G943" s="184"/>
      <c r="H943" s="184"/>
      <c r="I943" s="184"/>
      <c r="J943" s="184"/>
      <c r="K943" s="184"/>
      <c r="L943" s="184"/>
      <c r="M943" s="184"/>
      <c r="N943" s="184"/>
      <c r="O943" s="184"/>
      <c r="P943" s="184"/>
      <c r="Q943" s="184"/>
      <c r="R943" s="184"/>
      <c r="S943" s="186"/>
      <c r="T943" s="184">
        <v>0.0</v>
      </c>
    </row>
    <row r="944">
      <c r="A944" s="184"/>
      <c r="B944" s="184"/>
      <c r="C944" s="184"/>
      <c r="D944" s="184"/>
      <c r="E944" s="184"/>
      <c r="F944" s="184"/>
      <c r="G944" s="184"/>
      <c r="H944" s="184"/>
      <c r="I944" s="184"/>
      <c r="J944" s="184"/>
      <c r="K944" s="184"/>
      <c r="L944" s="184"/>
      <c r="M944" s="184"/>
      <c r="N944" s="184"/>
      <c r="O944" s="184"/>
      <c r="P944" s="184"/>
      <c r="Q944" s="184"/>
      <c r="R944" s="184"/>
      <c r="S944" s="186"/>
      <c r="T944" s="184">
        <v>0.0</v>
      </c>
    </row>
    <row r="945">
      <c r="A945" s="184"/>
      <c r="B945" s="184"/>
      <c r="C945" s="184"/>
      <c r="D945" s="184"/>
      <c r="E945" s="184"/>
      <c r="F945" s="184"/>
      <c r="G945" s="184"/>
      <c r="H945" s="184"/>
      <c r="I945" s="184"/>
      <c r="J945" s="184"/>
      <c r="K945" s="184"/>
      <c r="L945" s="184"/>
      <c r="M945" s="184"/>
      <c r="N945" s="184"/>
      <c r="O945" s="184"/>
      <c r="P945" s="184"/>
      <c r="Q945" s="184"/>
      <c r="R945" s="184"/>
      <c r="S945" s="186"/>
      <c r="T945" s="184">
        <v>0.0</v>
      </c>
    </row>
    <row r="946">
      <c r="A946" s="184"/>
      <c r="B946" s="184"/>
      <c r="C946" s="184"/>
      <c r="D946" s="184"/>
      <c r="E946" s="184"/>
      <c r="F946" s="184"/>
      <c r="G946" s="184"/>
      <c r="H946" s="184"/>
      <c r="I946" s="184"/>
      <c r="J946" s="184"/>
      <c r="K946" s="184"/>
      <c r="L946" s="184"/>
      <c r="M946" s="184"/>
      <c r="N946" s="184"/>
      <c r="O946" s="184"/>
      <c r="P946" s="184"/>
      <c r="Q946" s="184"/>
      <c r="R946" s="184"/>
      <c r="S946" s="186"/>
      <c r="T946" s="184">
        <v>0.0</v>
      </c>
    </row>
    <row r="947">
      <c r="A947" s="184"/>
      <c r="B947" s="184"/>
      <c r="C947" s="184"/>
      <c r="D947" s="184"/>
      <c r="E947" s="184"/>
      <c r="F947" s="184"/>
      <c r="G947" s="184"/>
      <c r="H947" s="184"/>
      <c r="I947" s="184"/>
      <c r="J947" s="184"/>
      <c r="K947" s="184"/>
      <c r="L947" s="184"/>
      <c r="M947" s="184"/>
      <c r="N947" s="184"/>
      <c r="O947" s="184"/>
      <c r="P947" s="184"/>
      <c r="Q947" s="184"/>
      <c r="R947" s="184"/>
      <c r="S947" s="186"/>
      <c r="T947" s="184">
        <v>0.0</v>
      </c>
    </row>
    <row r="948">
      <c r="A948" s="184"/>
      <c r="B948" s="184"/>
      <c r="C948" s="184"/>
      <c r="D948" s="184"/>
      <c r="E948" s="184"/>
      <c r="F948" s="184"/>
      <c r="G948" s="184"/>
      <c r="H948" s="184"/>
      <c r="I948" s="184"/>
      <c r="J948" s="184"/>
      <c r="K948" s="184"/>
      <c r="L948" s="184"/>
      <c r="M948" s="184"/>
      <c r="N948" s="184"/>
      <c r="O948" s="184"/>
      <c r="P948" s="184"/>
      <c r="Q948" s="184"/>
      <c r="R948" s="184"/>
      <c r="S948" s="186"/>
      <c r="T948" s="184">
        <v>0.0</v>
      </c>
    </row>
    <row r="949">
      <c r="A949" s="184"/>
      <c r="B949" s="184"/>
      <c r="C949" s="184"/>
      <c r="D949" s="184"/>
      <c r="E949" s="184"/>
      <c r="F949" s="184"/>
      <c r="G949" s="184"/>
      <c r="H949" s="184"/>
      <c r="I949" s="184"/>
      <c r="J949" s="184"/>
      <c r="K949" s="184"/>
      <c r="L949" s="184"/>
      <c r="M949" s="184"/>
      <c r="N949" s="184"/>
      <c r="O949" s="184"/>
      <c r="P949" s="184"/>
      <c r="Q949" s="184"/>
      <c r="R949" s="184"/>
      <c r="S949" s="186"/>
      <c r="T949" s="184">
        <v>0.0</v>
      </c>
    </row>
    <row r="950">
      <c r="A950" s="184"/>
      <c r="B950" s="184"/>
      <c r="C950" s="184"/>
      <c r="D950" s="184"/>
      <c r="E950" s="184"/>
      <c r="F950" s="184"/>
      <c r="G950" s="184"/>
      <c r="H950" s="184"/>
      <c r="I950" s="184"/>
      <c r="J950" s="184"/>
      <c r="K950" s="184"/>
      <c r="L950" s="184"/>
      <c r="M950" s="184"/>
      <c r="N950" s="184"/>
      <c r="O950" s="184"/>
      <c r="P950" s="184"/>
      <c r="Q950" s="184"/>
      <c r="R950" s="184"/>
      <c r="S950" s="186"/>
      <c r="T950" s="184">
        <v>0.0</v>
      </c>
    </row>
    <row r="951">
      <c r="A951" s="184"/>
      <c r="B951" s="184"/>
      <c r="C951" s="184"/>
      <c r="D951" s="184"/>
      <c r="E951" s="184"/>
      <c r="F951" s="184"/>
      <c r="G951" s="184"/>
      <c r="H951" s="184"/>
      <c r="I951" s="184"/>
      <c r="J951" s="184"/>
      <c r="K951" s="184"/>
      <c r="L951" s="184"/>
      <c r="M951" s="184"/>
      <c r="N951" s="184"/>
      <c r="O951" s="184"/>
      <c r="P951" s="184"/>
      <c r="Q951" s="184"/>
      <c r="R951" s="184"/>
      <c r="S951" s="186"/>
      <c r="T951" s="184">
        <v>0.0</v>
      </c>
    </row>
    <row r="952">
      <c r="A952" s="184"/>
      <c r="B952" s="184"/>
      <c r="C952" s="184"/>
      <c r="D952" s="184"/>
      <c r="E952" s="184"/>
      <c r="F952" s="184"/>
      <c r="G952" s="184"/>
      <c r="H952" s="184"/>
      <c r="I952" s="184"/>
      <c r="J952" s="184"/>
      <c r="K952" s="184"/>
      <c r="L952" s="184"/>
      <c r="M952" s="184"/>
      <c r="N952" s="184"/>
      <c r="O952" s="184"/>
      <c r="P952" s="184"/>
      <c r="Q952" s="184"/>
      <c r="R952" s="184"/>
      <c r="S952" s="186"/>
      <c r="T952" s="184">
        <v>0.0</v>
      </c>
    </row>
    <row r="953">
      <c r="A953" s="184"/>
      <c r="B953" s="184"/>
      <c r="C953" s="184"/>
      <c r="D953" s="184"/>
      <c r="E953" s="184"/>
      <c r="F953" s="184"/>
      <c r="G953" s="184"/>
      <c r="H953" s="184"/>
      <c r="I953" s="184"/>
      <c r="J953" s="184"/>
      <c r="K953" s="184"/>
      <c r="L953" s="184"/>
      <c r="M953" s="184"/>
      <c r="N953" s="184"/>
      <c r="O953" s="184"/>
      <c r="P953" s="184"/>
      <c r="Q953" s="184"/>
      <c r="R953" s="184"/>
      <c r="S953" s="186"/>
      <c r="T953" s="184">
        <v>0.0</v>
      </c>
    </row>
    <row r="954">
      <c r="A954" s="184"/>
      <c r="B954" s="184"/>
      <c r="C954" s="184"/>
      <c r="D954" s="184"/>
      <c r="E954" s="184"/>
      <c r="F954" s="184"/>
      <c r="G954" s="184"/>
      <c r="H954" s="184"/>
      <c r="I954" s="184"/>
      <c r="J954" s="184"/>
      <c r="K954" s="184"/>
      <c r="L954" s="184"/>
      <c r="M954" s="184"/>
      <c r="N954" s="184"/>
      <c r="O954" s="184"/>
      <c r="P954" s="184"/>
      <c r="Q954" s="184"/>
      <c r="R954" s="184"/>
      <c r="S954" s="186"/>
      <c r="T954" s="184">
        <v>0.0</v>
      </c>
    </row>
    <row r="955">
      <c r="A955" s="184"/>
      <c r="B955" s="184"/>
      <c r="C955" s="184"/>
      <c r="D955" s="184"/>
      <c r="E955" s="184"/>
      <c r="F955" s="184"/>
      <c r="G955" s="184"/>
      <c r="H955" s="184"/>
      <c r="I955" s="184"/>
      <c r="J955" s="184"/>
      <c r="K955" s="184"/>
      <c r="L955" s="184"/>
      <c r="M955" s="184"/>
      <c r="N955" s="184"/>
      <c r="O955" s="184"/>
      <c r="P955" s="184"/>
      <c r="Q955" s="184"/>
      <c r="R955" s="184"/>
      <c r="S955" s="186"/>
      <c r="T955" s="184">
        <v>0.0</v>
      </c>
    </row>
    <row r="956">
      <c r="A956" s="184"/>
      <c r="B956" s="184"/>
      <c r="C956" s="184"/>
      <c r="D956" s="184"/>
      <c r="E956" s="184"/>
      <c r="F956" s="184"/>
      <c r="G956" s="184"/>
      <c r="H956" s="184"/>
      <c r="I956" s="184"/>
      <c r="J956" s="184"/>
      <c r="K956" s="184"/>
      <c r="L956" s="184"/>
      <c r="M956" s="184"/>
      <c r="N956" s="184"/>
      <c r="O956" s="184"/>
      <c r="P956" s="184"/>
      <c r="Q956" s="184"/>
      <c r="R956" s="184"/>
      <c r="S956" s="186"/>
      <c r="T956" s="184">
        <v>0.0</v>
      </c>
    </row>
    <row r="957">
      <c r="A957" s="184"/>
      <c r="B957" s="184"/>
      <c r="C957" s="184"/>
      <c r="D957" s="184"/>
      <c r="E957" s="184"/>
      <c r="F957" s="184"/>
      <c r="G957" s="184"/>
      <c r="H957" s="184"/>
      <c r="I957" s="184"/>
      <c r="J957" s="184"/>
      <c r="K957" s="184"/>
      <c r="L957" s="184"/>
      <c r="M957" s="184"/>
      <c r="N957" s="184"/>
      <c r="O957" s="184"/>
      <c r="P957" s="184"/>
      <c r="Q957" s="184"/>
      <c r="R957" s="184"/>
      <c r="S957" s="186"/>
      <c r="T957" s="184">
        <v>0.0</v>
      </c>
    </row>
    <row r="958">
      <c r="A958" s="184"/>
      <c r="B958" s="184"/>
      <c r="C958" s="184"/>
      <c r="D958" s="184"/>
      <c r="E958" s="184"/>
      <c r="F958" s="184"/>
      <c r="G958" s="184"/>
      <c r="H958" s="184"/>
      <c r="I958" s="184"/>
      <c r="J958" s="184"/>
      <c r="K958" s="184"/>
      <c r="L958" s="184"/>
      <c r="M958" s="184"/>
      <c r="N958" s="184"/>
      <c r="O958" s="184"/>
      <c r="P958" s="184"/>
      <c r="Q958" s="184"/>
      <c r="R958" s="184"/>
      <c r="S958" s="186"/>
      <c r="T958" s="184">
        <v>0.0</v>
      </c>
    </row>
    <row r="959">
      <c r="A959" s="184"/>
      <c r="B959" s="184"/>
      <c r="C959" s="184"/>
      <c r="D959" s="184"/>
      <c r="E959" s="184"/>
      <c r="F959" s="184"/>
      <c r="G959" s="184"/>
      <c r="H959" s="184"/>
      <c r="I959" s="184"/>
      <c r="J959" s="184"/>
      <c r="K959" s="184"/>
      <c r="L959" s="184"/>
      <c r="M959" s="184"/>
      <c r="N959" s="184"/>
      <c r="O959" s="184"/>
      <c r="P959" s="184"/>
      <c r="Q959" s="184"/>
      <c r="R959" s="184"/>
      <c r="S959" s="186"/>
      <c r="T959" s="184">
        <v>0.0</v>
      </c>
    </row>
    <row r="960">
      <c r="A960" s="184"/>
      <c r="B960" s="184"/>
      <c r="C960" s="184"/>
      <c r="D960" s="184"/>
      <c r="E960" s="184"/>
      <c r="F960" s="184"/>
      <c r="G960" s="184"/>
      <c r="H960" s="184"/>
      <c r="I960" s="184"/>
      <c r="J960" s="184"/>
      <c r="K960" s="184"/>
      <c r="L960" s="184"/>
      <c r="M960" s="184"/>
      <c r="N960" s="184"/>
      <c r="O960" s="184"/>
      <c r="P960" s="184"/>
      <c r="Q960" s="184"/>
      <c r="R960" s="184"/>
      <c r="S960" s="186"/>
      <c r="T960" s="184">
        <v>0.0</v>
      </c>
    </row>
    <row r="961">
      <c r="A961" s="184"/>
      <c r="B961" s="184"/>
      <c r="C961" s="184"/>
      <c r="D961" s="184"/>
      <c r="E961" s="184"/>
      <c r="F961" s="184"/>
      <c r="G961" s="184"/>
      <c r="H961" s="184"/>
      <c r="I961" s="184"/>
      <c r="J961" s="184"/>
      <c r="K961" s="184"/>
      <c r="L961" s="184"/>
      <c r="M961" s="184"/>
      <c r="N961" s="184"/>
      <c r="O961" s="184"/>
      <c r="P961" s="184"/>
      <c r="Q961" s="184"/>
      <c r="R961" s="184"/>
      <c r="S961" s="186"/>
      <c r="T961" s="184">
        <v>0.0</v>
      </c>
    </row>
    <row r="962">
      <c r="A962" s="184"/>
      <c r="B962" s="184"/>
      <c r="C962" s="184"/>
      <c r="D962" s="184"/>
      <c r="E962" s="184"/>
      <c r="F962" s="184"/>
      <c r="G962" s="184"/>
      <c r="H962" s="184"/>
      <c r="I962" s="184"/>
      <c r="J962" s="184"/>
      <c r="K962" s="184"/>
      <c r="L962" s="184"/>
      <c r="M962" s="184"/>
      <c r="N962" s="184"/>
      <c r="O962" s="184"/>
      <c r="P962" s="184"/>
      <c r="Q962" s="184"/>
      <c r="R962" s="184"/>
      <c r="S962" s="186"/>
      <c r="T962" s="184">
        <v>0.0</v>
      </c>
    </row>
    <row r="963">
      <c r="A963" s="184"/>
      <c r="B963" s="184"/>
      <c r="C963" s="184"/>
      <c r="D963" s="184"/>
      <c r="E963" s="184"/>
      <c r="F963" s="184"/>
      <c r="G963" s="184"/>
      <c r="H963" s="184"/>
      <c r="I963" s="184"/>
      <c r="J963" s="184"/>
      <c r="K963" s="184"/>
      <c r="L963" s="184"/>
      <c r="M963" s="184"/>
      <c r="N963" s="184"/>
      <c r="O963" s="184"/>
      <c r="P963" s="184"/>
      <c r="Q963" s="184"/>
      <c r="R963" s="184"/>
      <c r="S963" s="186"/>
      <c r="T963" s="184">
        <v>0.0</v>
      </c>
    </row>
    <row r="964">
      <c r="A964" s="184"/>
      <c r="B964" s="184"/>
      <c r="C964" s="184"/>
      <c r="D964" s="184"/>
      <c r="E964" s="184"/>
      <c r="F964" s="184"/>
      <c r="G964" s="184"/>
      <c r="H964" s="184"/>
      <c r="I964" s="184"/>
      <c r="J964" s="184"/>
      <c r="K964" s="184"/>
      <c r="L964" s="184"/>
      <c r="M964" s="184"/>
      <c r="N964" s="184"/>
      <c r="O964" s="184"/>
      <c r="P964" s="184"/>
      <c r="Q964" s="184"/>
      <c r="R964" s="184"/>
      <c r="S964" s="186"/>
      <c r="T964" s="184">
        <v>0.0</v>
      </c>
    </row>
    <row r="965">
      <c r="A965" s="184"/>
      <c r="B965" s="184"/>
      <c r="C965" s="184"/>
      <c r="D965" s="184"/>
      <c r="E965" s="184"/>
      <c r="F965" s="184"/>
      <c r="G965" s="184"/>
      <c r="H965" s="184"/>
      <c r="I965" s="184"/>
      <c r="J965" s="184"/>
      <c r="K965" s="184"/>
      <c r="L965" s="184"/>
      <c r="M965" s="184"/>
      <c r="N965" s="184"/>
      <c r="O965" s="184"/>
      <c r="P965" s="184"/>
      <c r="Q965" s="184"/>
      <c r="R965" s="184"/>
      <c r="S965" s="186"/>
      <c r="T965" s="184">
        <v>0.0</v>
      </c>
    </row>
    <row r="966">
      <c r="A966" s="184"/>
      <c r="B966" s="184"/>
      <c r="C966" s="184"/>
      <c r="D966" s="184"/>
      <c r="E966" s="184"/>
      <c r="F966" s="184"/>
      <c r="G966" s="184"/>
      <c r="H966" s="184"/>
      <c r="I966" s="184"/>
      <c r="J966" s="184"/>
      <c r="K966" s="184"/>
      <c r="L966" s="184"/>
      <c r="M966" s="184"/>
      <c r="N966" s="184"/>
      <c r="O966" s="184"/>
      <c r="P966" s="184"/>
      <c r="Q966" s="184"/>
      <c r="R966" s="184"/>
      <c r="S966" s="186"/>
      <c r="T966" s="184">
        <v>0.0</v>
      </c>
    </row>
    <row r="967">
      <c r="A967" s="184"/>
      <c r="B967" s="184"/>
      <c r="C967" s="184"/>
      <c r="D967" s="184"/>
      <c r="E967" s="184"/>
      <c r="F967" s="184"/>
      <c r="G967" s="184"/>
      <c r="H967" s="184"/>
      <c r="I967" s="184"/>
      <c r="J967" s="184"/>
      <c r="K967" s="184"/>
      <c r="L967" s="184"/>
      <c r="M967" s="184"/>
      <c r="N967" s="184"/>
      <c r="O967" s="184"/>
      <c r="P967" s="184"/>
      <c r="Q967" s="184"/>
      <c r="R967" s="184"/>
      <c r="S967" s="186"/>
      <c r="T967" s="184">
        <v>0.0</v>
      </c>
    </row>
    <row r="968">
      <c r="A968" s="184"/>
      <c r="B968" s="184"/>
      <c r="C968" s="184"/>
      <c r="D968" s="184"/>
      <c r="E968" s="184"/>
      <c r="F968" s="184"/>
      <c r="G968" s="184"/>
      <c r="H968" s="184"/>
      <c r="I968" s="184"/>
      <c r="J968" s="184"/>
      <c r="K968" s="184"/>
      <c r="L968" s="184"/>
      <c r="M968" s="184"/>
      <c r="N968" s="184"/>
      <c r="O968" s="184"/>
      <c r="P968" s="184"/>
      <c r="Q968" s="184"/>
      <c r="R968" s="184"/>
      <c r="S968" s="186"/>
      <c r="T968" s="184">
        <v>0.0</v>
      </c>
    </row>
    <row r="969">
      <c r="A969" s="184"/>
      <c r="B969" s="184"/>
      <c r="C969" s="184"/>
      <c r="D969" s="184"/>
      <c r="E969" s="184"/>
      <c r="F969" s="184"/>
      <c r="G969" s="184"/>
      <c r="H969" s="184"/>
      <c r="I969" s="184"/>
      <c r="J969" s="184"/>
      <c r="K969" s="184"/>
      <c r="L969" s="184"/>
      <c r="M969" s="184"/>
      <c r="N969" s="184"/>
      <c r="O969" s="184"/>
      <c r="P969" s="184"/>
      <c r="Q969" s="184"/>
      <c r="R969" s="184"/>
      <c r="S969" s="186"/>
      <c r="T969" s="184">
        <v>0.0</v>
      </c>
    </row>
    <row r="970">
      <c r="A970" s="184"/>
      <c r="B970" s="184"/>
      <c r="C970" s="184"/>
      <c r="D970" s="184"/>
      <c r="E970" s="184"/>
      <c r="F970" s="184"/>
      <c r="G970" s="184"/>
      <c r="H970" s="184"/>
      <c r="I970" s="184"/>
      <c r="J970" s="184"/>
      <c r="K970" s="184"/>
      <c r="L970" s="184"/>
      <c r="M970" s="184"/>
      <c r="N970" s="184"/>
      <c r="O970" s="184"/>
      <c r="P970" s="184"/>
      <c r="Q970" s="184"/>
      <c r="R970" s="184"/>
      <c r="S970" s="186"/>
      <c r="T970" s="184">
        <v>0.0</v>
      </c>
    </row>
    <row r="971">
      <c r="A971" s="184"/>
      <c r="B971" s="184"/>
      <c r="C971" s="184"/>
      <c r="D971" s="184"/>
      <c r="E971" s="184"/>
      <c r="F971" s="184"/>
      <c r="G971" s="184"/>
      <c r="H971" s="184"/>
      <c r="I971" s="184"/>
      <c r="J971" s="184"/>
      <c r="K971" s="184"/>
      <c r="L971" s="184"/>
      <c r="M971" s="184"/>
      <c r="N971" s="184"/>
      <c r="O971" s="184"/>
      <c r="P971" s="184"/>
      <c r="Q971" s="184"/>
      <c r="R971" s="184"/>
      <c r="S971" s="186"/>
      <c r="T971" s="184">
        <v>0.0</v>
      </c>
    </row>
    <row r="972">
      <c r="A972" s="184"/>
      <c r="B972" s="184"/>
      <c r="C972" s="184"/>
      <c r="D972" s="184"/>
      <c r="E972" s="184"/>
      <c r="F972" s="184"/>
      <c r="G972" s="184"/>
      <c r="H972" s="184"/>
      <c r="I972" s="184"/>
      <c r="J972" s="184"/>
      <c r="K972" s="184"/>
      <c r="L972" s="184"/>
      <c r="M972" s="184"/>
      <c r="N972" s="184"/>
      <c r="O972" s="184"/>
      <c r="P972" s="184"/>
      <c r="Q972" s="184"/>
      <c r="R972" s="184"/>
      <c r="S972" s="186"/>
      <c r="T972" s="184">
        <v>0.0</v>
      </c>
    </row>
    <row r="973">
      <c r="A973" s="184"/>
      <c r="B973" s="184"/>
      <c r="C973" s="184"/>
      <c r="D973" s="184"/>
      <c r="E973" s="184"/>
      <c r="F973" s="184"/>
      <c r="G973" s="184"/>
      <c r="H973" s="184"/>
      <c r="I973" s="184"/>
      <c r="J973" s="184"/>
      <c r="K973" s="184"/>
      <c r="L973" s="184"/>
      <c r="M973" s="184"/>
      <c r="N973" s="184"/>
      <c r="O973" s="184"/>
      <c r="P973" s="184"/>
      <c r="Q973" s="184"/>
      <c r="R973" s="184"/>
      <c r="S973" s="186"/>
      <c r="T973" s="184">
        <v>0.0</v>
      </c>
    </row>
    <row r="974">
      <c r="A974" s="184"/>
      <c r="B974" s="184"/>
      <c r="C974" s="184"/>
      <c r="D974" s="184"/>
      <c r="E974" s="184"/>
      <c r="F974" s="184"/>
      <c r="G974" s="184"/>
      <c r="H974" s="184"/>
      <c r="I974" s="184"/>
      <c r="J974" s="184"/>
      <c r="K974" s="184"/>
      <c r="L974" s="184"/>
      <c r="M974" s="184"/>
      <c r="N974" s="184"/>
      <c r="O974" s="184"/>
      <c r="P974" s="184"/>
      <c r="Q974" s="184"/>
      <c r="R974" s="184"/>
      <c r="S974" s="186"/>
      <c r="T974" s="184">
        <v>0.0</v>
      </c>
    </row>
    <row r="975">
      <c r="A975" s="184"/>
      <c r="B975" s="184"/>
      <c r="C975" s="184"/>
      <c r="D975" s="184"/>
      <c r="E975" s="184"/>
      <c r="F975" s="184"/>
      <c r="G975" s="184"/>
      <c r="H975" s="184"/>
      <c r="I975" s="184"/>
      <c r="J975" s="184"/>
      <c r="K975" s="184"/>
      <c r="L975" s="184"/>
      <c r="M975" s="184"/>
      <c r="N975" s="184"/>
      <c r="O975" s="184"/>
      <c r="P975" s="184"/>
      <c r="Q975" s="184"/>
      <c r="R975" s="184"/>
      <c r="S975" s="186"/>
      <c r="T975" s="184">
        <v>0.0</v>
      </c>
    </row>
    <row r="976">
      <c r="A976" s="184"/>
      <c r="B976" s="184"/>
      <c r="C976" s="184"/>
      <c r="D976" s="184"/>
      <c r="E976" s="184"/>
      <c r="F976" s="184"/>
      <c r="G976" s="184"/>
      <c r="H976" s="184"/>
      <c r="I976" s="184"/>
      <c r="J976" s="184"/>
      <c r="K976" s="184"/>
      <c r="L976" s="184"/>
      <c r="M976" s="184"/>
      <c r="N976" s="184"/>
      <c r="O976" s="184"/>
      <c r="P976" s="184"/>
      <c r="Q976" s="184"/>
      <c r="R976" s="184"/>
      <c r="S976" s="186"/>
      <c r="T976" s="184">
        <v>0.0</v>
      </c>
    </row>
    <row r="977">
      <c r="A977" s="184"/>
      <c r="B977" s="184"/>
      <c r="C977" s="184"/>
      <c r="D977" s="184"/>
      <c r="E977" s="184"/>
      <c r="F977" s="184"/>
      <c r="G977" s="184"/>
      <c r="H977" s="184"/>
      <c r="I977" s="184"/>
      <c r="J977" s="184"/>
      <c r="K977" s="184"/>
      <c r="L977" s="184"/>
      <c r="M977" s="184"/>
      <c r="N977" s="184"/>
      <c r="O977" s="184"/>
      <c r="P977" s="184"/>
      <c r="Q977" s="184"/>
      <c r="R977" s="184"/>
      <c r="S977" s="186"/>
      <c r="T977" s="184">
        <v>0.0</v>
      </c>
    </row>
    <row r="978">
      <c r="A978" s="184"/>
      <c r="B978" s="184"/>
      <c r="C978" s="184"/>
      <c r="D978" s="184"/>
      <c r="E978" s="184"/>
      <c r="F978" s="184"/>
      <c r="G978" s="184"/>
      <c r="H978" s="184"/>
      <c r="I978" s="184"/>
      <c r="J978" s="184"/>
      <c r="K978" s="184"/>
      <c r="L978" s="184"/>
      <c r="M978" s="184"/>
      <c r="N978" s="184"/>
      <c r="O978" s="184"/>
      <c r="P978" s="184"/>
      <c r="Q978" s="184"/>
      <c r="R978" s="184"/>
      <c r="S978" s="186"/>
      <c r="T978" s="184">
        <v>0.0</v>
      </c>
    </row>
    <row r="979">
      <c r="A979" s="184"/>
      <c r="B979" s="184"/>
      <c r="C979" s="184"/>
      <c r="D979" s="184"/>
      <c r="E979" s="184"/>
      <c r="F979" s="184"/>
      <c r="G979" s="184"/>
      <c r="H979" s="184"/>
      <c r="I979" s="184"/>
      <c r="J979" s="184"/>
      <c r="K979" s="184"/>
      <c r="L979" s="184"/>
      <c r="M979" s="184"/>
      <c r="N979" s="184"/>
      <c r="O979" s="184"/>
      <c r="P979" s="184"/>
      <c r="Q979" s="184"/>
      <c r="R979" s="184"/>
      <c r="S979" s="186"/>
      <c r="T979" s="184">
        <v>0.0</v>
      </c>
    </row>
    <row r="980">
      <c r="A980" s="184"/>
      <c r="B980" s="184"/>
      <c r="C980" s="184"/>
      <c r="D980" s="184"/>
      <c r="E980" s="184"/>
      <c r="F980" s="184"/>
      <c r="G980" s="184"/>
      <c r="H980" s="184"/>
      <c r="I980" s="184"/>
      <c r="J980" s="184"/>
      <c r="K980" s="184"/>
      <c r="L980" s="184"/>
      <c r="M980" s="184"/>
      <c r="N980" s="184"/>
      <c r="O980" s="184"/>
      <c r="P980" s="184"/>
      <c r="Q980" s="184"/>
      <c r="R980" s="184"/>
      <c r="S980" s="186"/>
      <c r="T980" s="184">
        <v>0.0</v>
      </c>
    </row>
    <row r="981">
      <c r="A981" s="184"/>
      <c r="B981" s="184"/>
      <c r="C981" s="184"/>
      <c r="D981" s="184"/>
      <c r="E981" s="184"/>
      <c r="F981" s="184"/>
      <c r="G981" s="184"/>
      <c r="H981" s="184"/>
      <c r="I981" s="184"/>
      <c r="J981" s="184"/>
      <c r="K981" s="184"/>
      <c r="L981" s="184"/>
      <c r="M981" s="184"/>
      <c r="N981" s="184"/>
      <c r="O981" s="184"/>
      <c r="P981" s="184"/>
      <c r="Q981" s="184"/>
      <c r="R981" s="184"/>
      <c r="S981" s="186"/>
      <c r="T981" s="184">
        <v>0.0</v>
      </c>
    </row>
    <row r="982">
      <c r="A982" s="184"/>
      <c r="B982" s="184"/>
      <c r="C982" s="184"/>
      <c r="D982" s="184"/>
      <c r="E982" s="184"/>
      <c r="F982" s="184"/>
      <c r="G982" s="184"/>
      <c r="H982" s="184"/>
      <c r="I982" s="184"/>
      <c r="J982" s="184"/>
      <c r="K982" s="184"/>
      <c r="L982" s="184"/>
      <c r="M982" s="184"/>
      <c r="N982" s="184"/>
      <c r="O982" s="184"/>
      <c r="P982" s="184"/>
      <c r="Q982" s="184"/>
      <c r="R982" s="184"/>
      <c r="S982" s="186"/>
      <c r="T982" s="184">
        <v>0.0</v>
      </c>
    </row>
    <row r="983">
      <c r="A983" s="184"/>
      <c r="B983" s="184"/>
      <c r="C983" s="184"/>
      <c r="D983" s="184"/>
      <c r="E983" s="184"/>
      <c r="F983" s="184"/>
      <c r="G983" s="184"/>
      <c r="H983" s="184"/>
      <c r="I983" s="184"/>
      <c r="J983" s="184"/>
      <c r="K983" s="184"/>
      <c r="L983" s="184"/>
      <c r="M983" s="184"/>
      <c r="N983" s="184"/>
      <c r="O983" s="184"/>
      <c r="P983" s="184"/>
      <c r="Q983" s="184"/>
      <c r="R983" s="184"/>
      <c r="S983" s="186"/>
      <c r="T983" s="184">
        <v>0.0</v>
      </c>
    </row>
    <row r="984">
      <c r="A984" s="184"/>
      <c r="B984" s="184"/>
      <c r="C984" s="184"/>
      <c r="D984" s="184"/>
      <c r="E984" s="184"/>
      <c r="F984" s="184"/>
      <c r="G984" s="184"/>
      <c r="H984" s="184"/>
      <c r="I984" s="184"/>
      <c r="J984" s="184"/>
      <c r="K984" s="184"/>
      <c r="L984" s="184"/>
      <c r="M984" s="184"/>
      <c r="N984" s="184"/>
      <c r="O984" s="184"/>
      <c r="P984" s="184"/>
      <c r="Q984" s="184"/>
      <c r="R984" s="184"/>
      <c r="S984" s="186"/>
      <c r="T984" s="184">
        <v>0.0</v>
      </c>
    </row>
    <row r="985">
      <c r="A985" s="184"/>
      <c r="B985" s="184"/>
      <c r="C985" s="184"/>
      <c r="D985" s="184"/>
      <c r="E985" s="184"/>
      <c r="F985" s="184"/>
      <c r="G985" s="184"/>
      <c r="H985" s="184"/>
      <c r="I985" s="184"/>
      <c r="J985" s="184"/>
      <c r="K985" s="184"/>
      <c r="L985" s="184"/>
      <c r="M985" s="184"/>
      <c r="N985" s="184"/>
      <c r="O985" s="184"/>
      <c r="P985" s="184"/>
      <c r="Q985" s="184"/>
      <c r="R985" s="184"/>
      <c r="S985" s="186"/>
      <c r="T985" s="184">
        <v>0.0</v>
      </c>
    </row>
    <row r="986">
      <c r="A986" s="184"/>
      <c r="B986" s="184"/>
      <c r="C986" s="184"/>
      <c r="D986" s="184"/>
      <c r="E986" s="184"/>
      <c r="F986" s="184"/>
      <c r="G986" s="184"/>
      <c r="H986" s="184"/>
      <c r="I986" s="184"/>
      <c r="J986" s="184"/>
      <c r="K986" s="184"/>
      <c r="L986" s="184"/>
      <c r="M986" s="184"/>
      <c r="N986" s="184"/>
      <c r="O986" s="184"/>
      <c r="P986" s="184"/>
      <c r="Q986" s="184"/>
      <c r="R986" s="184"/>
      <c r="S986" s="186"/>
      <c r="T986" s="184">
        <v>0.0</v>
      </c>
    </row>
    <row r="987">
      <c r="A987" s="184"/>
      <c r="B987" s="184"/>
      <c r="C987" s="184"/>
      <c r="D987" s="184"/>
      <c r="E987" s="184"/>
      <c r="F987" s="184"/>
      <c r="G987" s="184"/>
      <c r="H987" s="184"/>
      <c r="I987" s="184"/>
      <c r="J987" s="184"/>
      <c r="K987" s="184"/>
      <c r="L987" s="184"/>
      <c r="M987" s="184"/>
      <c r="N987" s="184"/>
      <c r="O987" s="184"/>
      <c r="P987" s="184"/>
      <c r="Q987" s="184"/>
      <c r="R987" s="184"/>
      <c r="S987" s="186"/>
      <c r="T987" s="184">
        <v>0.0</v>
      </c>
    </row>
    <row r="988">
      <c r="A988" s="184"/>
      <c r="B988" s="184"/>
      <c r="C988" s="184"/>
      <c r="D988" s="184"/>
      <c r="E988" s="184"/>
      <c r="F988" s="184"/>
      <c r="G988" s="184"/>
      <c r="H988" s="184"/>
      <c r="I988" s="184"/>
      <c r="J988" s="184"/>
      <c r="K988" s="184"/>
      <c r="L988" s="184"/>
      <c r="M988" s="184"/>
      <c r="N988" s="184"/>
      <c r="O988" s="184"/>
      <c r="P988" s="184"/>
      <c r="Q988" s="184"/>
      <c r="R988" s="184"/>
      <c r="S988" s="186"/>
      <c r="T988" s="184">
        <v>0.0</v>
      </c>
    </row>
    <row r="989">
      <c r="A989" s="184"/>
      <c r="B989" s="184"/>
      <c r="C989" s="184"/>
      <c r="D989" s="184"/>
      <c r="E989" s="184"/>
      <c r="F989" s="184"/>
      <c r="G989" s="184"/>
      <c r="H989" s="184"/>
      <c r="I989" s="184"/>
      <c r="J989" s="184"/>
      <c r="K989" s="184"/>
      <c r="L989" s="184"/>
      <c r="M989" s="184"/>
      <c r="N989" s="184"/>
      <c r="O989" s="184"/>
      <c r="P989" s="184"/>
      <c r="Q989" s="184"/>
      <c r="R989" s="184"/>
      <c r="S989" s="186"/>
      <c r="T989" s="184">
        <v>0.0</v>
      </c>
    </row>
    <row r="990">
      <c r="A990" s="184"/>
      <c r="B990" s="184"/>
      <c r="C990" s="184"/>
      <c r="D990" s="184"/>
      <c r="E990" s="184"/>
      <c r="F990" s="184"/>
      <c r="G990" s="184"/>
      <c r="H990" s="184"/>
      <c r="I990" s="184"/>
      <c r="J990" s="184"/>
      <c r="K990" s="184"/>
      <c r="L990" s="184"/>
      <c r="M990" s="184"/>
      <c r="N990" s="184"/>
      <c r="O990" s="184"/>
      <c r="P990" s="184"/>
      <c r="Q990" s="184"/>
      <c r="R990" s="184"/>
      <c r="S990" s="186"/>
      <c r="T990" s="184">
        <v>0.0</v>
      </c>
    </row>
    <row r="991">
      <c r="A991" s="184"/>
      <c r="B991" s="184"/>
      <c r="C991" s="184"/>
      <c r="D991" s="184"/>
      <c r="E991" s="184"/>
      <c r="F991" s="184"/>
      <c r="G991" s="184"/>
      <c r="H991" s="184"/>
      <c r="I991" s="184"/>
      <c r="J991" s="184"/>
      <c r="K991" s="184"/>
      <c r="L991" s="184"/>
      <c r="M991" s="184"/>
      <c r="N991" s="184"/>
      <c r="O991" s="184"/>
      <c r="P991" s="184"/>
      <c r="Q991" s="184"/>
      <c r="R991" s="184"/>
      <c r="S991" s="186"/>
      <c r="T991" s="184">
        <v>0.0</v>
      </c>
    </row>
    <row r="992">
      <c r="A992" s="184"/>
      <c r="B992" s="184"/>
      <c r="C992" s="184"/>
      <c r="D992" s="184"/>
      <c r="E992" s="184"/>
      <c r="F992" s="184"/>
      <c r="G992" s="184"/>
      <c r="H992" s="184"/>
      <c r="I992" s="184"/>
      <c r="J992" s="184"/>
      <c r="K992" s="184"/>
      <c r="L992" s="184"/>
      <c r="M992" s="184"/>
      <c r="N992" s="184"/>
      <c r="O992" s="184"/>
      <c r="P992" s="184"/>
      <c r="Q992" s="184"/>
      <c r="R992" s="184"/>
      <c r="S992" s="186"/>
      <c r="T992" s="184">
        <v>0.0</v>
      </c>
    </row>
    <row r="993">
      <c r="A993" s="184"/>
      <c r="B993" s="184"/>
      <c r="C993" s="184"/>
      <c r="D993" s="184"/>
      <c r="E993" s="184"/>
      <c r="F993" s="184"/>
      <c r="G993" s="184"/>
      <c r="H993" s="184"/>
      <c r="I993" s="184"/>
      <c r="J993" s="184"/>
      <c r="K993" s="184"/>
      <c r="L993" s="184"/>
      <c r="M993" s="184"/>
      <c r="N993" s="184"/>
      <c r="O993" s="184"/>
      <c r="P993" s="184"/>
      <c r="Q993" s="184"/>
      <c r="R993" s="184"/>
      <c r="S993" s="186"/>
      <c r="T993" s="184">
        <v>0.0</v>
      </c>
    </row>
    <row r="994">
      <c r="A994" s="184"/>
      <c r="B994" s="184"/>
      <c r="C994" s="184"/>
      <c r="D994" s="184"/>
      <c r="E994" s="184"/>
      <c r="F994" s="184"/>
      <c r="G994" s="184"/>
      <c r="H994" s="184"/>
      <c r="I994" s="184"/>
      <c r="J994" s="184"/>
      <c r="K994" s="184"/>
      <c r="L994" s="184"/>
      <c r="M994" s="184"/>
      <c r="N994" s="184"/>
      <c r="O994" s="184"/>
      <c r="P994" s="184"/>
      <c r="Q994" s="184"/>
      <c r="R994" s="184"/>
      <c r="S994" s="186"/>
      <c r="T994" s="184">
        <v>0.0</v>
      </c>
    </row>
    <row r="995">
      <c r="A995" s="184"/>
      <c r="B995" s="184"/>
      <c r="C995" s="184"/>
      <c r="D995" s="184"/>
      <c r="E995" s="184"/>
      <c r="F995" s="184"/>
      <c r="G995" s="184"/>
      <c r="H995" s="184"/>
      <c r="I995" s="184"/>
      <c r="J995" s="184"/>
      <c r="K995" s="184"/>
      <c r="L995" s="184"/>
      <c r="M995" s="184"/>
      <c r="N995" s="184"/>
      <c r="O995" s="184"/>
      <c r="P995" s="184"/>
      <c r="Q995" s="184"/>
      <c r="R995" s="184"/>
      <c r="S995" s="186"/>
      <c r="T995" s="184">
        <v>0.0</v>
      </c>
    </row>
    <row r="996">
      <c r="A996" s="184"/>
      <c r="B996" s="184"/>
      <c r="C996" s="184"/>
      <c r="D996" s="184"/>
      <c r="E996" s="184"/>
      <c r="F996" s="184"/>
      <c r="G996" s="184"/>
      <c r="H996" s="184"/>
      <c r="I996" s="184"/>
      <c r="J996" s="184"/>
      <c r="K996" s="184"/>
      <c r="L996" s="184"/>
      <c r="M996" s="184"/>
      <c r="N996" s="184"/>
      <c r="O996" s="184"/>
      <c r="P996" s="184"/>
      <c r="Q996" s="184"/>
      <c r="R996" s="184"/>
      <c r="S996" s="186"/>
      <c r="T996" s="184">
        <v>0.0</v>
      </c>
    </row>
    <row r="997">
      <c r="A997" s="184"/>
      <c r="B997" s="184"/>
      <c r="C997" s="184"/>
      <c r="D997" s="184"/>
      <c r="E997" s="184"/>
      <c r="F997" s="184"/>
      <c r="G997" s="184"/>
      <c r="H997" s="184"/>
      <c r="I997" s="184"/>
      <c r="J997" s="184"/>
      <c r="K997" s="184"/>
      <c r="L997" s="184"/>
      <c r="M997" s="184"/>
      <c r="N997" s="184"/>
      <c r="O997" s="184"/>
      <c r="P997" s="184"/>
      <c r="Q997" s="184"/>
      <c r="R997" s="184"/>
      <c r="S997" s="186"/>
      <c r="T997" s="184">
        <v>0.0</v>
      </c>
    </row>
    <row r="998">
      <c r="A998" s="184"/>
      <c r="B998" s="184"/>
      <c r="C998" s="184"/>
      <c r="D998" s="184"/>
      <c r="E998" s="184"/>
      <c r="F998" s="184"/>
      <c r="G998" s="184"/>
      <c r="H998" s="184"/>
      <c r="I998" s="184"/>
      <c r="J998" s="184"/>
      <c r="K998" s="184"/>
      <c r="L998" s="184"/>
      <c r="M998" s="184"/>
      <c r="N998" s="184"/>
      <c r="O998" s="184"/>
      <c r="P998" s="184"/>
      <c r="Q998" s="184"/>
      <c r="R998" s="184"/>
      <c r="S998" s="186"/>
      <c r="T998" s="184">
        <v>0.0</v>
      </c>
    </row>
    <row r="999">
      <c r="A999" s="184"/>
      <c r="B999" s="184"/>
      <c r="C999" s="184"/>
      <c r="D999" s="184"/>
      <c r="E999" s="184"/>
      <c r="F999" s="184"/>
      <c r="G999" s="184"/>
      <c r="H999" s="184"/>
      <c r="I999" s="184"/>
      <c r="J999" s="184"/>
      <c r="K999" s="184"/>
      <c r="L999" s="184"/>
      <c r="M999" s="184"/>
      <c r="N999" s="184"/>
      <c r="O999" s="184"/>
      <c r="P999" s="184"/>
      <c r="Q999" s="184"/>
      <c r="R999" s="184"/>
      <c r="S999" s="186"/>
      <c r="T999" s="184">
        <v>0.0</v>
      </c>
    </row>
    <row r="1000">
      <c r="A1000" s="184"/>
      <c r="B1000" s="184"/>
      <c r="C1000" s="184"/>
      <c r="D1000" s="184"/>
      <c r="E1000" s="184"/>
      <c r="F1000" s="184"/>
      <c r="G1000" s="184"/>
      <c r="H1000" s="184"/>
      <c r="I1000" s="184"/>
      <c r="J1000" s="184"/>
      <c r="K1000" s="184"/>
      <c r="L1000" s="184"/>
      <c r="M1000" s="184"/>
      <c r="N1000" s="184"/>
      <c r="O1000" s="184"/>
      <c r="P1000" s="184"/>
      <c r="Q1000" s="184"/>
      <c r="R1000" s="184"/>
      <c r="S1000" s="186"/>
      <c r="T1000" s="184">
        <v>0.0</v>
      </c>
    </row>
    <row r="1001">
      <c r="A1001" s="184"/>
      <c r="B1001" s="184"/>
      <c r="C1001" s="184"/>
      <c r="D1001" s="184"/>
      <c r="E1001" s="184"/>
      <c r="F1001" s="184"/>
      <c r="G1001" s="184"/>
      <c r="H1001" s="184"/>
      <c r="I1001" s="184"/>
      <c r="J1001" s="184"/>
      <c r="K1001" s="184"/>
      <c r="L1001" s="184"/>
      <c r="M1001" s="184"/>
      <c r="N1001" s="184"/>
      <c r="O1001" s="184"/>
      <c r="P1001" s="184"/>
      <c r="Q1001" s="184"/>
      <c r="R1001" s="184"/>
      <c r="S1001" s="186"/>
      <c r="T1001" s="184">
        <v>0.0</v>
      </c>
    </row>
    <row r="1002">
      <c r="A1002" s="184"/>
      <c r="B1002" s="184"/>
      <c r="C1002" s="184"/>
      <c r="D1002" s="184"/>
      <c r="E1002" s="184"/>
      <c r="F1002" s="184"/>
      <c r="G1002" s="184"/>
      <c r="H1002" s="184"/>
      <c r="I1002" s="184"/>
      <c r="J1002" s="184"/>
      <c r="K1002" s="184"/>
      <c r="L1002" s="184"/>
      <c r="M1002" s="184"/>
      <c r="N1002" s="184"/>
      <c r="O1002" s="184"/>
      <c r="P1002" s="184"/>
      <c r="Q1002" s="184"/>
      <c r="R1002" s="184"/>
      <c r="S1002" s="186"/>
      <c r="T1002" s="184">
        <v>0.0</v>
      </c>
    </row>
    <row r="1003">
      <c r="A1003" s="184"/>
      <c r="B1003" s="184"/>
      <c r="C1003" s="184"/>
      <c r="D1003" s="184"/>
      <c r="E1003" s="184"/>
      <c r="F1003" s="184"/>
      <c r="G1003" s="184"/>
      <c r="H1003" s="184"/>
      <c r="I1003" s="184"/>
      <c r="J1003" s="184"/>
      <c r="K1003" s="184"/>
      <c r="L1003" s="184"/>
      <c r="M1003" s="184"/>
      <c r="N1003" s="184"/>
      <c r="O1003" s="184"/>
      <c r="P1003" s="184"/>
      <c r="Q1003" s="184"/>
      <c r="R1003" s="184"/>
      <c r="S1003" s="186"/>
      <c r="T1003" s="184">
        <v>0.0</v>
      </c>
    </row>
    <row r="1004">
      <c r="A1004" s="184"/>
      <c r="B1004" s="184"/>
      <c r="C1004" s="184"/>
      <c r="D1004" s="184"/>
      <c r="E1004" s="184"/>
      <c r="F1004" s="184"/>
      <c r="G1004" s="184"/>
      <c r="H1004" s="184"/>
      <c r="I1004" s="184"/>
      <c r="J1004" s="184"/>
      <c r="K1004" s="184"/>
      <c r="L1004" s="184"/>
      <c r="M1004" s="184"/>
      <c r="N1004" s="184"/>
      <c r="O1004" s="184"/>
      <c r="P1004" s="184"/>
      <c r="Q1004" s="184"/>
      <c r="R1004" s="184"/>
      <c r="S1004" s="186"/>
      <c r="T1004" s="184">
        <v>0.0</v>
      </c>
    </row>
    <row r="1005">
      <c r="A1005" s="184"/>
      <c r="B1005" s="184"/>
      <c r="C1005" s="184"/>
      <c r="D1005" s="184"/>
      <c r="E1005" s="184"/>
      <c r="F1005" s="184"/>
      <c r="G1005" s="184"/>
      <c r="H1005" s="184"/>
      <c r="I1005" s="184"/>
      <c r="J1005" s="184"/>
      <c r="K1005" s="184"/>
      <c r="L1005" s="184"/>
      <c r="M1005" s="184"/>
      <c r="N1005" s="184"/>
      <c r="O1005" s="184"/>
      <c r="P1005" s="184"/>
      <c r="Q1005" s="184"/>
      <c r="R1005" s="184"/>
      <c r="S1005" s="186"/>
      <c r="T1005" s="184">
        <v>0.0</v>
      </c>
    </row>
    <row r="1006">
      <c r="A1006" s="184"/>
      <c r="B1006" s="184"/>
      <c r="C1006" s="184"/>
      <c r="D1006" s="184"/>
      <c r="E1006" s="184"/>
      <c r="F1006" s="184"/>
      <c r="G1006" s="184"/>
      <c r="H1006" s="184"/>
      <c r="I1006" s="184"/>
      <c r="J1006" s="184"/>
      <c r="K1006" s="184"/>
      <c r="L1006" s="184"/>
      <c r="M1006" s="184"/>
      <c r="N1006" s="184"/>
      <c r="O1006" s="184"/>
      <c r="P1006" s="184"/>
      <c r="Q1006" s="184"/>
      <c r="R1006" s="184"/>
      <c r="S1006" s="186"/>
      <c r="T1006" s="184">
        <v>0.0</v>
      </c>
    </row>
    <row r="1007">
      <c r="A1007" s="184"/>
      <c r="B1007" s="184"/>
      <c r="C1007" s="184"/>
      <c r="D1007" s="184"/>
      <c r="E1007" s="184"/>
      <c r="F1007" s="184"/>
      <c r="G1007" s="184"/>
      <c r="H1007" s="184"/>
      <c r="I1007" s="184"/>
      <c r="J1007" s="184"/>
      <c r="K1007" s="184"/>
      <c r="L1007" s="184"/>
      <c r="M1007" s="184"/>
      <c r="N1007" s="184"/>
      <c r="O1007" s="184"/>
      <c r="P1007" s="184"/>
      <c r="Q1007" s="184"/>
      <c r="R1007" s="184"/>
      <c r="S1007" s="186"/>
      <c r="T1007" s="184">
        <v>0.0</v>
      </c>
    </row>
    <row r="1008">
      <c r="A1008" s="184"/>
      <c r="B1008" s="184"/>
      <c r="C1008" s="184"/>
      <c r="D1008" s="184"/>
      <c r="E1008" s="184"/>
      <c r="F1008" s="184"/>
      <c r="G1008" s="184"/>
      <c r="H1008" s="184"/>
      <c r="I1008" s="184"/>
      <c r="J1008" s="184"/>
      <c r="K1008" s="184"/>
      <c r="L1008" s="184"/>
      <c r="M1008" s="184"/>
      <c r="N1008" s="184"/>
      <c r="O1008" s="184"/>
      <c r="P1008" s="184"/>
      <c r="Q1008" s="184"/>
      <c r="R1008" s="184"/>
      <c r="S1008" s="186"/>
      <c r="T1008" s="184">
        <v>0.0</v>
      </c>
    </row>
    <row r="1009">
      <c r="A1009" s="184"/>
      <c r="B1009" s="184"/>
      <c r="C1009" s="184"/>
      <c r="D1009" s="184"/>
      <c r="E1009" s="184"/>
      <c r="F1009" s="184"/>
      <c r="G1009" s="184"/>
      <c r="H1009" s="184"/>
      <c r="I1009" s="184"/>
      <c r="J1009" s="184"/>
      <c r="K1009" s="184"/>
      <c r="L1009" s="184"/>
      <c r="M1009" s="184"/>
      <c r="N1009" s="184"/>
      <c r="O1009" s="184"/>
      <c r="P1009" s="184"/>
      <c r="Q1009" s="184"/>
      <c r="R1009" s="184"/>
      <c r="S1009" s="186"/>
      <c r="T1009" s="184">
        <v>0.0</v>
      </c>
    </row>
    <row r="1010">
      <c r="A1010" s="184"/>
      <c r="B1010" s="184"/>
      <c r="C1010" s="184"/>
      <c r="D1010" s="184"/>
      <c r="E1010" s="184"/>
      <c r="F1010" s="184"/>
      <c r="G1010" s="184"/>
      <c r="H1010" s="184"/>
      <c r="I1010" s="184"/>
      <c r="J1010" s="184"/>
      <c r="K1010" s="184"/>
      <c r="L1010" s="184"/>
      <c r="M1010" s="184"/>
      <c r="N1010" s="184"/>
      <c r="O1010" s="184"/>
      <c r="P1010" s="184"/>
      <c r="Q1010" s="184"/>
      <c r="R1010" s="184"/>
      <c r="S1010" s="186"/>
      <c r="T1010" s="184">
        <v>0.0</v>
      </c>
    </row>
    <row r="1011">
      <c r="A1011" s="184"/>
      <c r="B1011" s="184"/>
      <c r="C1011" s="184"/>
      <c r="D1011" s="184"/>
      <c r="E1011" s="184"/>
      <c r="F1011" s="184"/>
      <c r="G1011" s="184"/>
      <c r="H1011" s="184"/>
      <c r="I1011" s="184"/>
      <c r="J1011" s="184"/>
      <c r="K1011" s="184"/>
      <c r="L1011" s="184"/>
      <c r="M1011" s="184"/>
      <c r="N1011" s="184"/>
      <c r="O1011" s="184"/>
      <c r="P1011" s="184"/>
      <c r="Q1011" s="184"/>
      <c r="R1011" s="184"/>
      <c r="S1011" s="186"/>
      <c r="T1011" s="184">
        <v>0.0</v>
      </c>
    </row>
    <row r="1012">
      <c r="A1012" s="184"/>
      <c r="B1012" s="184"/>
      <c r="C1012" s="184"/>
      <c r="D1012" s="184"/>
      <c r="E1012" s="184"/>
      <c r="F1012" s="184"/>
      <c r="G1012" s="184"/>
      <c r="H1012" s="184"/>
      <c r="I1012" s="184"/>
      <c r="J1012" s="184"/>
      <c r="K1012" s="184"/>
      <c r="L1012" s="184"/>
      <c r="M1012" s="184"/>
      <c r="N1012" s="184"/>
      <c r="O1012" s="184"/>
      <c r="P1012" s="184"/>
      <c r="Q1012" s="184"/>
      <c r="R1012" s="184"/>
      <c r="S1012" s="186"/>
      <c r="T1012" s="184">
        <v>0.0</v>
      </c>
    </row>
    <row r="1013">
      <c r="A1013" s="184"/>
      <c r="B1013" s="184"/>
      <c r="C1013" s="184"/>
      <c r="D1013" s="184"/>
      <c r="E1013" s="184"/>
      <c r="F1013" s="184"/>
      <c r="G1013" s="184"/>
      <c r="H1013" s="184"/>
      <c r="I1013" s="184"/>
      <c r="J1013" s="184"/>
      <c r="K1013" s="184"/>
      <c r="L1013" s="184"/>
      <c r="M1013" s="184"/>
      <c r="N1013" s="184"/>
      <c r="O1013" s="184"/>
      <c r="P1013" s="184"/>
      <c r="Q1013" s="184"/>
      <c r="R1013" s="184"/>
      <c r="S1013" s="186"/>
      <c r="T1013" s="184">
        <v>0.0</v>
      </c>
    </row>
    <row r="1014">
      <c r="A1014" s="184"/>
      <c r="B1014" s="184"/>
      <c r="C1014" s="184"/>
      <c r="D1014" s="184"/>
      <c r="E1014" s="184"/>
      <c r="F1014" s="184"/>
      <c r="G1014" s="184"/>
      <c r="H1014" s="184"/>
      <c r="I1014" s="184"/>
      <c r="J1014" s="184"/>
      <c r="K1014" s="184"/>
      <c r="L1014" s="184"/>
      <c r="M1014" s="184"/>
      <c r="N1014" s="184"/>
      <c r="O1014" s="184"/>
      <c r="P1014" s="184"/>
      <c r="Q1014" s="184"/>
      <c r="R1014" s="184"/>
      <c r="S1014" s="186"/>
      <c r="T1014" s="184">
        <v>0.0</v>
      </c>
    </row>
    <row r="1015">
      <c r="A1015" s="184"/>
      <c r="B1015" s="184"/>
      <c r="C1015" s="184"/>
      <c r="D1015" s="184"/>
      <c r="E1015" s="184"/>
      <c r="F1015" s="184"/>
      <c r="G1015" s="184"/>
      <c r="H1015" s="184"/>
      <c r="I1015" s="184"/>
      <c r="J1015" s="184"/>
      <c r="K1015" s="184"/>
      <c r="L1015" s="184"/>
      <c r="M1015" s="184"/>
      <c r="N1015" s="184"/>
      <c r="O1015" s="184"/>
      <c r="P1015" s="184"/>
      <c r="Q1015" s="184"/>
      <c r="R1015" s="184"/>
      <c r="S1015" s="186"/>
      <c r="T1015" s="184">
        <v>0.0</v>
      </c>
    </row>
    <row r="1016">
      <c r="A1016" s="184"/>
      <c r="B1016" s="184"/>
      <c r="C1016" s="184"/>
      <c r="D1016" s="184"/>
      <c r="E1016" s="184"/>
      <c r="F1016" s="184"/>
      <c r="G1016" s="184"/>
      <c r="H1016" s="184"/>
      <c r="I1016" s="184"/>
      <c r="J1016" s="184"/>
      <c r="K1016" s="184"/>
      <c r="L1016" s="184"/>
      <c r="M1016" s="184"/>
      <c r="N1016" s="184"/>
      <c r="O1016" s="184"/>
      <c r="P1016" s="184"/>
      <c r="Q1016" s="184"/>
      <c r="R1016" s="184"/>
      <c r="S1016" s="186"/>
      <c r="T1016" s="184">
        <v>0.0</v>
      </c>
    </row>
    <row r="1017">
      <c r="A1017" s="184"/>
      <c r="B1017" s="184"/>
      <c r="C1017" s="184"/>
      <c r="D1017" s="184"/>
      <c r="E1017" s="184"/>
      <c r="F1017" s="184"/>
      <c r="G1017" s="184"/>
      <c r="H1017" s="184"/>
      <c r="I1017" s="184"/>
      <c r="J1017" s="184"/>
      <c r="K1017" s="184"/>
      <c r="L1017" s="184"/>
      <c r="M1017" s="184"/>
      <c r="N1017" s="184"/>
      <c r="O1017" s="184"/>
      <c r="P1017" s="184"/>
      <c r="Q1017" s="184"/>
      <c r="R1017" s="184"/>
      <c r="S1017" s="186"/>
      <c r="T1017" s="184">
        <v>0.0</v>
      </c>
    </row>
    <row r="1018">
      <c r="A1018" s="184"/>
      <c r="B1018" s="184"/>
      <c r="C1018" s="184"/>
      <c r="D1018" s="184"/>
      <c r="E1018" s="184"/>
      <c r="F1018" s="184"/>
      <c r="G1018" s="184"/>
      <c r="H1018" s="184"/>
      <c r="I1018" s="184"/>
      <c r="J1018" s="184"/>
      <c r="K1018" s="184"/>
      <c r="L1018" s="184"/>
      <c r="M1018" s="184"/>
      <c r="N1018" s="184"/>
      <c r="O1018" s="184"/>
      <c r="P1018" s="184"/>
      <c r="Q1018" s="184"/>
      <c r="R1018" s="184"/>
      <c r="S1018" s="186"/>
      <c r="T1018" s="184">
        <v>0.0</v>
      </c>
    </row>
    <row r="1019">
      <c r="A1019" s="184"/>
      <c r="B1019" s="184"/>
      <c r="C1019" s="184"/>
      <c r="D1019" s="184"/>
      <c r="E1019" s="184"/>
      <c r="F1019" s="184"/>
      <c r="G1019" s="184"/>
      <c r="H1019" s="184"/>
      <c r="I1019" s="184"/>
      <c r="J1019" s="184"/>
      <c r="K1019" s="184"/>
      <c r="L1019" s="184"/>
      <c r="M1019" s="184"/>
      <c r="N1019" s="184"/>
      <c r="O1019" s="184"/>
      <c r="P1019" s="184"/>
      <c r="Q1019" s="184"/>
      <c r="R1019" s="184"/>
      <c r="S1019" s="186"/>
      <c r="T1019" s="184">
        <v>0.0</v>
      </c>
    </row>
    <row r="1020">
      <c r="A1020" s="184"/>
      <c r="B1020" s="184"/>
      <c r="C1020" s="184"/>
      <c r="D1020" s="184"/>
      <c r="E1020" s="184"/>
      <c r="F1020" s="184"/>
      <c r="G1020" s="184"/>
      <c r="H1020" s="184"/>
      <c r="I1020" s="184"/>
      <c r="J1020" s="184"/>
      <c r="K1020" s="184"/>
      <c r="L1020" s="184"/>
      <c r="M1020" s="184"/>
      <c r="N1020" s="184"/>
      <c r="O1020" s="184"/>
      <c r="P1020" s="184"/>
      <c r="Q1020" s="184"/>
      <c r="R1020" s="184"/>
      <c r="S1020" s="186"/>
      <c r="T1020" s="184">
        <v>0.0</v>
      </c>
    </row>
    <row r="1021">
      <c r="A1021" s="184"/>
      <c r="B1021" s="184"/>
      <c r="C1021" s="184"/>
      <c r="D1021" s="184"/>
      <c r="E1021" s="184"/>
      <c r="F1021" s="184"/>
      <c r="G1021" s="184"/>
      <c r="H1021" s="184"/>
      <c r="I1021" s="184"/>
      <c r="J1021" s="184"/>
      <c r="K1021" s="184"/>
      <c r="L1021" s="184"/>
      <c r="M1021" s="184"/>
      <c r="N1021" s="184"/>
      <c r="O1021" s="184"/>
      <c r="P1021" s="184"/>
      <c r="Q1021" s="184"/>
      <c r="R1021" s="184"/>
      <c r="S1021" s="186"/>
      <c r="T1021" s="184">
        <v>0.0</v>
      </c>
    </row>
    <row r="1022">
      <c r="A1022" s="184"/>
      <c r="B1022" s="184"/>
      <c r="C1022" s="184"/>
      <c r="D1022" s="184"/>
      <c r="E1022" s="184"/>
      <c r="F1022" s="184"/>
      <c r="G1022" s="184"/>
      <c r="H1022" s="184"/>
      <c r="I1022" s="184"/>
      <c r="J1022" s="184"/>
      <c r="K1022" s="184"/>
      <c r="L1022" s="184"/>
      <c r="M1022" s="184"/>
      <c r="N1022" s="184"/>
      <c r="O1022" s="184"/>
      <c r="P1022" s="184"/>
      <c r="Q1022" s="184"/>
      <c r="R1022" s="184"/>
      <c r="S1022" s="186"/>
      <c r="T1022" s="184">
        <v>0.0</v>
      </c>
    </row>
    <row r="1023">
      <c r="A1023" s="184"/>
      <c r="B1023" s="184"/>
      <c r="C1023" s="184"/>
      <c r="D1023" s="184"/>
      <c r="E1023" s="184"/>
      <c r="F1023" s="184"/>
      <c r="G1023" s="184"/>
      <c r="H1023" s="184"/>
      <c r="I1023" s="184"/>
      <c r="J1023" s="184"/>
      <c r="K1023" s="184"/>
      <c r="L1023" s="184"/>
      <c r="M1023" s="184"/>
      <c r="N1023" s="184"/>
      <c r="O1023" s="184"/>
      <c r="P1023" s="184"/>
      <c r="Q1023" s="184"/>
      <c r="R1023" s="184"/>
      <c r="S1023" s="186"/>
      <c r="T1023" s="184">
        <v>0.0</v>
      </c>
    </row>
    <row r="1024">
      <c r="A1024" s="184"/>
      <c r="B1024" s="184"/>
      <c r="C1024" s="184"/>
      <c r="D1024" s="184"/>
      <c r="E1024" s="184"/>
      <c r="F1024" s="184"/>
      <c r="G1024" s="184"/>
      <c r="H1024" s="184"/>
      <c r="I1024" s="184"/>
      <c r="J1024" s="184"/>
      <c r="K1024" s="184"/>
      <c r="L1024" s="184"/>
      <c r="M1024" s="184"/>
      <c r="N1024" s="184"/>
      <c r="O1024" s="184"/>
      <c r="P1024" s="184"/>
      <c r="Q1024" s="184"/>
      <c r="R1024" s="184"/>
      <c r="S1024" s="186"/>
      <c r="T1024" s="184">
        <v>0.0</v>
      </c>
    </row>
    <row r="1025">
      <c r="A1025" s="184"/>
      <c r="B1025" s="184"/>
      <c r="C1025" s="184"/>
      <c r="D1025" s="184"/>
      <c r="E1025" s="184"/>
      <c r="F1025" s="184"/>
      <c r="G1025" s="184"/>
      <c r="H1025" s="184"/>
      <c r="I1025" s="184"/>
      <c r="J1025" s="184"/>
      <c r="K1025" s="184"/>
      <c r="L1025" s="184"/>
      <c r="M1025" s="184"/>
      <c r="N1025" s="184"/>
      <c r="O1025" s="184"/>
      <c r="P1025" s="184"/>
      <c r="Q1025" s="184"/>
      <c r="R1025" s="184"/>
      <c r="S1025" s="186"/>
      <c r="T1025" s="184">
        <v>0.0</v>
      </c>
    </row>
    <row r="1026">
      <c r="A1026" s="184"/>
      <c r="B1026" s="184"/>
      <c r="C1026" s="184"/>
      <c r="D1026" s="184"/>
      <c r="E1026" s="184"/>
      <c r="F1026" s="184"/>
      <c r="G1026" s="184"/>
      <c r="H1026" s="184"/>
      <c r="I1026" s="184"/>
      <c r="J1026" s="184"/>
      <c r="K1026" s="184"/>
      <c r="L1026" s="184"/>
      <c r="M1026" s="184"/>
      <c r="N1026" s="184"/>
      <c r="O1026" s="184"/>
      <c r="P1026" s="184"/>
      <c r="Q1026" s="184"/>
      <c r="R1026" s="184"/>
      <c r="S1026" s="186"/>
      <c r="T1026" s="184">
        <v>0.0</v>
      </c>
    </row>
    <row r="1027">
      <c r="A1027" s="184"/>
      <c r="B1027" s="184"/>
      <c r="C1027" s="184"/>
      <c r="D1027" s="184"/>
      <c r="E1027" s="184"/>
      <c r="F1027" s="184"/>
      <c r="G1027" s="184"/>
      <c r="H1027" s="184"/>
      <c r="I1027" s="184"/>
      <c r="J1027" s="184"/>
      <c r="K1027" s="184"/>
      <c r="L1027" s="184"/>
      <c r="M1027" s="184"/>
      <c r="N1027" s="184"/>
      <c r="O1027" s="184"/>
      <c r="P1027" s="184"/>
      <c r="Q1027" s="184"/>
      <c r="R1027" s="184"/>
      <c r="S1027" s="186"/>
      <c r="T1027" s="184">
        <v>0.0</v>
      </c>
    </row>
    <row r="1028">
      <c r="A1028" s="184"/>
      <c r="B1028" s="184"/>
      <c r="C1028" s="184"/>
      <c r="D1028" s="184"/>
      <c r="E1028" s="184"/>
      <c r="F1028" s="184"/>
      <c r="G1028" s="184"/>
      <c r="H1028" s="184"/>
      <c r="I1028" s="184"/>
      <c r="J1028" s="184"/>
      <c r="K1028" s="184"/>
      <c r="L1028" s="184"/>
      <c r="M1028" s="184"/>
      <c r="N1028" s="184"/>
      <c r="O1028" s="184"/>
      <c r="P1028" s="184"/>
      <c r="Q1028" s="184"/>
      <c r="R1028" s="184"/>
      <c r="S1028" s="186"/>
      <c r="T1028" s="184">
        <v>0.0</v>
      </c>
    </row>
    <row r="1029">
      <c r="A1029" s="184"/>
      <c r="B1029" s="184"/>
      <c r="C1029" s="184"/>
      <c r="D1029" s="184"/>
      <c r="E1029" s="184"/>
      <c r="F1029" s="184"/>
      <c r="G1029" s="184"/>
      <c r="H1029" s="184"/>
      <c r="I1029" s="184"/>
      <c r="J1029" s="184"/>
      <c r="K1029" s="184"/>
      <c r="L1029" s="184"/>
      <c r="M1029" s="184"/>
      <c r="N1029" s="184"/>
      <c r="O1029" s="184"/>
      <c r="P1029" s="184"/>
      <c r="Q1029" s="184"/>
      <c r="R1029" s="184"/>
      <c r="S1029" s="186"/>
      <c r="T1029" s="184">
        <v>0.0</v>
      </c>
    </row>
    <row r="1030">
      <c r="A1030" s="184"/>
      <c r="B1030" s="184"/>
      <c r="C1030" s="184"/>
      <c r="D1030" s="184"/>
      <c r="E1030" s="184"/>
      <c r="F1030" s="184"/>
      <c r="G1030" s="184"/>
      <c r="H1030" s="184"/>
      <c r="I1030" s="184"/>
      <c r="J1030" s="184"/>
      <c r="K1030" s="184"/>
      <c r="L1030" s="184"/>
      <c r="M1030" s="184"/>
      <c r="N1030" s="184"/>
      <c r="O1030" s="184"/>
      <c r="P1030" s="184"/>
      <c r="Q1030" s="184"/>
      <c r="R1030" s="184"/>
      <c r="S1030" s="186"/>
      <c r="T1030" s="184">
        <v>0.0</v>
      </c>
    </row>
    <row r="1031">
      <c r="A1031" s="184"/>
      <c r="B1031" s="184"/>
      <c r="C1031" s="184"/>
      <c r="D1031" s="184"/>
      <c r="E1031" s="184"/>
      <c r="F1031" s="184"/>
      <c r="G1031" s="184"/>
      <c r="H1031" s="184"/>
      <c r="I1031" s="184"/>
      <c r="J1031" s="184"/>
      <c r="K1031" s="184"/>
      <c r="L1031" s="184"/>
      <c r="M1031" s="184"/>
      <c r="N1031" s="184"/>
      <c r="O1031" s="184"/>
      <c r="P1031" s="184"/>
      <c r="Q1031" s="184"/>
      <c r="R1031" s="184"/>
      <c r="S1031" s="186"/>
      <c r="T1031" s="184">
        <v>0.0</v>
      </c>
    </row>
    <row r="1032">
      <c r="A1032" s="184"/>
      <c r="B1032" s="184"/>
      <c r="C1032" s="184"/>
      <c r="D1032" s="184"/>
      <c r="E1032" s="184"/>
      <c r="F1032" s="184"/>
      <c r="G1032" s="184"/>
      <c r="H1032" s="184"/>
      <c r="I1032" s="184"/>
      <c r="J1032" s="184"/>
      <c r="K1032" s="184"/>
      <c r="L1032" s="184"/>
      <c r="M1032" s="184"/>
      <c r="N1032" s="184"/>
      <c r="O1032" s="184"/>
      <c r="P1032" s="184"/>
      <c r="Q1032" s="184"/>
      <c r="R1032" s="184"/>
      <c r="S1032" s="186"/>
      <c r="T1032" s="184">
        <v>0.0</v>
      </c>
    </row>
    <row r="1033">
      <c r="A1033" s="184"/>
      <c r="B1033" s="184"/>
      <c r="C1033" s="184"/>
      <c r="D1033" s="184"/>
      <c r="E1033" s="184"/>
      <c r="F1033" s="184"/>
      <c r="G1033" s="184"/>
      <c r="H1033" s="184"/>
      <c r="I1033" s="184"/>
      <c r="J1033" s="184"/>
      <c r="K1033" s="184"/>
      <c r="L1033" s="184"/>
      <c r="M1033" s="184"/>
      <c r="N1033" s="184"/>
      <c r="O1033" s="184"/>
      <c r="P1033" s="184"/>
      <c r="Q1033" s="184"/>
      <c r="R1033" s="184"/>
      <c r="S1033" s="186"/>
      <c r="T1033" s="184">
        <v>0.0</v>
      </c>
    </row>
    <row r="1034">
      <c r="A1034" s="184"/>
      <c r="B1034" s="184"/>
      <c r="C1034" s="184"/>
      <c r="D1034" s="184"/>
      <c r="E1034" s="184"/>
      <c r="F1034" s="184"/>
      <c r="G1034" s="184"/>
      <c r="H1034" s="184"/>
      <c r="I1034" s="184"/>
      <c r="J1034" s="184"/>
      <c r="K1034" s="184"/>
      <c r="L1034" s="184"/>
      <c r="M1034" s="184"/>
      <c r="N1034" s="184"/>
      <c r="O1034" s="184"/>
      <c r="P1034" s="184"/>
      <c r="Q1034" s="184"/>
      <c r="R1034" s="184"/>
      <c r="S1034" s="186"/>
      <c r="T1034" s="184">
        <v>0.0</v>
      </c>
    </row>
    <row r="1035">
      <c r="A1035" s="184"/>
      <c r="B1035" s="184"/>
      <c r="C1035" s="184"/>
      <c r="D1035" s="184"/>
      <c r="E1035" s="184"/>
      <c r="F1035" s="184"/>
      <c r="G1035" s="184"/>
      <c r="H1035" s="184"/>
      <c r="I1035" s="184"/>
      <c r="J1035" s="184"/>
      <c r="K1035" s="184"/>
      <c r="L1035" s="184"/>
      <c r="M1035" s="184"/>
      <c r="N1035" s="184"/>
      <c r="O1035" s="184"/>
      <c r="P1035" s="184"/>
      <c r="Q1035" s="184"/>
      <c r="R1035" s="184"/>
      <c r="S1035" s="186"/>
      <c r="T1035" s="184">
        <v>0.0</v>
      </c>
    </row>
    <row r="1036">
      <c r="A1036" s="184"/>
      <c r="B1036" s="184"/>
      <c r="C1036" s="184"/>
      <c r="D1036" s="184"/>
      <c r="E1036" s="184"/>
      <c r="F1036" s="184"/>
      <c r="G1036" s="184"/>
      <c r="H1036" s="184"/>
      <c r="I1036" s="184"/>
      <c r="J1036" s="184"/>
      <c r="K1036" s="184"/>
      <c r="L1036" s="184"/>
      <c r="M1036" s="184"/>
      <c r="N1036" s="184"/>
      <c r="O1036" s="184"/>
      <c r="P1036" s="184"/>
      <c r="Q1036" s="184"/>
      <c r="R1036" s="184"/>
      <c r="S1036" s="186"/>
      <c r="T1036" s="184">
        <v>0.0</v>
      </c>
    </row>
    <row r="1037">
      <c r="A1037" s="184"/>
      <c r="B1037" s="184"/>
      <c r="C1037" s="184"/>
      <c r="D1037" s="184"/>
      <c r="E1037" s="184"/>
      <c r="F1037" s="184"/>
      <c r="G1037" s="184"/>
      <c r="H1037" s="184"/>
      <c r="I1037" s="184"/>
      <c r="J1037" s="184"/>
      <c r="K1037" s="184"/>
      <c r="L1037" s="184"/>
      <c r="M1037" s="184"/>
      <c r="N1037" s="184"/>
      <c r="O1037" s="184"/>
      <c r="P1037" s="184"/>
      <c r="Q1037" s="184"/>
      <c r="R1037" s="184"/>
      <c r="S1037" s="186"/>
      <c r="T1037" s="184">
        <v>0.0</v>
      </c>
    </row>
    <row r="1038">
      <c r="A1038" s="184"/>
      <c r="B1038" s="184"/>
      <c r="C1038" s="184"/>
      <c r="D1038" s="184"/>
      <c r="E1038" s="184"/>
      <c r="F1038" s="184"/>
      <c r="G1038" s="184"/>
      <c r="H1038" s="184"/>
      <c r="I1038" s="184"/>
      <c r="J1038" s="184"/>
      <c r="K1038" s="184"/>
      <c r="L1038" s="184"/>
      <c r="M1038" s="184"/>
      <c r="N1038" s="184"/>
      <c r="O1038" s="184"/>
      <c r="P1038" s="184"/>
      <c r="Q1038" s="184"/>
      <c r="R1038" s="184"/>
      <c r="S1038" s="186"/>
      <c r="T1038" s="184">
        <v>0.0</v>
      </c>
    </row>
    <row r="1039">
      <c r="A1039" s="184"/>
      <c r="B1039" s="184"/>
      <c r="C1039" s="184"/>
      <c r="D1039" s="184"/>
      <c r="E1039" s="184"/>
      <c r="F1039" s="184"/>
      <c r="G1039" s="184"/>
      <c r="H1039" s="184"/>
      <c r="I1039" s="184"/>
      <c r="J1039" s="184"/>
      <c r="K1039" s="184"/>
      <c r="L1039" s="184"/>
      <c r="M1039" s="184"/>
      <c r="N1039" s="184"/>
      <c r="O1039" s="184"/>
      <c r="P1039" s="184"/>
      <c r="Q1039" s="184"/>
      <c r="R1039" s="184"/>
      <c r="S1039" s="186"/>
      <c r="T1039" s="184">
        <v>0.0</v>
      </c>
    </row>
    <row r="1040">
      <c r="A1040" s="184"/>
      <c r="B1040" s="184"/>
      <c r="C1040" s="184"/>
      <c r="D1040" s="184"/>
      <c r="E1040" s="184"/>
      <c r="F1040" s="184"/>
      <c r="G1040" s="184"/>
      <c r="H1040" s="184"/>
      <c r="I1040" s="184"/>
      <c r="J1040" s="184"/>
      <c r="K1040" s="184"/>
      <c r="L1040" s="184"/>
      <c r="M1040" s="184"/>
      <c r="N1040" s="184"/>
      <c r="O1040" s="184"/>
      <c r="P1040" s="184"/>
      <c r="Q1040" s="184"/>
      <c r="R1040" s="184"/>
      <c r="S1040" s="186"/>
      <c r="T1040" s="184">
        <v>0.0</v>
      </c>
    </row>
    <row r="1041">
      <c r="A1041" s="184"/>
      <c r="B1041" s="184"/>
      <c r="C1041" s="184"/>
      <c r="D1041" s="184"/>
      <c r="E1041" s="184"/>
      <c r="F1041" s="184"/>
      <c r="G1041" s="184"/>
      <c r="H1041" s="184"/>
      <c r="I1041" s="184"/>
      <c r="J1041" s="184"/>
      <c r="K1041" s="184"/>
      <c r="L1041" s="184"/>
      <c r="M1041" s="184"/>
      <c r="N1041" s="184"/>
      <c r="O1041" s="184"/>
      <c r="P1041" s="184"/>
      <c r="Q1041" s="184"/>
      <c r="R1041" s="184"/>
      <c r="S1041" s="186"/>
      <c r="T1041" s="184">
        <v>0.0</v>
      </c>
    </row>
    <row r="1042">
      <c r="A1042" s="184"/>
      <c r="B1042" s="184"/>
      <c r="C1042" s="184"/>
      <c r="D1042" s="184"/>
      <c r="E1042" s="184"/>
      <c r="F1042" s="184"/>
      <c r="G1042" s="184"/>
      <c r="H1042" s="184"/>
      <c r="I1042" s="184"/>
      <c r="J1042" s="184"/>
      <c r="K1042" s="184"/>
      <c r="L1042" s="184"/>
      <c r="M1042" s="184"/>
      <c r="N1042" s="184"/>
      <c r="O1042" s="184"/>
      <c r="P1042" s="184"/>
      <c r="Q1042" s="184"/>
      <c r="R1042" s="184"/>
      <c r="S1042" s="186"/>
      <c r="T1042" s="184">
        <v>0.0</v>
      </c>
    </row>
    <row r="1043">
      <c r="A1043" s="184"/>
      <c r="B1043" s="184"/>
      <c r="C1043" s="184"/>
      <c r="D1043" s="184"/>
      <c r="E1043" s="184"/>
      <c r="F1043" s="184"/>
      <c r="G1043" s="184"/>
      <c r="H1043" s="184"/>
      <c r="I1043" s="184"/>
      <c r="J1043" s="184"/>
      <c r="K1043" s="184"/>
      <c r="L1043" s="184"/>
      <c r="M1043" s="184"/>
      <c r="N1043" s="184"/>
      <c r="O1043" s="184"/>
      <c r="P1043" s="184"/>
      <c r="Q1043" s="184"/>
      <c r="R1043" s="184"/>
      <c r="S1043" s="186"/>
      <c r="T1043" s="184">
        <v>0.0</v>
      </c>
    </row>
    <row r="1044">
      <c r="A1044" s="184"/>
      <c r="B1044" s="184"/>
      <c r="C1044" s="184"/>
      <c r="D1044" s="184"/>
      <c r="E1044" s="184"/>
      <c r="F1044" s="184"/>
      <c r="G1044" s="184"/>
      <c r="H1044" s="184"/>
      <c r="I1044" s="184"/>
      <c r="J1044" s="184"/>
      <c r="K1044" s="184"/>
      <c r="L1044" s="184"/>
      <c r="M1044" s="184"/>
      <c r="N1044" s="184"/>
      <c r="O1044" s="184"/>
      <c r="P1044" s="184"/>
      <c r="Q1044" s="184"/>
      <c r="R1044" s="184"/>
      <c r="S1044" s="186"/>
      <c r="T1044" s="184">
        <v>0.0</v>
      </c>
    </row>
    <row r="1045">
      <c r="A1045" s="184"/>
      <c r="B1045" s="184"/>
      <c r="C1045" s="184"/>
      <c r="D1045" s="184"/>
      <c r="E1045" s="184"/>
      <c r="F1045" s="184"/>
      <c r="G1045" s="184"/>
      <c r="H1045" s="184"/>
      <c r="I1045" s="184"/>
      <c r="J1045" s="184"/>
      <c r="K1045" s="184"/>
      <c r="L1045" s="184"/>
      <c r="M1045" s="184"/>
      <c r="N1045" s="184"/>
      <c r="O1045" s="184"/>
      <c r="P1045" s="184"/>
      <c r="Q1045" s="184"/>
      <c r="R1045" s="184"/>
      <c r="S1045" s="186"/>
      <c r="T1045" s="184">
        <v>0.0</v>
      </c>
    </row>
    <row r="1046">
      <c r="A1046" s="184"/>
      <c r="B1046" s="184"/>
      <c r="C1046" s="184"/>
      <c r="D1046" s="184"/>
      <c r="E1046" s="184"/>
      <c r="F1046" s="184"/>
      <c r="G1046" s="184"/>
      <c r="H1046" s="184"/>
      <c r="I1046" s="184"/>
      <c r="J1046" s="184"/>
      <c r="K1046" s="184"/>
      <c r="L1046" s="184"/>
      <c r="M1046" s="184"/>
      <c r="N1046" s="184"/>
      <c r="O1046" s="184"/>
      <c r="P1046" s="184"/>
      <c r="Q1046" s="184"/>
      <c r="R1046" s="184"/>
      <c r="S1046" s="186"/>
      <c r="T1046" s="184">
        <v>0.0</v>
      </c>
    </row>
    <row r="1047">
      <c r="A1047" s="184"/>
      <c r="B1047" s="184"/>
      <c r="C1047" s="184"/>
      <c r="D1047" s="184"/>
      <c r="E1047" s="184"/>
      <c r="F1047" s="184"/>
      <c r="G1047" s="184"/>
      <c r="H1047" s="184"/>
      <c r="I1047" s="184"/>
      <c r="J1047" s="184"/>
      <c r="K1047" s="184"/>
      <c r="L1047" s="184"/>
      <c r="M1047" s="184"/>
      <c r="N1047" s="184"/>
      <c r="O1047" s="184"/>
      <c r="P1047" s="184"/>
      <c r="Q1047" s="184"/>
      <c r="R1047" s="184"/>
      <c r="S1047" s="186"/>
      <c r="T1047" s="184">
        <v>0.0</v>
      </c>
    </row>
    <row r="1048">
      <c r="A1048" s="184"/>
      <c r="B1048" s="184"/>
      <c r="C1048" s="184"/>
      <c r="D1048" s="184"/>
      <c r="E1048" s="184"/>
      <c r="F1048" s="184"/>
      <c r="G1048" s="184"/>
      <c r="H1048" s="184"/>
      <c r="I1048" s="184"/>
      <c r="J1048" s="184"/>
      <c r="K1048" s="184"/>
      <c r="L1048" s="184"/>
      <c r="M1048" s="184"/>
      <c r="N1048" s="184"/>
      <c r="O1048" s="184"/>
      <c r="P1048" s="184"/>
      <c r="Q1048" s="184"/>
      <c r="R1048" s="184"/>
      <c r="S1048" s="186"/>
      <c r="T1048" s="184">
        <v>0.0</v>
      </c>
    </row>
    <row r="1049">
      <c r="A1049" s="184"/>
      <c r="B1049" s="184"/>
      <c r="C1049" s="184"/>
      <c r="D1049" s="184"/>
      <c r="E1049" s="184"/>
      <c r="F1049" s="184"/>
      <c r="G1049" s="184"/>
      <c r="H1049" s="184"/>
      <c r="I1049" s="184"/>
      <c r="J1049" s="184"/>
      <c r="K1049" s="184"/>
      <c r="L1049" s="184"/>
      <c r="M1049" s="184"/>
      <c r="N1049" s="184"/>
      <c r="O1049" s="184"/>
      <c r="P1049" s="184"/>
      <c r="Q1049" s="184"/>
      <c r="R1049" s="184"/>
      <c r="S1049" s="186"/>
      <c r="T1049" s="184">
        <v>0.0</v>
      </c>
    </row>
    <row r="1050">
      <c r="A1050" s="184"/>
      <c r="B1050" s="184"/>
      <c r="C1050" s="184"/>
      <c r="D1050" s="184"/>
      <c r="E1050" s="184"/>
      <c r="F1050" s="184"/>
      <c r="G1050" s="184"/>
      <c r="H1050" s="184"/>
      <c r="I1050" s="184"/>
      <c r="J1050" s="184"/>
      <c r="K1050" s="184"/>
      <c r="L1050" s="184"/>
      <c r="M1050" s="184"/>
      <c r="N1050" s="184"/>
      <c r="O1050" s="184"/>
      <c r="P1050" s="184"/>
      <c r="Q1050" s="184"/>
      <c r="R1050" s="184"/>
      <c r="S1050" s="186"/>
      <c r="T1050" s="184">
        <v>0.0</v>
      </c>
    </row>
    <row r="1051">
      <c r="A1051" s="184"/>
      <c r="B1051" s="184"/>
      <c r="C1051" s="184"/>
      <c r="D1051" s="184"/>
      <c r="E1051" s="184"/>
      <c r="F1051" s="184"/>
      <c r="G1051" s="184"/>
      <c r="H1051" s="184"/>
      <c r="I1051" s="184"/>
      <c r="J1051" s="184"/>
      <c r="K1051" s="184"/>
      <c r="L1051" s="184"/>
      <c r="M1051" s="184"/>
      <c r="N1051" s="184"/>
      <c r="O1051" s="184"/>
      <c r="P1051" s="184"/>
      <c r="Q1051" s="184"/>
      <c r="R1051" s="184"/>
      <c r="S1051" s="186"/>
      <c r="T1051" s="184">
        <v>0.0</v>
      </c>
    </row>
    <row r="1052">
      <c r="A1052" s="184"/>
      <c r="B1052" s="184"/>
      <c r="C1052" s="184"/>
      <c r="D1052" s="184"/>
      <c r="E1052" s="184"/>
      <c r="F1052" s="184"/>
      <c r="G1052" s="184"/>
      <c r="H1052" s="184"/>
      <c r="I1052" s="184"/>
      <c r="J1052" s="184"/>
      <c r="K1052" s="184"/>
      <c r="L1052" s="184"/>
      <c r="M1052" s="184"/>
      <c r="N1052" s="184"/>
      <c r="O1052" s="184"/>
      <c r="P1052" s="184"/>
      <c r="Q1052" s="184"/>
      <c r="R1052" s="184"/>
      <c r="S1052" s="186"/>
      <c r="T1052" s="184">
        <v>0.0</v>
      </c>
    </row>
    <row r="1053">
      <c r="A1053" s="184"/>
      <c r="B1053" s="184"/>
      <c r="C1053" s="184"/>
      <c r="D1053" s="184"/>
      <c r="E1053" s="184"/>
      <c r="F1053" s="184"/>
      <c r="G1053" s="184"/>
      <c r="H1053" s="184"/>
      <c r="I1053" s="184"/>
      <c r="J1053" s="184"/>
      <c r="K1053" s="184"/>
      <c r="L1053" s="184"/>
      <c r="M1053" s="184"/>
      <c r="N1053" s="184"/>
      <c r="O1053" s="184"/>
      <c r="P1053" s="184"/>
      <c r="Q1053" s="184"/>
      <c r="R1053" s="184"/>
      <c r="S1053" s="186"/>
      <c r="T1053" s="184">
        <v>0.0</v>
      </c>
    </row>
    <row r="1054">
      <c r="A1054" s="184"/>
      <c r="B1054" s="184"/>
      <c r="C1054" s="184"/>
      <c r="D1054" s="184"/>
      <c r="E1054" s="184"/>
      <c r="F1054" s="184"/>
      <c r="G1054" s="184"/>
      <c r="H1054" s="184"/>
      <c r="I1054" s="184"/>
      <c r="J1054" s="184"/>
      <c r="K1054" s="184"/>
      <c r="L1054" s="184"/>
      <c r="M1054" s="184"/>
      <c r="N1054" s="184"/>
      <c r="O1054" s="184"/>
      <c r="P1054" s="184"/>
      <c r="Q1054" s="184"/>
      <c r="R1054" s="184"/>
      <c r="S1054" s="186"/>
      <c r="T1054" s="184">
        <v>0.0</v>
      </c>
    </row>
    <row r="1055">
      <c r="A1055" s="184"/>
      <c r="B1055" s="184"/>
      <c r="C1055" s="184"/>
      <c r="D1055" s="184"/>
      <c r="E1055" s="184"/>
      <c r="F1055" s="184"/>
      <c r="G1055" s="184"/>
      <c r="H1055" s="184"/>
      <c r="I1055" s="184"/>
      <c r="J1055" s="184"/>
      <c r="K1055" s="184"/>
      <c r="L1055" s="184"/>
      <c r="M1055" s="184"/>
      <c r="N1055" s="184"/>
      <c r="O1055" s="184"/>
      <c r="P1055" s="184"/>
      <c r="Q1055" s="184"/>
      <c r="R1055" s="184"/>
      <c r="S1055" s="186"/>
      <c r="T1055" s="184">
        <v>0.0</v>
      </c>
    </row>
    <row r="1056">
      <c r="A1056" s="184"/>
      <c r="B1056" s="184"/>
      <c r="C1056" s="184"/>
      <c r="D1056" s="184"/>
      <c r="E1056" s="184"/>
      <c r="F1056" s="184"/>
      <c r="G1056" s="184"/>
      <c r="H1056" s="184"/>
      <c r="I1056" s="184"/>
      <c r="J1056" s="184"/>
      <c r="K1056" s="184"/>
      <c r="L1056" s="184"/>
      <c r="M1056" s="184"/>
      <c r="N1056" s="184"/>
      <c r="O1056" s="184"/>
      <c r="P1056" s="184"/>
      <c r="Q1056" s="184"/>
      <c r="R1056" s="184"/>
      <c r="S1056" s="186"/>
      <c r="T1056" s="184">
        <v>0.0</v>
      </c>
    </row>
    <row r="1057">
      <c r="A1057" s="184"/>
      <c r="B1057" s="184"/>
      <c r="C1057" s="184"/>
      <c r="D1057" s="184"/>
      <c r="E1057" s="184"/>
      <c r="F1057" s="184"/>
      <c r="G1057" s="184"/>
      <c r="H1057" s="184"/>
      <c r="I1057" s="184"/>
      <c r="J1057" s="184"/>
      <c r="K1057" s="184"/>
      <c r="L1057" s="184"/>
      <c r="M1057" s="184"/>
      <c r="N1057" s="184"/>
      <c r="O1057" s="184"/>
      <c r="P1057" s="184"/>
      <c r="Q1057" s="184"/>
      <c r="R1057" s="184"/>
      <c r="S1057" s="186"/>
      <c r="T1057" s="184">
        <v>0.0</v>
      </c>
    </row>
    <row r="1058">
      <c r="A1058" s="184"/>
      <c r="B1058" s="184"/>
      <c r="C1058" s="184"/>
      <c r="D1058" s="184"/>
      <c r="E1058" s="184"/>
      <c r="F1058" s="184"/>
      <c r="G1058" s="184"/>
      <c r="H1058" s="184"/>
      <c r="I1058" s="184"/>
      <c r="J1058" s="184"/>
      <c r="K1058" s="184"/>
      <c r="L1058" s="184"/>
      <c r="M1058" s="184"/>
      <c r="N1058" s="184"/>
      <c r="O1058" s="184"/>
      <c r="P1058" s="184"/>
      <c r="Q1058" s="184"/>
      <c r="R1058" s="184"/>
      <c r="S1058" s="186"/>
      <c r="T1058" s="184">
        <v>0.0</v>
      </c>
    </row>
    <row r="1059">
      <c r="A1059" s="184"/>
      <c r="B1059" s="184"/>
      <c r="C1059" s="184"/>
      <c r="D1059" s="184"/>
      <c r="E1059" s="184"/>
      <c r="F1059" s="184"/>
      <c r="G1059" s="184"/>
      <c r="H1059" s="184"/>
      <c r="I1059" s="184"/>
      <c r="J1059" s="184"/>
      <c r="K1059" s="184"/>
      <c r="L1059" s="184"/>
      <c r="M1059" s="184"/>
      <c r="N1059" s="184"/>
      <c r="O1059" s="184"/>
      <c r="P1059" s="184"/>
      <c r="Q1059" s="184"/>
      <c r="R1059" s="184"/>
      <c r="S1059" s="186"/>
      <c r="T1059" s="184">
        <v>0.0</v>
      </c>
    </row>
    <row r="1060">
      <c r="A1060" s="184"/>
      <c r="B1060" s="184"/>
      <c r="C1060" s="184"/>
      <c r="D1060" s="184"/>
      <c r="E1060" s="184"/>
      <c r="F1060" s="184"/>
      <c r="G1060" s="184"/>
      <c r="H1060" s="184"/>
      <c r="I1060" s="184"/>
      <c r="J1060" s="184"/>
      <c r="K1060" s="184"/>
      <c r="L1060" s="184"/>
      <c r="M1060" s="184"/>
      <c r="N1060" s="184"/>
      <c r="O1060" s="184"/>
      <c r="P1060" s="184"/>
      <c r="Q1060" s="184"/>
      <c r="R1060" s="184"/>
      <c r="S1060" s="186"/>
      <c r="T1060" s="184">
        <v>0.0</v>
      </c>
    </row>
    <row r="1061">
      <c r="A1061" s="184"/>
      <c r="B1061" s="184"/>
      <c r="C1061" s="184"/>
      <c r="D1061" s="184"/>
      <c r="E1061" s="184"/>
      <c r="F1061" s="184"/>
      <c r="G1061" s="184"/>
      <c r="H1061" s="184"/>
      <c r="I1061" s="184"/>
      <c r="J1061" s="184"/>
      <c r="K1061" s="184"/>
      <c r="L1061" s="184"/>
      <c r="M1061" s="184"/>
      <c r="N1061" s="184"/>
      <c r="O1061" s="184"/>
      <c r="P1061" s="184"/>
      <c r="Q1061" s="184"/>
      <c r="R1061" s="184"/>
      <c r="S1061" s="186"/>
      <c r="T1061" s="184">
        <v>0.0</v>
      </c>
    </row>
    <row r="1062">
      <c r="A1062" s="184"/>
      <c r="B1062" s="184"/>
      <c r="C1062" s="184"/>
      <c r="D1062" s="184"/>
      <c r="E1062" s="184"/>
      <c r="F1062" s="184"/>
      <c r="G1062" s="184"/>
      <c r="H1062" s="184"/>
      <c r="I1062" s="184"/>
      <c r="J1062" s="184"/>
      <c r="K1062" s="184"/>
      <c r="L1062" s="184"/>
      <c r="M1062" s="184"/>
      <c r="N1062" s="184"/>
      <c r="O1062" s="184"/>
      <c r="P1062" s="184"/>
      <c r="Q1062" s="184"/>
      <c r="R1062" s="184"/>
      <c r="S1062" s="186"/>
      <c r="T1062" s="184">
        <v>0.0</v>
      </c>
    </row>
    <row r="1063">
      <c r="A1063" s="184"/>
      <c r="B1063" s="184"/>
      <c r="C1063" s="184"/>
      <c r="D1063" s="184"/>
      <c r="E1063" s="184"/>
      <c r="F1063" s="184"/>
      <c r="G1063" s="184"/>
      <c r="H1063" s="184"/>
      <c r="I1063" s="184"/>
      <c r="J1063" s="184"/>
      <c r="K1063" s="184"/>
      <c r="L1063" s="184"/>
      <c r="M1063" s="184"/>
      <c r="N1063" s="184"/>
      <c r="O1063" s="184"/>
      <c r="P1063" s="184"/>
      <c r="Q1063" s="184"/>
      <c r="R1063" s="184"/>
      <c r="S1063" s="186"/>
      <c r="T1063" s="184">
        <v>0.0</v>
      </c>
    </row>
    <row r="1064">
      <c r="A1064" s="184"/>
      <c r="B1064" s="184"/>
      <c r="C1064" s="184"/>
      <c r="D1064" s="184"/>
      <c r="E1064" s="184"/>
      <c r="F1064" s="184"/>
      <c r="G1064" s="184"/>
      <c r="H1064" s="184"/>
      <c r="I1064" s="184"/>
      <c r="J1064" s="184"/>
      <c r="K1064" s="184"/>
      <c r="L1064" s="184"/>
      <c r="M1064" s="184"/>
      <c r="N1064" s="184"/>
      <c r="O1064" s="184"/>
      <c r="P1064" s="184"/>
      <c r="Q1064" s="184"/>
      <c r="R1064" s="184"/>
      <c r="S1064" s="186"/>
      <c r="T1064" s="184">
        <v>0.0</v>
      </c>
    </row>
    <row r="1065">
      <c r="A1065" s="184"/>
      <c r="B1065" s="184"/>
      <c r="C1065" s="184"/>
      <c r="D1065" s="184"/>
      <c r="E1065" s="184"/>
      <c r="F1065" s="184"/>
      <c r="G1065" s="184"/>
      <c r="H1065" s="184"/>
      <c r="I1065" s="184"/>
      <c r="J1065" s="184"/>
      <c r="K1065" s="184"/>
      <c r="L1065" s="184"/>
      <c r="M1065" s="184"/>
      <c r="N1065" s="184"/>
      <c r="O1065" s="184"/>
      <c r="P1065" s="184"/>
      <c r="Q1065" s="184"/>
      <c r="R1065" s="184"/>
      <c r="S1065" s="186"/>
      <c r="T1065" s="184">
        <v>0.0</v>
      </c>
    </row>
    <row r="1066">
      <c r="A1066" s="184"/>
      <c r="B1066" s="184"/>
      <c r="C1066" s="184"/>
      <c r="D1066" s="184"/>
      <c r="E1066" s="184"/>
      <c r="F1066" s="184"/>
      <c r="G1066" s="184"/>
      <c r="H1066" s="184"/>
      <c r="I1066" s="184"/>
      <c r="J1066" s="184"/>
      <c r="K1066" s="184"/>
      <c r="L1066" s="184"/>
      <c r="M1066" s="184"/>
      <c r="N1066" s="184"/>
      <c r="O1066" s="184"/>
      <c r="P1066" s="184"/>
      <c r="Q1066" s="184"/>
      <c r="R1066" s="184"/>
      <c r="S1066" s="186"/>
      <c r="T1066" s="184">
        <v>0.0</v>
      </c>
    </row>
    <row r="1067">
      <c r="A1067" s="184"/>
      <c r="B1067" s="184"/>
      <c r="C1067" s="184"/>
      <c r="D1067" s="184"/>
      <c r="E1067" s="184"/>
      <c r="F1067" s="184"/>
      <c r="G1067" s="184"/>
      <c r="H1067" s="184"/>
      <c r="I1067" s="184"/>
      <c r="J1067" s="184"/>
      <c r="K1067" s="184"/>
      <c r="L1067" s="184"/>
      <c r="M1067" s="184"/>
      <c r="N1067" s="184"/>
      <c r="O1067" s="184"/>
      <c r="P1067" s="184"/>
      <c r="Q1067" s="184"/>
      <c r="R1067" s="184"/>
      <c r="S1067" s="186"/>
      <c r="T1067" s="184">
        <v>0.0</v>
      </c>
    </row>
    <row r="1068">
      <c r="A1068" s="184"/>
      <c r="B1068" s="184"/>
      <c r="C1068" s="184"/>
      <c r="D1068" s="184"/>
      <c r="E1068" s="184"/>
      <c r="F1068" s="184"/>
      <c r="G1068" s="184"/>
      <c r="H1068" s="184"/>
      <c r="I1068" s="184"/>
      <c r="J1068" s="184"/>
      <c r="K1068" s="184"/>
      <c r="L1068" s="184"/>
      <c r="M1068" s="184"/>
      <c r="N1068" s="184"/>
      <c r="O1068" s="184"/>
      <c r="P1068" s="184"/>
      <c r="Q1068" s="184"/>
      <c r="R1068" s="184"/>
      <c r="S1068" s="186"/>
      <c r="T1068" s="184">
        <v>0.0</v>
      </c>
    </row>
    <row r="1069">
      <c r="A1069" s="184"/>
      <c r="B1069" s="184"/>
      <c r="C1069" s="184"/>
      <c r="D1069" s="184"/>
      <c r="E1069" s="184"/>
      <c r="F1069" s="184"/>
      <c r="G1069" s="184"/>
      <c r="H1069" s="184"/>
      <c r="I1069" s="184"/>
      <c r="J1069" s="184"/>
      <c r="K1069" s="184"/>
      <c r="L1069" s="184"/>
      <c r="M1069" s="184"/>
      <c r="N1069" s="184"/>
      <c r="O1069" s="184"/>
      <c r="P1069" s="184"/>
      <c r="Q1069" s="184"/>
      <c r="R1069" s="184"/>
      <c r="S1069" s="186"/>
      <c r="T1069" s="184">
        <v>0.0</v>
      </c>
    </row>
    <row r="1070">
      <c r="A1070" s="184"/>
      <c r="B1070" s="184"/>
      <c r="C1070" s="184"/>
      <c r="D1070" s="184"/>
      <c r="E1070" s="184"/>
      <c r="F1070" s="184"/>
      <c r="G1070" s="184"/>
      <c r="H1070" s="184"/>
      <c r="I1070" s="184"/>
      <c r="J1070" s="184"/>
      <c r="K1070" s="184"/>
      <c r="L1070" s="184"/>
      <c r="M1070" s="184"/>
      <c r="N1070" s="184"/>
      <c r="O1070" s="184"/>
      <c r="P1070" s="184"/>
      <c r="Q1070" s="184"/>
      <c r="R1070" s="184"/>
      <c r="S1070" s="186"/>
      <c r="T1070" s="184">
        <v>0.0</v>
      </c>
    </row>
    <row r="1071">
      <c r="A1071" s="184"/>
      <c r="B1071" s="184"/>
      <c r="C1071" s="184"/>
      <c r="D1071" s="184"/>
      <c r="E1071" s="184"/>
      <c r="F1071" s="184"/>
      <c r="G1071" s="184"/>
      <c r="H1071" s="184"/>
      <c r="I1071" s="184"/>
      <c r="J1071" s="184"/>
      <c r="K1071" s="184"/>
      <c r="L1071" s="184"/>
      <c r="M1071" s="184"/>
      <c r="N1071" s="184"/>
      <c r="O1071" s="184"/>
      <c r="P1071" s="184"/>
      <c r="Q1071" s="184"/>
      <c r="R1071" s="184"/>
      <c r="S1071" s="186"/>
      <c r="T1071" s="184">
        <v>0.0</v>
      </c>
    </row>
    <row r="1072">
      <c r="A1072" s="184"/>
      <c r="B1072" s="184"/>
      <c r="C1072" s="184"/>
      <c r="D1072" s="184"/>
      <c r="E1072" s="184"/>
      <c r="F1072" s="184"/>
      <c r="G1072" s="184"/>
      <c r="H1072" s="184"/>
      <c r="I1072" s="184"/>
      <c r="J1072" s="184"/>
      <c r="K1072" s="184"/>
      <c r="L1072" s="184"/>
      <c r="M1072" s="184"/>
      <c r="N1072" s="184"/>
      <c r="O1072" s="184"/>
      <c r="P1072" s="184"/>
      <c r="Q1072" s="184"/>
      <c r="R1072" s="184"/>
      <c r="S1072" s="186"/>
      <c r="T1072" s="184">
        <v>0.0</v>
      </c>
    </row>
    <row r="1073">
      <c r="A1073" s="184"/>
      <c r="B1073" s="184"/>
      <c r="C1073" s="184"/>
      <c r="D1073" s="184"/>
      <c r="E1073" s="184"/>
      <c r="F1073" s="184"/>
      <c r="G1073" s="184"/>
      <c r="H1073" s="184"/>
      <c r="I1073" s="184"/>
      <c r="J1073" s="184"/>
      <c r="K1073" s="184"/>
      <c r="L1073" s="184"/>
      <c r="M1073" s="184"/>
      <c r="N1073" s="184"/>
      <c r="O1073" s="184"/>
      <c r="P1073" s="184"/>
      <c r="Q1073" s="184"/>
      <c r="R1073" s="184"/>
      <c r="S1073" s="186"/>
      <c r="T1073" s="184">
        <v>0.0</v>
      </c>
    </row>
    <row r="1074">
      <c r="A1074" s="184"/>
      <c r="B1074" s="184"/>
      <c r="C1074" s="184"/>
      <c r="D1074" s="184"/>
      <c r="E1074" s="184"/>
      <c r="F1074" s="184"/>
      <c r="G1074" s="184"/>
      <c r="H1074" s="184"/>
      <c r="I1074" s="184"/>
      <c r="J1074" s="184"/>
      <c r="K1074" s="184"/>
      <c r="L1074" s="184"/>
      <c r="M1074" s="184"/>
      <c r="N1074" s="184"/>
      <c r="O1074" s="184"/>
      <c r="P1074" s="184"/>
      <c r="Q1074" s="184"/>
      <c r="R1074" s="184"/>
      <c r="S1074" s="186"/>
      <c r="T1074" s="184">
        <v>0.0</v>
      </c>
    </row>
    <row r="1075">
      <c r="A1075" s="184"/>
      <c r="B1075" s="184"/>
      <c r="C1075" s="184"/>
      <c r="D1075" s="184"/>
      <c r="E1075" s="184"/>
      <c r="F1075" s="184"/>
      <c r="G1075" s="184"/>
      <c r="H1075" s="184"/>
      <c r="I1075" s="184"/>
      <c r="J1075" s="184"/>
      <c r="K1075" s="184"/>
      <c r="L1075" s="184"/>
      <c r="M1075" s="184"/>
      <c r="N1075" s="184"/>
      <c r="O1075" s="184"/>
      <c r="P1075" s="184"/>
      <c r="Q1075" s="184"/>
      <c r="R1075" s="184"/>
      <c r="S1075" s="186"/>
      <c r="T1075" s="184">
        <v>0.0</v>
      </c>
    </row>
    <row r="1076">
      <c r="A1076" s="184"/>
      <c r="B1076" s="184"/>
      <c r="C1076" s="184"/>
      <c r="D1076" s="184"/>
      <c r="E1076" s="184"/>
      <c r="F1076" s="184"/>
      <c r="G1076" s="184"/>
      <c r="H1076" s="184"/>
      <c r="I1076" s="184"/>
      <c r="J1076" s="184"/>
      <c r="K1076" s="184"/>
      <c r="L1076" s="184"/>
      <c r="M1076" s="184"/>
      <c r="N1076" s="184"/>
      <c r="O1076" s="184"/>
      <c r="P1076" s="184"/>
      <c r="Q1076" s="184"/>
      <c r="R1076" s="184"/>
      <c r="S1076" s="186"/>
      <c r="T1076" s="184">
        <v>0.0</v>
      </c>
    </row>
    <row r="1077">
      <c r="A1077" s="184"/>
      <c r="B1077" s="184"/>
      <c r="C1077" s="184"/>
      <c r="D1077" s="184"/>
      <c r="E1077" s="184"/>
      <c r="F1077" s="184"/>
      <c r="G1077" s="184"/>
      <c r="H1077" s="184"/>
      <c r="I1077" s="184"/>
      <c r="J1077" s="184"/>
      <c r="K1077" s="184"/>
      <c r="L1077" s="184"/>
      <c r="M1077" s="184"/>
      <c r="N1077" s="184"/>
      <c r="O1077" s="184"/>
      <c r="P1077" s="184"/>
      <c r="Q1077" s="184"/>
      <c r="R1077" s="184"/>
      <c r="S1077" s="186"/>
      <c r="T1077" s="184">
        <v>0.0</v>
      </c>
    </row>
    <row r="1078">
      <c r="A1078" s="184"/>
      <c r="B1078" s="184"/>
      <c r="C1078" s="184"/>
      <c r="D1078" s="184"/>
      <c r="E1078" s="184"/>
      <c r="F1078" s="184"/>
      <c r="G1078" s="184"/>
      <c r="H1078" s="184"/>
      <c r="I1078" s="184"/>
      <c r="J1078" s="184"/>
      <c r="K1078" s="184"/>
      <c r="L1078" s="184"/>
      <c r="M1078" s="184"/>
      <c r="N1078" s="184"/>
      <c r="O1078" s="184"/>
      <c r="P1078" s="184"/>
      <c r="Q1078" s="184"/>
      <c r="R1078" s="184"/>
      <c r="S1078" s="186"/>
      <c r="T1078" s="184">
        <v>0.0</v>
      </c>
    </row>
    <row r="1079">
      <c r="A1079" s="184"/>
      <c r="B1079" s="184"/>
      <c r="C1079" s="184"/>
      <c r="D1079" s="184"/>
      <c r="E1079" s="184"/>
      <c r="F1079" s="184"/>
      <c r="G1079" s="184"/>
      <c r="H1079" s="184"/>
      <c r="I1079" s="184"/>
      <c r="J1079" s="184"/>
      <c r="K1079" s="184"/>
      <c r="L1079" s="184"/>
      <c r="M1079" s="184"/>
      <c r="N1079" s="184"/>
      <c r="O1079" s="184"/>
      <c r="P1079" s="184"/>
      <c r="Q1079" s="184"/>
      <c r="R1079" s="184"/>
      <c r="S1079" s="186"/>
      <c r="T1079" s="184">
        <v>0.0</v>
      </c>
    </row>
    <row r="1080">
      <c r="A1080" s="184"/>
      <c r="B1080" s="184"/>
      <c r="C1080" s="184"/>
      <c r="D1080" s="184"/>
      <c r="E1080" s="184"/>
      <c r="F1080" s="184"/>
      <c r="G1080" s="184"/>
      <c r="H1080" s="184"/>
      <c r="I1080" s="184"/>
      <c r="J1080" s="184"/>
      <c r="K1080" s="184"/>
      <c r="L1080" s="184"/>
      <c r="M1080" s="184"/>
      <c r="N1080" s="184"/>
      <c r="O1080" s="184"/>
      <c r="P1080" s="184"/>
      <c r="Q1080" s="184"/>
      <c r="R1080" s="184"/>
      <c r="S1080" s="186"/>
      <c r="T1080" s="184">
        <v>0.0</v>
      </c>
    </row>
    <row r="1081">
      <c r="A1081" s="184"/>
      <c r="B1081" s="184"/>
      <c r="C1081" s="184"/>
      <c r="D1081" s="184"/>
      <c r="E1081" s="184"/>
      <c r="F1081" s="184"/>
      <c r="G1081" s="184"/>
      <c r="H1081" s="184"/>
      <c r="I1081" s="184"/>
      <c r="J1081" s="184"/>
      <c r="K1081" s="184"/>
      <c r="L1081" s="184"/>
      <c r="M1081" s="184"/>
      <c r="N1081" s="184"/>
      <c r="O1081" s="184"/>
      <c r="P1081" s="184"/>
      <c r="Q1081" s="184"/>
      <c r="R1081" s="184"/>
      <c r="S1081" s="186"/>
      <c r="T1081" s="184">
        <v>0.0</v>
      </c>
    </row>
    <row r="1082">
      <c r="A1082" s="184"/>
      <c r="B1082" s="184"/>
      <c r="C1082" s="184"/>
      <c r="D1082" s="184"/>
      <c r="E1082" s="184"/>
      <c r="F1082" s="184"/>
      <c r="G1082" s="184"/>
      <c r="H1082" s="184"/>
      <c r="I1082" s="184"/>
      <c r="J1082" s="184"/>
      <c r="K1082" s="184"/>
      <c r="L1082" s="184"/>
      <c r="M1082" s="184"/>
      <c r="N1082" s="184"/>
      <c r="O1082" s="184"/>
      <c r="P1082" s="184"/>
      <c r="Q1082" s="184"/>
      <c r="R1082" s="184"/>
      <c r="S1082" s="186"/>
      <c r="T1082" s="184">
        <v>0.0</v>
      </c>
    </row>
    <row r="1083">
      <c r="A1083" s="184"/>
      <c r="B1083" s="184"/>
      <c r="C1083" s="184"/>
      <c r="D1083" s="184"/>
      <c r="E1083" s="184"/>
      <c r="F1083" s="184"/>
      <c r="G1083" s="184"/>
      <c r="H1083" s="184"/>
      <c r="I1083" s="184"/>
      <c r="J1083" s="184"/>
      <c r="K1083" s="184"/>
      <c r="L1083" s="184"/>
      <c r="M1083" s="184"/>
      <c r="N1083" s="184"/>
      <c r="O1083" s="184"/>
      <c r="P1083" s="184"/>
      <c r="Q1083" s="184"/>
      <c r="R1083" s="184"/>
      <c r="S1083" s="186"/>
      <c r="T1083" s="184">
        <v>0.0</v>
      </c>
    </row>
    <row r="1084">
      <c r="A1084" s="184"/>
      <c r="B1084" s="184"/>
      <c r="C1084" s="184"/>
      <c r="D1084" s="184"/>
      <c r="E1084" s="184"/>
      <c r="F1084" s="184"/>
      <c r="G1084" s="184"/>
      <c r="H1084" s="184"/>
      <c r="I1084" s="184"/>
      <c r="J1084" s="184"/>
      <c r="K1084" s="184"/>
      <c r="L1084" s="184"/>
      <c r="M1084" s="184"/>
      <c r="N1084" s="184"/>
      <c r="O1084" s="184"/>
      <c r="P1084" s="184"/>
      <c r="Q1084" s="184"/>
      <c r="R1084" s="184"/>
      <c r="S1084" s="186"/>
      <c r="T1084" s="184">
        <v>0.0</v>
      </c>
    </row>
    <row r="1085">
      <c r="A1085" s="184"/>
      <c r="B1085" s="184"/>
      <c r="C1085" s="184"/>
      <c r="D1085" s="184"/>
      <c r="E1085" s="184"/>
      <c r="F1085" s="184"/>
      <c r="G1085" s="184"/>
      <c r="H1085" s="184"/>
      <c r="I1085" s="184"/>
      <c r="J1085" s="184"/>
      <c r="K1085" s="184"/>
      <c r="L1085" s="184"/>
      <c r="M1085" s="184"/>
      <c r="N1085" s="184"/>
      <c r="O1085" s="184"/>
      <c r="P1085" s="184"/>
      <c r="Q1085" s="184"/>
      <c r="R1085" s="184"/>
      <c r="S1085" s="186"/>
      <c r="T1085" s="184">
        <v>0.0</v>
      </c>
    </row>
    <row r="1086">
      <c r="A1086" s="184"/>
      <c r="B1086" s="184"/>
      <c r="C1086" s="184"/>
      <c r="D1086" s="184"/>
      <c r="E1086" s="184"/>
      <c r="F1086" s="184"/>
      <c r="G1086" s="184"/>
      <c r="H1086" s="184"/>
      <c r="I1086" s="184"/>
      <c r="J1086" s="184"/>
      <c r="K1086" s="184"/>
      <c r="L1086" s="184"/>
      <c r="M1086" s="184"/>
      <c r="N1086" s="184"/>
      <c r="O1086" s="184"/>
      <c r="P1086" s="184"/>
      <c r="Q1086" s="184"/>
      <c r="R1086" s="184"/>
      <c r="S1086" s="186"/>
      <c r="T1086" s="184">
        <v>0.0</v>
      </c>
    </row>
    <row r="1087">
      <c r="A1087" s="184"/>
      <c r="B1087" s="184"/>
      <c r="C1087" s="184"/>
      <c r="D1087" s="184"/>
      <c r="E1087" s="184"/>
      <c r="F1087" s="184"/>
      <c r="G1087" s="184"/>
      <c r="H1087" s="184"/>
      <c r="I1087" s="184"/>
      <c r="J1087" s="184"/>
      <c r="K1087" s="184"/>
      <c r="L1087" s="184"/>
      <c r="M1087" s="184"/>
      <c r="N1087" s="184"/>
      <c r="O1087" s="184"/>
      <c r="P1087" s="184"/>
      <c r="Q1087" s="184"/>
      <c r="R1087" s="184"/>
      <c r="S1087" s="186"/>
      <c r="T1087" s="184">
        <v>0.0</v>
      </c>
    </row>
    <row r="1088">
      <c r="A1088" s="184"/>
      <c r="B1088" s="184"/>
      <c r="C1088" s="184"/>
      <c r="D1088" s="184"/>
      <c r="E1088" s="184"/>
      <c r="F1088" s="184"/>
      <c r="G1088" s="184"/>
      <c r="H1088" s="184"/>
      <c r="I1088" s="184"/>
      <c r="J1088" s="184"/>
      <c r="K1088" s="184"/>
      <c r="L1088" s="184"/>
      <c r="M1088" s="184"/>
      <c r="N1088" s="184"/>
      <c r="O1088" s="184"/>
      <c r="P1088" s="184"/>
      <c r="Q1088" s="184"/>
      <c r="R1088" s="184"/>
      <c r="S1088" s="186"/>
      <c r="T1088" s="184">
        <v>0.0</v>
      </c>
    </row>
    <row r="1089">
      <c r="A1089" s="184"/>
      <c r="B1089" s="184"/>
      <c r="C1089" s="184"/>
      <c r="D1089" s="184"/>
      <c r="E1089" s="184"/>
      <c r="F1089" s="184"/>
      <c r="G1089" s="184"/>
      <c r="H1089" s="184"/>
      <c r="I1089" s="184"/>
      <c r="J1089" s="184"/>
      <c r="K1089" s="184"/>
      <c r="L1089" s="184"/>
      <c r="M1089" s="184"/>
      <c r="N1089" s="184"/>
      <c r="O1089" s="184"/>
      <c r="P1089" s="184"/>
      <c r="Q1089" s="184"/>
      <c r="R1089" s="184"/>
      <c r="S1089" s="186"/>
      <c r="T1089" s="184">
        <v>0.0</v>
      </c>
    </row>
    <row r="1090">
      <c r="A1090" s="184"/>
      <c r="B1090" s="184"/>
      <c r="C1090" s="184"/>
      <c r="D1090" s="184"/>
      <c r="E1090" s="184"/>
      <c r="F1090" s="184"/>
      <c r="G1090" s="184"/>
      <c r="H1090" s="184"/>
      <c r="I1090" s="184"/>
      <c r="J1090" s="184"/>
      <c r="K1090" s="184"/>
      <c r="L1090" s="184"/>
      <c r="M1090" s="184"/>
      <c r="N1090" s="184"/>
      <c r="O1090" s="184"/>
      <c r="P1090" s="184"/>
      <c r="Q1090" s="184"/>
      <c r="R1090" s="184"/>
      <c r="S1090" s="186"/>
      <c r="T1090" s="184">
        <v>0.0</v>
      </c>
    </row>
    <row r="1091">
      <c r="A1091" s="184"/>
      <c r="B1091" s="184"/>
      <c r="C1091" s="184"/>
      <c r="D1091" s="184"/>
      <c r="E1091" s="184"/>
      <c r="F1091" s="184"/>
      <c r="G1091" s="184"/>
      <c r="H1091" s="184"/>
      <c r="I1091" s="184"/>
      <c r="J1091" s="184"/>
      <c r="K1091" s="184"/>
      <c r="L1091" s="184"/>
      <c r="M1091" s="184"/>
      <c r="N1091" s="184"/>
      <c r="O1091" s="184"/>
      <c r="P1091" s="184"/>
      <c r="Q1091" s="184"/>
      <c r="R1091" s="184"/>
      <c r="S1091" s="186"/>
      <c r="T1091" s="184">
        <v>0.0</v>
      </c>
    </row>
    <row r="1092">
      <c r="A1092" s="184"/>
      <c r="B1092" s="184"/>
      <c r="C1092" s="184"/>
      <c r="D1092" s="184"/>
      <c r="E1092" s="184"/>
      <c r="F1092" s="184"/>
      <c r="G1092" s="184"/>
      <c r="H1092" s="184"/>
      <c r="I1092" s="184"/>
      <c r="J1092" s="184"/>
      <c r="K1092" s="184"/>
      <c r="L1092" s="184"/>
      <c r="M1092" s="184"/>
      <c r="N1092" s="184"/>
      <c r="O1092" s="184"/>
      <c r="P1092" s="184"/>
      <c r="Q1092" s="184"/>
      <c r="R1092" s="184"/>
      <c r="S1092" s="186"/>
      <c r="T1092" s="184">
        <v>0.0</v>
      </c>
    </row>
    <row r="1093">
      <c r="A1093" s="184"/>
      <c r="B1093" s="184"/>
      <c r="C1093" s="184"/>
      <c r="D1093" s="184"/>
      <c r="E1093" s="184"/>
      <c r="F1093" s="184"/>
      <c r="G1093" s="184"/>
      <c r="H1093" s="184"/>
      <c r="I1093" s="184"/>
      <c r="J1093" s="184"/>
      <c r="K1093" s="184"/>
      <c r="L1093" s="184"/>
      <c r="M1093" s="184"/>
      <c r="N1093" s="184"/>
      <c r="O1093" s="184"/>
      <c r="P1093" s="184"/>
      <c r="Q1093" s="184"/>
      <c r="R1093" s="184"/>
      <c r="S1093" s="186"/>
      <c r="T1093" s="184">
        <v>0.0</v>
      </c>
    </row>
    <row r="1094">
      <c r="A1094" s="184"/>
      <c r="B1094" s="184"/>
      <c r="C1094" s="184"/>
      <c r="D1094" s="184"/>
      <c r="E1094" s="184"/>
      <c r="F1094" s="184"/>
      <c r="G1094" s="184"/>
      <c r="H1094" s="184"/>
      <c r="I1094" s="184"/>
      <c r="J1094" s="184"/>
      <c r="K1094" s="184"/>
      <c r="L1094" s="184"/>
      <c r="M1094" s="184"/>
      <c r="N1094" s="184"/>
      <c r="O1094" s="184"/>
      <c r="P1094" s="184"/>
      <c r="Q1094" s="184"/>
      <c r="R1094" s="184"/>
      <c r="S1094" s="186"/>
      <c r="T1094" s="184">
        <v>0.0</v>
      </c>
    </row>
    <row r="1095">
      <c r="A1095" s="184"/>
      <c r="B1095" s="184"/>
      <c r="C1095" s="184"/>
      <c r="D1095" s="184"/>
      <c r="E1095" s="184"/>
      <c r="F1095" s="184"/>
      <c r="G1095" s="184"/>
      <c r="H1095" s="184"/>
      <c r="I1095" s="184"/>
      <c r="J1095" s="184"/>
      <c r="K1095" s="184"/>
      <c r="L1095" s="184"/>
      <c r="M1095" s="184"/>
      <c r="N1095" s="184"/>
      <c r="O1095" s="184"/>
      <c r="P1095" s="184"/>
      <c r="Q1095" s="184"/>
      <c r="R1095" s="184"/>
      <c r="S1095" s="186"/>
      <c r="T1095" s="184">
        <v>0.0</v>
      </c>
    </row>
    <row r="1096">
      <c r="A1096" s="184"/>
      <c r="B1096" s="184"/>
      <c r="C1096" s="184"/>
      <c r="D1096" s="184"/>
      <c r="E1096" s="184"/>
      <c r="F1096" s="184"/>
      <c r="G1096" s="184"/>
      <c r="H1096" s="184"/>
      <c r="I1096" s="184"/>
      <c r="J1096" s="184"/>
      <c r="K1096" s="184"/>
      <c r="L1096" s="184"/>
      <c r="M1096" s="184"/>
      <c r="N1096" s="184"/>
      <c r="O1096" s="184"/>
      <c r="P1096" s="184"/>
      <c r="Q1096" s="184"/>
      <c r="R1096" s="184"/>
      <c r="S1096" s="186"/>
      <c r="T1096" s="184">
        <v>0.0</v>
      </c>
    </row>
    <row r="1097">
      <c r="A1097" s="184"/>
      <c r="B1097" s="184"/>
      <c r="C1097" s="184"/>
      <c r="D1097" s="184"/>
      <c r="E1097" s="184"/>
      <c r="F1097" s="184"/>
      <c r="G1097" s="184"/>
      <c r="H1097" s="184"/>
      <c r="I1097" s="184"/>
      <c r="J1097" s="184"/>
      <c r="K1097" s="184"/>
      <c r="L1097" s="184"/>
      <c r="M1097" s="184"/>
      <c r="N1097" s="184"/>
      <c r="O1097" s="184"/>
      <c r="P1097" s="184"/>
      <c r="Q1097" s="184"/>
      <c r="R1097" s="184"/>
      <c r="S1097" s="186"/>
      <c r="T1097" s="184">
        <v>0.0</v>
      </c>
    </row>
    <row r="1098">
      <c r="A1098" s="184"/>
      <c r="B1098" s="184"/>
      <c r="C1098" s="184"/>
      <c r="D1098" s="184"/>
      <c r="E1098" s="184"/>
      <c r="F1098" s="184"/>
      <c r="G1098" s="184"/>
      <c r="H1098" s="184"/>
      <c r="I1098" s="184"/>
      <c r="J1098" s="184"/>
      <c r="K1098" s="184"/>
      <c r="L1098" s="184"/>
      <c r="M1098" s="184"/>
      <c r="N1098" s="184"/>
      <c r="O1098" s="184"/>
      <c r="P1098" s="184"/>
      <c r="Q1098" s="184"/>
      <c r="R1098" s="184"/>
      <c r="S1098" s="186"/>
      <c r="T1098" s="184">
        <v>0.0</v>
      </c>
    </row>
    <row r="1099">
      <c r="A1099" s="184"/>
      <c r="B1099" s="184"/>
      <c r="C1099" s="184"/>
      <c r="D1099" s="184"/>
      <c r="E1099" s="184"/>
      <c r="F1099" s="184"/>
      <c r="G1099" s="184"/>
      <c r="H1099" s="184"/>
      <c r="I1099" s="184"/>
      <c r="J1099" s="184"/>
      <c r="K1099" s="184"/>
      <c r="L1099" s="184"/>
      <c r="M1099" s="184"/>
      <c r="N1099" s="184"/>
      <c r="O1099" s="184"/>
      <c r="P1099" s="184"/>
      <c r="Q1099" s="184"/>
      <c r="R1099" s="184"/>
      <c r="S1099" s="186"/>
      <c r="T1099" s="184">
        <v>0.0</v>
      </c>
    </row>
    <row r="1100">
      <c r="A1100" s="184"/>
      <c r="B1100" s="184"/>
      <c r="C1100" s="184"/>
      <c r="D1100" s="184"/>
      <c r="E1100" s="184"/>
      <c r="F1100" s="184"/>
      <c r="G1100" s="184"/>
      <c r="H1100" s="184"/>
      <c r="I1100" s="184"/>
      <c r="J1100" s="184"/>
      <c r="K1100" s="184"/>
      <c r="L1100" s="184"/>
      <c r="M1100" s="184"/>
      <c r="N1100" s="184"/>
      <c r="O1100" s="184"/>
      <c r="P1100" s="184"/>
      <c r="Q1100" s="184"/>
      <c r="R1100" s="184"/>
      <c r="S1100" s="186"/>
      <c r="T1100" s="184">
        <v>0.0</v>
      </c>
    </row>
    <row r="1101">
      <c r="A1101" s="184"/>
      <c r="B1101" s="184"/>
      <c r="C1101" s="184"/>
      <c r="D1101" s="184"/>
      <c r="E1101" s="184"/>
      <c r="F1101" s="184"/>
      <c r="G1101" s="184"/>
      <c r="H1101" s="184"/>
      <c r="I1101" s="184"/>
      <c r="J1101" s="184"/>
      <c r="K1101" s="184"/>
      <c r="L1101" s="184"/>
      <c r="M1101" s="184"/>
      <c r="N1101" s="184"/>
      <c r="O1101" s="184"/>
      <c r="P1101" s="184"/>
      <c r="Q1101" s="184"/>
      <c r="R1101" s="184"/>
      <c r="S1101" s="186"/>
      <c r="T1101" s="184">
        <v>0.0</v>
      </c>
    </row>
    <row r="1102">
      <c r="A1102" s="184"/>
      <c r="B1102" s="184"/>
      <c r="C1102" s="184"/>
      <c r="D1102" s="184"/>
      <c r="E1102" s="184"/>
      <c r="F1102" s="184"/>
      <c r="G1102" s="184"/>
      <c r="H1102" s="184"/>
      <c r="I1102" s="184"/>
      <c r="J1102" s="184"/>
      <c r="K1102" s="184"/>
      <c r="L1102" s="184"/>
      <c r="M1102" s="184"/>
      <c r="N1102" s="184"/>
      <c r="O1102" s="184"/>
      <c r="P1102" s="184"/>
      <c r="Q1102" s="184"/>
      <c r="R1102" s="184"/>
      <c r="S1102" s="186"/>
      <c r="T1102" s="184">
        <v>0.0</v>
      </c>
    </row>
    <row r="1103">
      <c r="A1103" s="184"/>
      <c r="B1103" s="184"/>
      <c r="C1103" s="184"/>
      <c r="D1103" s="184"/>
      <c r="E1103" s="184"/>
      <c r="F1103" s="184"/>
      <c r="G1103" s="184"/>
      <c r="H1103" s="184"/>
      <c r="I1103" s="184"/>
      <c r="J1103" s="184"/>
      <c r="K1103" s="184"/>
      <c r="L1103" s="184"/>
      <c r="M1103" s="184"/>
      <c r="N1103" s="184"/>
      <c r="O1103" s="184"/>
      <c r="P1103" s="184"/>
      <c r="Q1103" s="184"/>
      <c r="R1103" s="184"/>
      <c r="S1103" s="186"/>
      <c r="T1103" s="184">
        <v>0.0</v>
      </c>
    </row>
    <row r="1104">
      <c r="A1104" s="184"/>
      <c r="B1104" s="184"/>
      <c r="C1104" s="184"/>
      <c r="D1104" s="184"/>
      <c r="E1104" s="184"/>
      <c r="F1104" s="184"/>
      <c r="G1104" s="184"/>
      <c r="H1104" s="184"/>
      <c r="I1104" s="184"/>
      <c r="J1104" s="184"/>
      <c r="K1104" s="184"/>
      <c r="L1104" s="184"/>
      <c r="M1104" s="184"/>
      <c r="N1104" s="184"/>
      <c r="O1104" s="184"/>
      <c r="P1104" s="184"/>
      <c r="Q1104" s="184"/>
      <c r="R1104" s="184"/>
      <c r="S1104" s="186"/>
      <c r="T1104" s="184">
        <v>0.0</v>
      </c>
    </row>
    <row r="1105">
      <c r="A1105" s="184"/>
      <c r="B1105" s="184"/>
      <c r="C1105" s="184"/>
      <c r="D1105" s="184"/>
      <c r="E1105" s="184"/>
      <c r="F1105" s="184"/>
      <c r="G1105" s="184"/>
      <c r="H1105" s="184"/>
      <c r="I1105" s="184"/>
      <c r="J1105" s="184"/>
      <c r="K1105" s="184"/>
      <c r="L1105" s="184"/>
      <c r="M1105" s="184"/>
      <c r="N1105" s="184"/>
      <c r="O1105" s="184"/>
      <c r="P1105" s="184"/>
      <c r="Q1105" s="184"/>
      <c r="R1105" s="184"/>
      <c r="S1105" s="186"/>
      <c r="T1105" s="184">
        <v>0.0</v>
      </c>
    </row>
    <row r="1106">
      <c r="A1106" s="184"/>
      <c r="B1106" s="184"/>
      <c r="C1106" s="184"/>
      <c r="D1106" s="184"/>
      <c r="E1106" s="184"/>
      <c r="F1106" s="184"/>
      <c r="G1106" s="184"/>
      <c r="H1106" s="184"/>
      <c r="I1106" s="184"/>
      <c r="J1106" s="184"/>
      <c r="K1106" s="184"/>
      <c r="L1106" s="184"/>
      <c r="M1106" s="184"/>
      <c r="N1106" s="184"/>
      <c r="O1106" s="184"/>
      <c r="P1106" s="184"/>
      <c r="Q1106" s="184"/>
      <c r="R1106" s="184"/>
      <c r="S1106" s="186"/>
      <c r="T1106" s="184">
        <v>0.0</v>
      </c>
    </row>
    <row r="1107">
      <c r="A1107" s="184"/>
      <c r="B1107" s="184"/>
      <c r="C1107" s="184"/>
      <c r="D1107" s="184"/>
      <c r="E1107" s="184"/>
      <c r="F1107" s="184"/>
      <c r="G1107" s="184"/>
      <c r="H1107" s="184"/>
      <c r="I1107" s="184"/>
      <c r="J1107" s="184"/>
      <c r="K1107" s="184"/>
      <c r="L1107" s="184"/>
      <c r="M1107" s="184"/>
      <c r="N1107" s="184"/>
      <c r="O1107" s="184"/>
      <c r="P1107" s="184"/>
      <c r="Q1107" s="184"/>
      <c r="R1107" s="184"/>
      <c r="S1107" s="186"/>
      <c r="T1107" s="184">
        <v>0.0</v>
      </c>
    </row>
    <row r="1108">
      <c r="A1108" s="184"/>
      <c r="B1108" s="184"/>
      <c r="C1108" s="184"/>
      <c r="D1108" s="184"/>
      <c r="E1108" s="184"/>
      <c r="F1108" s="184"/>
      <c r="G1108" s="184"/>
      <c r="H1108" s="184"/>
      <c r="I1108" s="184"/>
      <c r="J1108" s="184"/>
      <c r="K1108" s="184"/>
      <c r="L1108" s="184"/>
      <c r="M1108" s="184"/>
      <c r="N1108" s="184"/>
      <c r="O1108" s="184"/>
      <c r="P1108" s="184"/>
      <c r="Q1108" s="184"/>
      <c r="R1108" s="184"/>
      <c r="S1108" s="186"/>
      <c r="T1108" s="184">
        <v>0.0</v>
      </c>
    </row>
    <row r="1109">
      <c r="A1109" s="184"/>
      <c r="B1109" s="184"/>
      <c r="C1109" s="184"/>
      <c r="D1109" s="184"/>
      <c r="E1109" s="184"/>
      <c r="F1109" s="184"/>
      <c r="G1109" s="184"/>
      <c r="H1109" s="184"/>
      <c r="I1109" s="184"/>
      <c r="J1109" s="184"/>
      <c r="K1109" s="184"/>
      <c r="L1109" s="184"/>
      <c r="M1109" s="184"/>
      <c r="N1109" s="184"/>
      <c r="O1109" s="184"/>
      <c r="P1109" s="184"/>
      <c r="Q1109" s="184"/>
      <c r="R1109" s="184"/>
      <c r="S1109" s="186"/>
      <c r="T1109" s="184">
        <v>0.0</v>
      </c>
    </row>
    <row r="1110">
      <c r="A1110" s="184"/>
      <c r="B1110" s="184"/>
      <c r="C1110" s="184"/>
      <c r="D1110" s="184"/>
      <c r="E1110" s="184"/>
      <c r="F1110" s="184"/>
      <c r="G1110" s="184"/>
      <c r="H1110" s="184"/>
      <c r="I1110" s="184"/>
      <c r="J1110" s="184"/>
      <c r="K1110" s="184"/>
      <c r="L1110" s="184"/>
      <c r="M1110" s="184"/>
      <c r="N1110" s="184"/>
      <c r="O1110" s="184"/>
      <c r="P1110" s="184"/>
      <c r="Q1110" s="184"/>
      <c r="R1110" s="184"/>
      <c r="S1110" s="186"/>
      <c r="T1110" s="184">
        <v>0.0</v>
      </c>
    </row>
    <row r="1111">
      <c r="A1111" s="184"/>
      <c r="B1111" s="184"/>
      <c r="C1111" s="184"/>
      <c r="D1111" s="184"/>
      <c r="E1111" s="184"/>
      <c r="F1111" s="184"/>
      <c r="G1111" s="184"/>
      <c r="H1111" s="184"/>
      <c r="I1111" s="184"/>
      <c r="J1111" s="184"/>
      <c r="K1111" s="184"/>
      <c r="L1111" s="184"/>
      <c r="M1111" s="184"/>
      <c r="N1111" s="184"/>
      <c r="O1111" s="184"/>
      <c r="P1111" s="184"/>
      <c r="Q1111" s="184"/>
      <c r="R1111" s="184"/>
      <c r="S1111" s="186"/>
      <c r="T1111" s="184">
        <v>0.0</v>
      </c>
    </row>
    <row r="1112">
      <c r="A1112" s="184"/>
      <c r="B1112" s="184"/>
      <c r="C1112" s="184"/>
      <c r="D1112" s="184"/>
      <c r="E1112" s="184"/>
      <c r="F1112" s="184"/>
      <c r="G1112" s="184"/>
      <c r="H1112" s="184"/>
      <c r="I1112" s="184"/>
      <c r="J1112" s="184"/>
      <c r="K1112" s="184"/>
      <c r="L1112" s="184"/>
      <c r="M1112" s="184"/>
      <c r="N1112" s="184"/>
      <c r="O1112" s="184"/>
      <c r="P1112" s="184"/>
      <c r="Q1112" s="184"/>
      <c r="R1112" s="184"/>
      <c r="S1112" s="186"/>
      <c r="T1112" s="184">
        <v>0.0</v>
      </c>
    </row>
    <row r="1113">
      <c r="A1113" s="184"/>
      <c r="B1113" s="184"/>
      <c r="C1113" s="184"/>
      <c r="D1113" s="184"/>
      <c r="E1113" s="184"/>
      <c r="F1113" s="184"/>
      <c r="G1113" s="184"/>
      <c r="H1113" s="184"/>
      <c r="I1113" s="184"/>
      <c r="J1113" s="184"/>
      <c r="K1113" s="184"/>
      <c r="L1113" s="184"/>
      <c r="M1113" s="184"/>
      <c r="N1113" s="184"/>
      <c r="O1113" s="184"/>
      <c r="P1113" s="184"/>
      <c r="Q1113" s="184"/>
      <c r="R1113" s="184"/>
      <c r="S1113" s="186"/>
      <c r="T1113" s="184">
        <v>0.0</v>
      </c>
    </row>
    <row r="1114">
      <c r="A1114" s="184"/>
      <c r="B1114" s="184"/>
      <c r="C1114" s="184"/>
      <c r="D1114" s="184"/>
      <c r="E1114" s="184"/>
      <c r="F1114" s="184"/>
      <c r="G1114" s="184"/>
      <c r="H1114" s="184"/>
      <c r="I1114" s="184"/>
      <c r="J1114" s="184"/>
      <c r="K1114" s="184"/>
      <c r="L1114" s="184"/>
      <c r="M1114" s="184"/>
      <c r="N1114" s="184"/>
      <c r="O1114" s="184"/>
      <c r="P1114" s="184"/>
      <c r="Q1114" s="184"/>
      <c r="R1114" s="184"/>
      <c r="S1114" s="186"/>
      <c r="T1114" s="184">
        <v>0.0</v>
      </c>
    </row>
    <row r="1115">
      <c r="A1115" s="184"/>
      <c r="B1115" s="184"/>
      <c r="C1115" s="184"/>
      <c r="D1115" s="184"/>
      <c r="E1115" s="184"/>
      <c r="F1115" s="184"/>
      <c r="G1115" s="184"/>
      <c r="H1115" s="184"/>
      <c r="I1115" s="184"/>
      <c r="J1115" s="184"/>
      <c r="K1115" s="184"/>
      <c r="L1115" s="184"/>
      <c r="M1115" s="184"/>
      <c r="N1115" s="184"/>
      <c r="O1115" s="184"/>
      <c r="P1115" s="184"/>
      <c r="Q1115" s="184"/>
      <c r="R1115" s="184"/>
      <c r="S1115" s="186"/>
      <c r="T1115" s="184">
        <v>0.0</v>
      </c>
    </row>
    <row r="1116">
      <c r="A1116" s="184"/>
      <c r="B1116" s="184"/>
      <c r="C1116" s="184"/>
      <c r="D1116" s="184"/>
      <c r="E1116" s="184"/>
      <c r="F1116" s="184"/>
      <c r="G1116" s="184"/>
      <c r="H1116" s="184"/>
      <c r="I1116" s="184"/>
      <c r="J1116" s="184"/>
      <c r="K1116" s="184"/>
      <c r="L1116" s="184"/>
      <c r="M1116" s="184"/>
      <c r="N1116" s="184"/>
      <c r="O1116" s="184"/>
      <c r="P1116" s="184"/>
      <c r="Q1116" s="184"/>
      <c r="R1116" s="184"/>
      <c r="S1116" s="186"/>
      <c r="T1116" s="184">
        <v>0.0</v>
      </c>
    </row>
    <row r="1117">
      <c r="A1117" s="184"/>
      <c r="B1117" s="184"/>
      <c r="C1117" s="184"/>
      <c r="D1117" s="184"/>
      <c r="E1117" s="184"/>
      <c r="F1117" s="184"/>
      <c r="G1117" s="184"/>
      <c r="H1117" s="184"/>
      <c r="I1117" s="184"/>
      <c r="J1117" s="184"/>
      <c r="K1117" s="184"/>
      <c r="L1117" s="184"/>
      <c r="M1117" s="184"/>
      <c r="N1117" s="184"/>
      <c r="O1117" s="184"/>
      <c r="P1117" s="184"/>
      <c r="Q1117" s="184"/>
      <c r="R1117" s="184"/>
      <c r="S1117" s="186"/>
      <c r="T1117" s="184">
        <v>0.0</v>
      </c>
    </row>
    <row r="1118">
      <c r="A1118" s="184"/>
      <c r="B1118" s="184"/>
      <c r="C1118" s="184"/>
      <c r="D1118" s="184"/>
      <c r="E1118" s="184"/>
      <c r="F1118" s="184"/>
      <c r="G1118" s="184"/>
      <c r="H1118" s="184"/>
      <c r="I1118" s="184"/>
      <c r="J1118" s="184"/>
      <c r="K1118" s="184"/>
      <c r="L1118" s="184"/>
      <c r="M1118" s="184"/>
      <c r="N1118" s="184"/>
      <c r="O1118" s="184"/>
      <c r="P1118" s="184"/>
      <c r="Q1118" s="184"/>
      <c r="R1118" s="184"/>
      <c r="S1118" s="186"/>
      <c r="T1118" s="184">
        <v>0.0</v>
      </c>
    </row>
    <row r="1119">
      <c r="A1119" s="184"/>
      <c r="B1119" s="184"/>
      <c r="C1119" s="184"/>
      <c r="D1119" s="184"/>
      <c r="E1119" s="184"/>
      <c r="F1119" s="184"/>
      <c r="G1119" s="184"/>
      <c r="H1119" s="184"/>
      <c r="I1119" s="184"/>
      <c r="J1119" s="184"/>
      <c r="K1119" s="184"/>
      <c r="L1119" s="184"/>
      <c r="M1119" s="184"/>
      <c r="N1119" s="184"/>
      <c r="O1119" s="184"/>
      <c r="P1119" s="184"/>
      <c r="Q1119" s="184"/>
      <c r="R1119" s="184"/>
      <c r="S1119" s="186"/>
      <c r="T1119" s="184">
        <v>0.0</v>
      </c>
    </row>
    <row r="1120">
      <c r="A1120" s="184"/>
      <c r="B1120" s="184"/>
      <c r="C1120" s="184"/>
      <c r="D1120" s="184"/>
      <c r="E1120" s="184"/>
      <c r="F1120" s="184"/>
      <c r="G1120" s="184"/>
      <c r="H1120" s="184"/>
      <c r="I1120" s="184"/>
      <c r="J1120" s="184"/>
      <c r="K1120" s="184"/>
      <c r="L1120" s="184"/>
      <c r="M1120" s="184"/>
      <c r="N1120" s="184"/>
      <c r="O1120" s="184"/>
      <c r="P1120" s="184"/>
      <c r="Q1120" s="184"/>
      <c r="R1120" s="184"/>
      <c r="S1120" s="186"/>
      <c r="T1120" s="184">
        <v>0.0</v>
      </c>
    </row>
    <row r="1121">
      <c r="A1121" s="184"/>
      <c r="B1121" s="184"/>
      <c r="C1121" s="184"/>
      <c r="D1121" s="184"/>
      <c r="E1121" s="184"/>
      <c r="F1121" s="184"/>
      <c r="G1121" s="184"/>
      <c r="H1121" s="184"/>
      <c r="I1121" s="184"/>
      <c r="J1121" s="184"/>
      <c r="K1121" s="184"/>
      <c r="L1121" s="184"/>
      <c r="M1121" s="184"/>
      <c r="N1121" s="184"/>
      <c r="O1121" s="184"/>
      <c r="P1121" s="184"/>
      <c r="Q1121" s="184"/>
      <c r="R1121" s="184"/>
      <c r="S1121" s="186"/>
      <c r="T1121" s="184">
        <v>0.0</v>
      </c>
    </row>
    <row r="1122">
      <c r="A1122" s="184"/>
      <c r="B1122" s="184"/>
      <c r="C1122" s="184"/>
      <c r="D1122" s="184"/>
      <c r="E1122" s="184"/>
      <c r="F1122" s="184"/>
      <c r="G1122" s="184"/>
      <c r="H1122" s="184"/>
      <c r="I1122" s="184"/>
      <c r="J1122" s="184"/>
      <c r="K1122" s="184"/>
      <c r="L1122" s="184"/>
      <c r="M1122" s="184"/>
      <c r="N1122" s="184"/>
      <c r="O1122" s="184"/>
      <c r="P1122" s="184"/>
      <c r="Q1122" s="184"/>
      <c r="R1122" s="184"/>
      <c r="S1122" s="186"/>
      <c r="T1122" s="184">
        <v>0.0</v>
      </c>
    </row>
    <row r="1123">
      <c r="A1123" s="184"/>
      <c r="B1123" s="184"/>
      <c r="C1123" s="184"/>
      <c r="D1123" s="184"/>
      <c r="E1123" s="184"/>
      <c r="F1123" s="184"/>
      <c r="G1123" s="184"/>
      <c r="H1123" s="184"/>
      <c r="I1123" s="184"/>
      <c r="J1123" s="184"/>
      <c r="K1123" s="184"/>
      <c r="L1123" s="184"/>
      <c r="M1123" s="184"/>
      <c r="N1123" s="184"/>
      <c r="O1123" s="184"/>
      <c r="P1123" s="184"/>
      <c r="Q1123" s="184"/>
      <c r="R1123" s="184"/>
      <c r="S1123" s="186"/>
      <c r="T1123" s="184">
        <v>0.0</v>
      </c>
    </row>
    <row r="1124">
      <c r="A1124" s="184"/>
      <c r="B1124" s="184"/>
      <c r="C1124" s="184"/>
      <c r="D1124" s="184"/>
      <c r="E1124" s="184"/>
      <c r="F1124" s="184"/>
      <c r="G1124" s="184"/>
      <c r="H1124" s="184"/>
      <c r="I1124" s="184"/>
      <c r="J1124" s="184"/>
      <c r="K1124" s="184"/>
      <c r="L1124" s="184"/>
      <c r="M1124" s="184"/>
      <c r="N1124" s="184"/>
      <c r="O1124" s="184"/>
      <c r="P1124" s="184"/>
      <c r="Q1124" s="184"/>
      <c r="R1124" s="184"/>
      <c r="S1124" s="186"/>
      <c r="T1124" s="184">
        <v>0.0</v>
      </c>
    </row>
    <row r="1125">
      <c r="A1125" s="184"/>
      <c r="B1125" s="184"/>
      <c r="C1125" s="184"/>
      <c r="D1125" s="184"/>
      <c r="E1125" s="184"/>
      <c r="F1125" s="184"/>
      <c r="G1125" s="184"/>
      <c r="H1125" s="184"/>
      <c r="I1125" s="184"/>
      <c r="J1125" s="184"/>
      <c r="K1125" s="184"/>
      <c r="L1125" s="184"/>
      <c r="M1125" s="184"/>
      <c r="N1125" s="184"/>
      <c r="O1125" s="184"/>
      <c r="P1125" s="184"/>
      <c r="Q1125" s="184"/>
      <c r="R1125" s="184"/>
      <c r="S1125" s="186"/>
      <c r="T1125" s="184">
        <v>0.0</v>
      </c>
    </row>
    <row r="1126">
      <c r="A1126" s="184"/>
      <c r="B1126" s="184"/>
      <c r="C1126" s="184"/>
      <c r="D1126" s="184"/>
      <c r="E1126" s="184"/>
      <c r="F1126" s="184"/>
      <c r="G1126" s="184"/>
      <c r="H1126" s="184"/>
      <c r="I1126" s="184"/>
      <c r="J1126" s="184"/>
      <c r="K1126" s="184"/>
      <c r="L1126" s="184"/>
      <c r="M1126" s="184"/>
      <c r="N1126" s="184"/>
      <c r="O1126" s="184"/>
      <c r="P1126" s="184"/>
      <c r="Q1126" s="184"/>
      <c r="R1126" s="184"/>
      <c r="S1126" s="186"/>
      <c r="T1126" s="184">
        <v>0.0</v>
      </c>
    </row>
    <row r="1127">
      <c r="A1127" s="184"/>
      <c r="B1127" s="184"/>
      <c r="C1127" s="184"/>
      <c r="D1127" s="184"/>
      <c r="E1127" s="184"/>
      <c r="F1127" s="184"/>
      <c r="G1127" s="184"/>
      <c r="H1127" s="184"/>
      <c r="I1127" s="184"/>
      <c r="J1127" s="184"/>
      <c r="K1127" s="184"/>
      <c r="L1127" s="184"/>
      <c r="M1127" s="184"/>
      <c r="N1127" s="184"/>
      <c r="O1127" s="184"/>
      <c r="P1127" s="184"/>
      <c r="Q1127" s="184"/>
      <c r="R1127" s="184"/>
      <c r="S1127" s="186"/>
      <c r="T1127" s="184">
        <v>0.0</v>
      </c>
    </row>
    <row r="1128">
      <c r="A1128" s="184"/>
      <c r="B1128" s="184"/>
      <c r="C1128" s="184"/>
      <c r="D1128" s="184"/>
      <c r="E1128" s="184"/>
      <c r="F1128" s="184"/>
      <c r="G1128" s="184"/>
      <c r="H1128" s="184"/>
      <c r="I1128" s="184"/>
      <c r="J1128" s="184"/>
      <c r="K1128" s="184"/>
      <c r="L1128" s="184"/>
      <c r="M1128" s="184"/>
      <c r="N1128" s="184"/>
      <c r="O1128" s="184"/>
      <c r="P1128" s="184"/>
      <c r="Q1128" s="184"/>
      <c r="R1128" s="184"/>
      <c r="S1128" s="186"/>
      <c r="T1128" s="184">
        <v>0.0</v>
      </c>
    </row>
    <row r="1129">
      <c r="A1129" s="184"/>
      <c r="B1129" s="184"/>
      <c r="C1129" s="184"/>
      <c r="D1129" s="184"/>
      <c r="E1129" s="184"/>
      <c r="F1129" s="184"/>
      <c r="G1129" s="184"/>
      <c r="H1129" s="184"/>
      <c r="I1129" s="184"/>
      <c r="J1129" s="184"/>
      <c r="K1129" s="184"/>
      <c r="L1129" s="184"/>
      <c r="M1129" s="184"/>
      <c r="N1129" s="184"/>
      <c r="O1129" s="184"/>
      <c r="P1129" s="184"/>
      <c r="Q1129" s="184"/>
      <c r="R1129" s="184"/>
      <c r="S1129" s="186"/>
      <c r="T1129" s="184">
        <v>0.0</v>
      </c>
    </row>
    <row r="1130">
      <c r="A1130" s="184"/>
      <c r="B1130" s="184"/>
      <c r="C1130" s="184"/>
      <c r="D1130" s="184"/>
      <c r="E1130" s="184"/>
      <c r="F1130" s="184"/>
      <c r="G1130" s="184"/>
      <c r="H1130" s="184"/>
      <c r="I1130" s="184"/>
      <c r="J1130" s="184"/>
      <c r="K1130" s="184"/>
      <c r="L1130" s="184"/>
      <c r="M1130" s="184"/>
      <c r="N1130" s="184"/>
      <c r="O1130" s="184"/>
      <c r="P1130" s="184"/>
      <c r="Q1130" s="184"/>
      <c r="R1130" s="184"/>
      <c r="S1130" s="186"/>
      <c r="T1130" s="184">
        <v>0.0</v>
      </c>
    </row>
    <row r="1131">
      <c r="A1131" s="184"/>
      <c r="B1131" s="184"/>
      <c r="C1131" s="184"/>
      <c r="D1131" s="184"/>
      <c r="E1131" s="184"/>
      <c r="F1131" s="184"/>
      <c r="G1131" s="184"/>
      <c r="H1131" s="184"/>
      <c r="I1131" s="184"/>
      <c r="J1131" s="184"/>
      <c r="K1131" s="184"/>
      <c r="L1131" s="184"/>
      <c r="M1131" s="184"/>
      <c r="N1131" s="184"/>
      <c r="O1131" s="184"/>
      <c r="P1131" s="184"/>
      <c r="Q1131" s="184"/>
      <c r="R1131" s="184"/>
      <c r="S1131" s="186"/>
      <c r="T1131" s="184">
        <v>0.0</v>
      </c>
    </row>
    <row r="1132">
      <c r="A1132" s="184"/>
      <c r="B1132" s="184"/>
      <c r="C1132" s="184"/>
      <c r="D1132" s="184"/>
      <c r="E1132" s="184"/>
      <c r="F1132" s="184"/>
      <c r="G1132" s="184"/>
      <c r="H1132" s="184"/>
      <c r="I1132" s="184"/>
      <c r="J1132" s="184"/>
      <c r="K1132" s="184"/>
      <c r="L1132" s="184"/>
      <c r="M1132" s="184"/>
      <c r="N1132" s="184"/>
      <c r="O1132" s="184"/>
      <c r="P1132" s="184"/>
      <c r="Q1132" s="184"/>
      <c r="R1132" s="184"/>
      <c r="S1132" s="186"/>
      <c r="T1132" s="184">
        <v>0.0</v>
      </c>
    </row>
    <row r="1133">
      <c r="A1133" s="184"/>
      <c r="B1133" s="184"/>
      <c r="C1133" s="184"/>
      <c r="D1133" s="184"/>
      <c r="E1133" s="184"/>
      <c r="F1133" s="184"/>
      <c r="G1133" s="184"/>
      <c r="H1133" s="184"/>
      <c r="I1133" s="184"/>
      <c r="J1133" s="184"/>
      <c r="K1133" s="184"/>
      <c r="L1133" s="184"/>
      <c r="M1133" s="184"/>
      <c r="N1133" s="184"/>
      <c r="O1133" s="184"/>
      <c r="P1133" s="184"/>
      <c r="Q1133" s="184"/>
      <c r="R1133" s="184"/>
      <c r="S1133" s="186"/>
      <c r="T1133" s="184">
        <v>0.0</v>
      </c>
    </row>
    <row r="1134">
      <c r="A1134" s="184"/>
      <c r="B1134" s="184"/>
      <c r="C1134" s="184"/>
      <c r="D1134" s="184"/>
      <c r="E1134" s="184"/>
      <c r="F1134" s="184"/>
      <c r="G1134" s="184"/>
      <c r="H1134" s="184"/>
      <c r="I1134" s="184"/>
      <c r="J1134" s="184"/>
      <c r="K1134" s="184"/>
      <c r="L1134" s="184"/>
      <c r="M1134" s="184"/>
      <c r="N1134" s="184"/>
      <c r="O1134" s="184"/>
      <c r="P1134" s="184"/>
      <c r="Q1134" s="184"/>
      <c r="R1134" s="184"/>
      <c r="S1134" s="186"/>
      <c r="T1134" s="184">
        <v>0.0</v>
      </c>
    </row>
    <row r="1135">
      <c r="A1135" s="184"/>
      <c r="B1135" s="184"/>
      <c r="C1135" s="184"/>
      <c r="D1135" s="184"/>
      <c r="E1135" s="184"/>
      <c r="F1135" s="184"/>
      <c r="G1135" s="184"/>
      <c r="H1135" s="184"/>
      <c r="I1135" s="184"/>
      <c r="J1135" s="184"/>
      <c r="K1135" s="184"/>
      <c r="L1135" s="184"/>
      <c r="M1135" s="184"/>
      <c r="N1135" s="184"/>
      <c r="O1135" s="184"/>
      <c r="P1135" s="184"/>
      <c r="Q1135" s="184"/>
      <c r="R1135" s="184"/>
      <c r="S1135" s="186"/>
      <c r="T1135" s="184">
        <v>0.0</v>
      </c>
    </row>
    <row r="1136">
      <c r="A1136" s="184"/>
      <c r="B1136" s="184"/>
      <c r="C1136" s="184"/>
      <c r="D1136" s="184"/>
      <c r="E1136" s="184"/>
      <c r="F1136" s="184"/>
      <c r="G1136" s="184"/>
      <c r="H1136" s="184"/>
      <c r="I1136" s="184"/>
      <c r="J1136" s="184"/>
      <c r="K1136" s="184"/>
      <c r="L1136" s="184"/>
      <c r="M1136" s="184"/>
      <c r="N1136" s="184"/>
      <c r="O1136" s="184"/>
      <c r="P1136" s="184"/>
      <c r="Q1136" s="184"/>
      <c r="R1136" s="184"/>
      <c r="S1136" s="186"/>
      <c r="T1136" s="184">
        <v>0.0</v>
      </c>
    </row>
    <row r="1137">
      <c r="A1137" s="184"/>
      <c r="B1137" s="184"/>
      <c r="C1137" s="184"/>
      <c r="D1137" s="184"/>
      <c r="E1137" s="184"/>
      <c r="F1137" s="184"/>
      <c r="G1137" s="184"/>
      <c r="H1137" s="184"/>
      <c r="I1137" s="184"/>
      <c r="J1137" s="184"/>
      <c r="K1137" s="184"/>
      <c r="L1137" s="184"/>
      <c r="M1137" s="184"/>
      <c r="N1137" s="184"/>
      <c r="O1137" s="184"/>
      <c r="P1137" s="184"/>
      <c r="Q1137" s="184"/>
      <c r="R1137" s="184"/>
      <c r="S1137" s="186"/>
      <c r="T1137" s="184">
        <v>0.0</v>
      </c>
    </row>
    <row r="1138">
      <c r="A1138" s="184"/>
      <c r="B1138" s="184"/>
      <c r="C1138" s="184"/>
      <c r="D1138" s="184"/>
      <c r="E1138" s="184"/>
      <c r="F1138" s="184"/>
      <c r="G1138" s="184"/>
      <c r="H1138" s="184"/>
      <c r="I1138" s="184"/>
      <c r="J1138" s="184"/>
      <c r="K1138" s="184"/>
      <c r="L1138" s="184"/>
      <c r="M1138" s="184"/>
      <c r="N1138" s="184"/>
      <c r="O1138" s="184"/>
      <c r="P1138" s="184"/>
      <c r="Q1138" s="184"/>
      <c r="R1138" s="184"/>
      <c r="S1138" s="186"/>
      <c r="T1138" s="184">
        <v>0.0</v>
      </c>
    </row>
    <row r="1139">
      <c r="A1139" s="184"/>
      <c r="B1139" s="184"/>
      <c r="C1139" s="184"/>
      <c r="D1139" s="184"/>
      <c r="E1139" s="184"/>
      <c r="F1139" s="184"/>
      <c r="G1139" s="184"/>
      <c r="H1139" s="184"/>
      <c r="I1139" s="184"/>
      <c r="J1139" s="184"/>
      <c r="K1139" s="184"/>
      <c r="L1139" s="184"/>
      <c r="M1139" s="184"/>
      <c r="N1139" s="184"/>
      <c r="O1139" s="184"/>
      <c r="P1139" s="184"/>
      <c r="Q1139" s="184"/>
      <c r="R1139" s="184"/>
      <c r="S1139" s="186"/>
      <c r="T1139" s="184">
        <v>0.0</v>
      </c>
    </row>
    <row r="1140">
      <c r="A1140" s="184"/>
      <c r="B1140" s="184"/>
      <c r="C1140" s="184"/>
      <c r="D1140" s="184"/>
      <c r="E1140" s="184"/>
      <c r="F1140" s="184"/>
      <c r="G1140" s="184"/>
      <c r="H1140" s="184"/>
      <c r="I1140" s="184"/>
      <c r="J1140" s="184"/>
      <c r="K1140" s="184"/>
      <c r="L1140" s="184"/>
      <c r="M1140" s="184"/>
      <c r="N1140" s="184"/>
      <c r="O1140" s="184"/>
      <c r="P1140" s="184"/>
      <c r="Q1140" s="184"/>
      <c r="R1140" s="184"/>
      <c r="S1140" s="186"/>
      <c r="T1140" s="184">
        <v>0.0</v>
      </c>
    </row>
    <row r="1141">
      <c r="A1141" s="184"/>
      <c r="B1141" s="184"/>
      <c r="C1141" s="184"/>
      <c r="D1141" s="184"/>
      <c r="E1141" s="184"/>
      <c r="F1141" s="184"/>
      <c r="G1141" s="184"/>
      <c r="H1141" s="184"/>
      <c r="I1141" s="184"/>
      <c r="J1141" s="184"/>
      <c r="K1141" s="184"/>
      <c r="L1141" s="184"/>
      <c r="M1141" s="184"/>
      <c r="N1141" s="184"/>
      <c r="O1141" s="184"/>
      <c r="P1141" s="184"/>
      <c r="Q1141" s="184"/>
      <c r="R1141" s="184"/>
      <c r="S1141" s="186"/>
      <c r="T1141" s="184">
        <v>0.0</v>
      </c>
    </row>
    <row r="1142">
      <c r="A1142" s="184"/>
      <c r="B1142" s="184"/>
      <c r="C1142" s="184"/>
      <c r="D1142" s="184"/>
      <c r="E1142" s="184"/>
      <c r="F1142" s="184"/>
      <c r="G1142" s="184"/>
      <c r="H1142" s="184"/>
      <c r="I1142" s="184"/>
      <c r="J1142" s="184"/>
      <c r="K1142" s="184"/>
      <c r="L1142" s="184"/>
      <c r="M1142" s="184"/>
      <c r="N1142" s="184"/>
      <c r="O1142" s="184"/>
      <c r="P1142" s="184"/>
      <c r="Q1142" s="184"/>
      <c r="R1142" s="184"/>
      <c r="S1142" s="186"/>
      <c r="T1142" s="184">
        <v>0.0</v>
      </c>
    </row>
    <row r="1143">
      <c r="A1143" s="184"/>
      <c r="B1143" s="184"/>
      <c r="C1143" s="184"/>
      <c r="D1143" s="184"/>
      <c r="E1143" s="184"/>
      <c r="F1143" s="184"/>
      <c r="G1143" s="184"/>
      <c r="H1143" s="184"/>
      <c r="I1143" s="184"/>
      <c r="J1143" s="184"/>
      <c r="K1143" s="184"/>
      <c r="L1143" s="184"/>
      <c r="M1143" s="184"/>
      <c r="N1143" s="184"/>
      <c r="O1143" s="184"/>
      <c r="P1143" s="184"/>
      <c r="Q1143" s="184"/>
      <c r="R1143" s="184"/>
      <c r="S1143" s="186"/>
      <c r="T1143" s="184">
        <v>0.0</v>
      </c>
    </row>
    <row r="1144">
      <c r="A1144" s="184"/>
      <c r="B1144" s="184"/>
      <c r="C1144" s="184"/>
      <c r="D1144" s="184"/>
      <c r="E1144" s="184"/>
      <c r="F1144" s="184"/>
      <c r="G1144" s="184"/>
      <c r="H1144" s="184"/>
      <c r="I1144" s="184"/>
      <c r="J1144" s="184"/>
      <c r="K1144" s="184"/>
      <c r="L1144" s="184"/>
      <c r="M1144" s="184"/>
      <c r="N1144" s="184"/>
      <c r="O1144" s="184"/>
      <c r="P1144" s="184"/>
      <c r="Q1144" s="184"/>
      <c r="R1144" s="184"/>
      <c r="S1144" s="186"/>
      <c r="T1144" s="184">
        <v>0.0</v>
      </c>
    </row>
    <row r="1145">
      <c r="A1145" s="184"/>
      <c r="B1145" s="184"/>
      <c r="C1145" s="184"/>
      <c r="D1145" s="184"/>
      <c r="E1145" s="184"/>
      <c r="F1145" s="184"/>
      <c r="G1145" s="184"/>
      <c r="H1145" s="184"/>
      <c r="I1145" s="184"/>
      <c r="J1145" s="184"/>
      <c r="K1145" s="184"/>
      <c r="L1145" s="184"/>
      <c r="M1145" s="184"/>
      <c r="N1145" s="184"/>
      <c r="O1145" s="184"/>
      <c r="P1145" s="184"/>
      <c r="Q1145" s="184"/>
      <c r="R1145" s="184"/>
      <c r="S1145" s="186"/>
      <c r="T1145" s="184">
        <v>0.0</v>
      </c>
    </row>
    <row r="1146">
      <c r="A1146" s="184"/>
      <c r="B1146" s="184"/>
      <c r="C1146" s="184"/>
      <c r="D1146" s="184"/>
      <c r="E1146" s="184"/>
      <c r="F1146" s="184"/>
      <c r="G1146" s="184"/>
      <c r="H1146" s="184"/>
      <c r="I1146" s="184"/>
      <c r="J1146" s="184"/>
      <c r="K1146" s="184"/>
      <c r="L1146" s="184"/>
      <c r="M1146" s="184"/>
      <c r="N1146" s="184"/>
      <c r="O1146" s="184"/>
      <c r="P1146" s="184"/>
      <c r="Q1146" s="184"/>
      <c r="R1146" s="184"/>
      <c r="S1146" s="186"/>
      <c r="T1146" s="184">
        <v>0.0</v>
      </c>
    </row>
    <row r="1147">
      <c r="A1147" s="184"/>
      <c r="B1147" s="184"/>
      <c r="C1147" s="184"/>
      <c r="D1147" s="184"/>
      <c r="E1147" s="184"/>
      <c r="F1147" s="184"/>
      <c r="G1147" s="184"/>
      <c r="H1147" s="184"/>
      <c r="I1147" s="184"/>
      <c r="J1147" s="184"/>
      <c r="K1147" s="184"/>
      <c r="L1147" s="184"/>
      <c r="M1147" s="184"/>
      <c r="N1147" s="184"/>
      <c r="O1147" s="184"/>
      <c r="P1147" s="184"/>
      <c r="Q1147" s="184"/>
      <c r="R1147" s="184"/>
      <c r="S1147" s="186"/>
      <c r="T1147" s="184">
        <v>0.0</v>
      </c>
    </row>
    <row r="1148">
      <c r="A1148" s="184"/>
      <c r="B1148" s="184"/>
      <c r="C1148" s="184"/>
      <c r="D1148" s="184"/>
      <c r="E1148" s="184"/>
      <c r="F1148" s="184"/>
      <c r="G1148" s="184"/>
      <c r="H1148" s="184"/>
      <c r="I1148" s="184"/>
      <c r="J1148" s="184"/>
      <c r="K1148" s="184"/>
      <c r="L1148" s="184"/>
      <c r="M1148" s="184"/>
      <c r="N1148" s="184"/>
      <c r="O1148" s="184"/>
      <c r="P1148" s="184"/>
      <c r="Q1148" s="184"/>
      <c r="R1148" s="184"/>
      <c r="S1148" s="186"/>
      <c r="T1148" s="184">
        <v>0.0</v>
      </c>
    </row>
    <row r="1149">
      <c r="A1149" s="184"/>
      <c r="B1149" s="184"/>
      <c r="C1149" s="184"/>
      <c r="D1149" s="184"/>
      <c r="E1149" s="184"/>
      <c r="F1149" s="184"/>
      <c r="G1149" s="184"/>
      <c r="H1149" s="184"/>
      <c r="I1149" s="184"/>
      <c r="J1149" s="184"/>
      <c r="K1149" s="184"/>
      <c r="L1149" s="184"/>
      <c r="M1149" s="184"/>
      <c r="N1149" s="184"/>
      <c r="O1149" s="184"/>
      <c r="P1149" s="184"/>
      <c r="Q1149" s="184"/>
      <c r="R1149" s="184"/>
      <c r="S1149" s="186"/>
      <c r="T1149" s="184">
        <v>0.0</v>
      </c>
    </row>
    <row r="1150">
      <c r="A1150" s="184"/>
      <c r="B1150" s="184"/>
      <c r="C1150" s="184"/>
      <c r="D1150" s="184"/>
      <c r="E1150" s="184"/>
      <c r="F1150" s="184"/>
      <c r="G1150" s="184"/>
      <c r="H1150" s="184"/>
      <c r="I1150" s="184"/>
      <c r="J1150" s="184"/>
      <c r="K1150" s="184"/>
      <c r="L1150" s="184"/>
      <c r="M1150" s="184"/>
      <c r="N1150" s="184"/>
      <c r="O1150" s="184"/>
      <c r="P1150" s="184"/>
      <c r="Q1150" s="184"/>
      <c r="R1150" s="184"/>
      <c r="S1150" s="186"/>
      <c r="T1150" s="184">
        <v>0.0</v>
      </c>
    </row>
    <row r="1151">
      <c r="A1151" s="184"/>
      <c r="B1151" s="184"/>
      <c r="C1151" s="184"/>
      <c r="D1151" s="184"/>
      <c r="E1151" s="184"/>
      <c r="F1151" s="184"/>
      <c r="G1151" s="184"/>
      <c r="H1151" s="184"/>
      <c r="I1151" s="184"/>
      <c r="J1151" s="184"/>
      <c r="K1151" s="184"/>
      <c r="L1151" s="184"/>
      <c r="M1151" s="184"/>
      <c r="N1151" s="184"/>
      <c r="O1151" s="184"/>
      <c r="P1151" s="184"/>
      <c r="Q1151" s="184"/>
      <c r="R1151" s="184"/>
      <c r="S1151" s="186"/>
      <c r="T1151" s="184">
        <v>0.0</v>
      </c>
    </row>
    <row r="1152">
      <c r="A1152" s="184"/>
      <c r="B1152" s="184"/>
      <c r="C1152" s="184"/>
      <c r="D1152" s="184"/>
      <c r="E1152" s="184"/>
      <c r="F1152" s="184"/>
      <c r="G1152" s="184"/>
      <c r="H1152" s="184"/>
      <c r="I1152" s="184"/>
      <c r="J1152" s="184"/>
      <c r="K1152" s="184"/>
      <c r="L1152" s="184"/>
      <c r="M1152" s="184"/>
      <c r="N1152" s="184"/>
      <c r="O1152" s="184"/>
      <c r="P1152" s="184"/>
      <c r="Q1152" s="184"/>
      <c r="R1152" s="184"/>
      <c r="S1152" s="186"/>
      <c r="T1152" s="184">
        <v>0.0</v>
      </c>
    </row>
    <row r="1153">
      <c r="A1153" s="184"/>
      <c r="B1153" s="184"/>
      <c r="C1153" s="184"/>
      <c r="D1153" s="184"/>
      <c r="E1153" s="184"/>
      <c r="F1153" s="184"/>
      <c r="G1153" s="184"/>
      <c r="H1153" s="184"/>
      <c r="I1153" s="184"/>
      <c r="J1153" s="184"/>
      <c r="K1153" s="184"/>
      <c r="L1153" s="184"/>
      <c r="M1153" s="184"/>
      <c r="N1153" s="184"/>
      <c r="O1153" s="184"/>
      <c r="P1153" s="184"/>
      <c r="Q1153" s="184"/>
      <c r="R1153" s="184"/>
      <c r="S1153" s="186"/>
      <c r="T1153" s="184">
        <v>0.0</v>
      </c>
    </row>
    <row r="1154">
      <c r="A1154" s="184"/>
      <c r="B1154" s="184"/>
      <c r="C1154" s="184"/>
      <c r="D1154" s="184"/>
      <c r="E1154" s="184"/>
      <c r="F1154" s="184"/>
      <c r="G1154" s="184"/>
      <c r="H1154" s="184"/>
      <c r="I1154" s="184"/>
      <c r="J1154" s="184"/>
      <c r="K1154" s="184"/>
      <c r="L1154" s="184"/>
      <c r="M1154" s="184"/>
      <c r="N1154" s="184"/>
      <c r="O1154" s="184"/>
      <c r="P1154" s="184"/>
      <c r="Q1154" s="184"/>
      <c r="R1154" s="184"/>
      <c r="S1154" s="186"/>
      <c r="T1154" s="184">
        <v>0.0</v>
      </c>
    </row>
    <row r="1155">
      <c r="A1155" s="184"/>
      <c r="B1155" s="184"/>
      <c r="C1155" s="184"/>
      <c r="D1155" s="184"/>
      <c r="E1155" s="184"/>
      <c r="F1155" s="184"/>
      <c r="G1155" s="184"/>
      <c r="H1155" s="184"/>
      <c r="I1155" s="184"/>
      <c r="J1155" s="184"/>
      <c r="K1155" s="184"/>
      <c r="L1155" s="184"/>
      <c r="M1155" s="184"/>
      <c r="N1155" s="184"/>
      <c r="O1155" s="184"/>
      <c r="P1155" s="184"/>
      <c r="Q1155" s="184"/>
      <c r="R1155" s="184"/>
      <c r="S1155" s="186"/>
      <c r="T1155" s="184">
        <v>0.0</v>
      </c>
    </row>
    <row r="1156">
      <c r="A1156" s="184"/>
      <c r="B1156" s="184"/>
      <c r="C1156" s="184"/>
      <c r="D1156" s="184"/>
      <c r="E1156" s="184"/>
      <c r="F1156" s="184"/>
      <c r="G1156" s="184"/>
      <c r="H1156" s="184"/>
      <c r="I1156" s="184"/>
      <c r="J1156" s="184"/>
      <c r="K1156" s="184"/>
      <c r="L1156" s="184"/>
      <c r="M1156" s="184"/>
      <c r="N1156" s="184"/>
      <c r="O1156" s="184"/>
      <c r="P1156" s="184"/>
      <c r="Q1156" s="184"/>
      <c r="R1156" s="184"/>
      <c r="S1156" s="186"/>
      <c r="T1156" s="184">
        <v>0.0</v>
      </c>
    </row>
    <row r="1157">
      <c r="A1157" s="184"/>
      <c r="B1157" s="184"/>
      <c r="C1157" s="184"/>
      <c r="D1157" s="184"/>
      <c r="E1157" s="184"/>
      <c r="F1157" s="184"/>
      <c r="G1157" s="184"/>
      <c r="H1157" s="184"/>
      <c r="I1157" s="184"/>
      <c r="J1157" s="184"/>
      <c r="K1157" s="184"/>
      <c r="L1157" s="184"/>
      <c r="M1157" s="184"/>
      <c r="N1157" s="184"/>
      <c r="O1157" s="184"/>
      <c r="P1157" s="184"/>
      <c r="Q1157" s="184"/>
      <c r="R1157" s="184"/>
      <c r="S1157" s="186"/>
      <c r="T1157" s="184">
        <v>0.0</v>
      </c>
    </row>
    <row r="1158">
      <c r="A1158" s="184"/>
      <c r="B1158" s="184"/>
      <c r="C1158" s="184"/>
      <c r="D1158" s="184"/>
      <c r="E1158" s="184"/>
      <c r="F1158" s="184"/>
      <c r="G1158" s="184"/>
      <c r="H1158" s="184"/>
      <c r="I1158" s="184"/>
      <c r="J1158" s="184"/>
      <c r="K1158" s="184"/>
      <c r="L1158" s="184"/>
      <c r="M1158" s="184"/>
      <c r="N1158" s="184"/>
      <c r="O1158" s="184"/>
      <c r="P1158" s="184"/>
      <c r="Q1158" s="184"/>
      <c r="R1158" s="184"/>
      <c r="S1158" s="186"/>
      <c r="T1158" s="184">
        <v>0.0</v>
      </c>
    </row>
    <row r="1159">
      <c r="A1159" s="184"/>
      <c r="B1159" s="184"/>
      <c r="C1159" s="184"/>
      <c r="D1159" s="184"/>
      <c r="E1159" s="184"/>
      <c r="F1159" s="184"/>
      <c r="G1159" s="184"/>
      <c r="H1159" s="184"/>
      <c r="I1159" s="184"/>
      <c r="J1159" s="184"/>
      <c r="K1159" s="184"/>
      <c r="L1159" s="184"/>
      <c r="M1159" s="184"/>
      <c r="N1159" s="184"/>
      <c r="O1159" s="184"/>
      <c r="P1159" s="184"/>
      <c r="Q1159" s="184"/>
      <c r="R1159" s="184"/>
      <c r="S1159" s="186"/>
      <c r="T1159" s="184">
        <v>0.0</v>
      </c>
    </row>
    <row r="1160">
      <c r="A1160" s="184"/>
      <c r="B1160" s="184"/>
      <c r="C1160" s="184"/>
      <c r="D1160" s="184"/>
      <c r="E1160" s="184"/>
      <c r="F1160" s="184"/>
      <c r="G1160" s="184"/>
      <c r="H1160" s="184"/>
      <c r="I1160" s="184"/>
      <c r="J1160" s="184"/>
      <c r="K1160" s="184"/>
      <c r="L1160" s="184"/>
      <c r="M1160" s="184"/>
      <c r="N1160" s="184"/>
      <c r="O1160" s="184"/>
      <c r="P1160" s="184"/>
      <c r="Q1160" s="184"/>
      <c r="R1160" s="184"/>
      <c r="S1160" s="186"/>
      <c r="T1160" s="184">
        <v>0.0</v>
      </c>
    </row>
    <row r="1161">
      <c r="A1161" s="184"/>
      <c r="B1161" s="184"/>
      <c r="C1161" s="184"/>
      <c r="D1161" s="184"/>
      <c r="E1161" s="184"/>
      <c r="F1161" s="184"/>
      <c r="G1161" s="184"/>
      <c r="H1161" s="184"/>
      <c r="I1161" s="184"/>
      <c r="J1161" s="184"/>
      <c r="K1161" s="184"/>
      <c r="L1161" s="184"/>
      <c r="M1161" s="184"/>
      <c r="N1161" s="184"/>
      <c r="O1161" s="184"/>
      <c r="P1161" s="184"/>
      <c r="Q1161" s="184"/>
      <c r="R1161" s="184"/>
      <c r="S1161" s="186"/>
      <c r="T1161" s="184">
        <v>0.0</v>
      </c>
    </row>
    <row r="1162">
      <c r="A1162" s="184"/>
      <c r="B1162" s="184"/>
      <c r="C1162" s="184"/>
      <c r="D1162" s="184"/>
      <c r="E1162" s="184"/>
      <c r="F1162" s="184"/>
      <c r="G1162" s="184"/>
      <c r="H1162" s="184"/>
      <c r="I1162" s="184"/>
      <c r="J1162" s="184"/>
      <c r="K1162" s="184"/>
      <c r="L1162" s="184"/>
      <c r="M1162" s="184"/>
      <c r="N1162" s="184"/>
      <c r="O1162" s="184"/>
      <c r="P1162" s="184"/>
      <c r="Q1162" s="184"/>
      <c r="R1162" s="184"/>
      <c r="S1162" s="186"/>
      <c r="T1162" s="184">
        <v>0.0</v>
      </c>
    </row>
    <row r="1163">
      <c r="A1163" s="184"/>
      <c r="B1163" s="184"/>
      <c r="C1163" s="184"/>
      <c r="D1163" s="184"/>
      <c r="E1163" s="184"/>
      <c r="F1163" s="184"/>
      <c r="G1163" s="184"/>
      <c r="H1163" s="184"/>
      <c r="I1163" s="184"/>
      <c r="J1163" s="184"/>
      <c r="K1163" s="184"/>
      <c r="L1163" s="184"/>
      <c r="M1163" s="184"/>
      <c r="N1163" s="184"/>
      <c r="O1163" s="184"/>
      <c r="P1163" s="184"/>
      <c r="Q1163" s="184"/>
      <c r="R1163" s="184"/>
      <c r="S1163" s="186"/>
      <c r="T1163" s="184">
        <v>0.0</v>
      </c>
    </row>
    <row r="1164">
      <c r="A1164" s="184"/>
      <c r="B1164" s="184"/>
      <c r="C1164" s="184"/>
      <c r="D1164" s="184"/>
      <c r="E1164" s="184"/>
      <c r="F1164" s="184"/>
      <c r="G1164" s="184"/>
      <c r="H1164" s="184"/>
      <c r="I1164" s="184"/>
      <c r="J1164" s="184"/>
      <c r="K1164" s="184"/>
      <c r="L1164" s="184"/>
      <c r="M1164" s="184"/>
      <c r="N1164" s="184"/>
      <c r="O1164" s="184"/>
      <c r="P1164" s="184"/>
      <c r="Q1164" s="184"/>
      <c r="R1164" s="184"/>
      <c r="S1164" s="186"/>
      <c r="T1164" s="184">
        <v>0.0</v>
      </c>
    </row>
    <row r="1165">
      <c r="A1165" s="184"/>
      <c r="B1165" s="184"/>
      <c r="C1165" s="184"/>
      <c r="D1165" s="184"/>
      <c r="E1165" s="184"/>
      <c r="F1165" s="184"/>
      <c r="G1165" s="184"/>
      <c r="H1165" s="184"/>
      <c r="I1165" s="184"/>
      <c r="J1165" s="184"/>
      <c r="K1165" s="184"/>
      <c r="L1165" s="184"/>
      <c r="M1165" s="184"/>
      <c r="N1165" s="184"/>
      <c r="O1165" s="184"/>
      <c r="P1165" s="184"/>
      <c r="Q1165" s="184"/>
      <c r="R1165" s="184"/>
      <c r="S1165" s="186"/>
      <c r="T1165" s="184">
        <v>0.0</v>
      </c>
    </row>
    <row r="1166">
      <c r="A1166" s="184"/>
      <c r="B1166" s="184"/>
      <c r="C1166" s="184"/>
      <c r="D1166" s="184"/>
      <c r="E1166" s="184"/>
      <c r="F1166" s="184"/>
      <c r="G1166" s="184"/>
      <c r="H1166" s="184"/>
      <c r="I1166" s="184"/>
      <c r="J1166" s="184"/>
      <c r="K1166" s="184"/>
      <c r="L1166" s="184"/>
      <c r="M1166" s="184"/>
      <c r="N1166" s="184"/>
      <c r="O1166" s="184"/>
      <c r="P1166" s="184"/>
      <c r="Q1166" s="184"/>
      <c r="R1166" s="184"/>
      <c r="S1166" s="186"/>
      <c r="T1166" s="184">
        <v>0.0</v>
      </c>
    </row>
    <row r="1167">
      <c r="A1167" s="184"/>
      <c r="B1167" s="184"/>
      <c r="C1167" s="184"/>
      <c r="D1167" s="184"/>
      <c r="E1167" s="184"/>
      <c r="F1167" s="184"/>
      <c r="G1167" s="184"/>
      <c r="H1167" s="184"/>
      <c r="I1167" s="184"/>
      <c r="J1167" s="184"/>
      <c r="K1167" s="184"/>
      <c r="L1167" s="184"/>
      <c r="M1167" s="184"/>
      <c r="N1167" s="184"/>
      <c r="O1167" s="184"/>
      <c r="P1167" s="184"/>
      <c r="Q1167" s="184"/>
      <c r="R1167" s="184"/>
      <c r="S1167" s="186"/>
      <c r="T1167" s="184">
        <v>0.0</v>
      </c>
    </row>
    <row r="1168">
      <c r="A1168" s="184"/>
      <c r="B1168" s="184"/>
      <c r="C1168" s="184"/>
      <c r="D1168" s="184"/>
      <c r="E1168" s="184"/>
      <c r="F1168" s="184"/>
      <c r="G1168" s="184"/>
      <c r="H1168" s="184"/>
      <c r="I1168" s="184"/>
      <c r="J1168" s="184"/>
      <c r="K1168" s="184"/>
      <c r="L1168" s="184"/>
      <c r="M1168" s="184"/>
      <c r="N1168" s="184"/>
      <c r="O1168" s="184"/>
      <c r="P1168" s="184"/>
      <c r="Q1168" s="184"/>
      <c r="R1168" s="184"/>
      <c r="S1168" s="186"/>
      <c r="T1168" s="184">
        <v>0.0</v>
      </c>
    </row>
    <row r="1169">
      <c r="A1169" s="184"/>
      <c r="B1169" s="184"/>
      <c r="C1169" s="184"/>
      <c r="D1169" s="184"/>
      <c r="E1169" s="184"/>
      <c r="F1169" s="184"/>
      <c r="G1169" s="184"/>
      <c r="H1169" s="184"/>
      <c r="I1169" s="184"/>
      <c r="J1169" s="184"/>
      <c r="K1169" s="184"/>
      <c r="L1169" s="184"/>
      <c r="M1169" s="184"/>
      <c r="N1169" s="184"/>
      <c r="O1169" s="184"/>
      <c r="P1169" s="184"/>
      <c r="Q1169" s="184"/>
      <c r="R1169" s="184"/>
      <c r="S1169" s="186"/>
      <c r="T1169" s="184">
        <v>0.0</v>
      </c>
    </row>
    <row r="1170">
      <c r="A1170" s="184"/>
      <c r="B1170" s="184"/>
      <c r="C1170" s="184"/>
      <c r="D1170" s="184"/>
      <c r="E1170" s="184"/>
      <c r="F1170" s="184"/>
      <c r="G1170" s="184"/>
      <c r="H1170" s="184"/>
      <c r="I1170" s="184"/>
      <c r="J1170" s="184"/>
      <c r="K1170" s="184"/>
      <c r="L1170" s="184"/>
      <c r="M1170" s="184"/>
      <c r="N1170" s="184"/>
      <c r="O1170" s="184"/>
      <c r="P1170" s="184"/>
      <c r="Q1170" s="184"/>
      <c r="R1170" s="184"/>
      <c r="S1170" s="186"/>
      <c r="T1170" s="184">
        <v>0.0</v>
      </c>
    </row>
    <row r="1171">
      <c r="A1171" s="184"/>
      <c r="B1171" s="184"/>
      <c r="C1171" s="184"/>
      <c r="D1171" s="184"/>
      <c r="E1171" s="184"/>
      <c r="F1171" s="184"/>
      <c r="G1171" s="184"/>
      <c r="H1171" s="184"/>
      <c r="I1171" s="184"/>
      <c r="J1171" s="184"/>
      <c r="K1171" s="184"/>
      <c r="L1171" s="184"/>
      <c r="M1171" s="184"/>
      <c r="N1171" s="184"/>
      <c r="O1171" s="184"/>
      <c r="P1171" s="184"/>
      <c r="Q1171" s="184"/>
      <c r="R1171" s="184"/>
      <c r="S1171" s="186"/>
      <c r="T1171" s="184">
        <v>0.0</v>
      </c>
    </row>
    <row r="1172">
      <c r="A1172" s="184"/>
      <c r="B1172" s="184"/>
      <c r="C1172" s="184"/>
      <c r="D1172" s="184"/>
      <c r="E1172" s="184"/>
      <c r="F1172" s="184"/>
      <c r="G1172" s="184"/>
      <c r="H1172" s="184"/>
      <c r="I1172" s="184"/>
      <c r="J1172" s="184"/>
      <c r="K1172" s="184"/>
      <c r="L1172" s="184"/>
      <c r="M1172" s="184"/>
      <c r="N1172" s="184"/>
      <c r="O1172" s="184"/>
      <c r="P1172" s="184"/>
      <c r="Q1172" s="184"/>
      <c r="R1172" s="184"/>
      <c r="S1172" s="186"/>
      <c r="T1172" s="184">
        <v>0.0</v>
      </c>
    </row>
    <row r="1173">
      <c r="A1173" s="184"/>
      <c r="B1173" s="184"/>
      <c r="C1173" s="184"/>
      <c r="D1173" s="184"/>
      <c r="E1173" s="184"/>
      <c r="F1173" s="184"/>
      <c r="G1173" s="184"/>
      <c r="H1173" s="184"/>
      <c r="I1173" s="184"/>
      <c r="J1173" s="184"/>
      <c r="K1173" s="184"/>
      <c r="L1173" s="184"/>
      <c r="M1173" s="184"/>
      <c r="N1173" s="184"/>
      <c r="O1173" s="184"/>
      <c r="P1173" s="184"/>
      <c r="Q1173" s="184"/>
      <c r="R1173" s="184"/>
      <c r="S1173" s="186"/>
      <c r="T1173" s="184">
        <v>0.0</v>
      </c>
    </row>
    <row r="1174">
      <c r="A1174" s="184"/>
      <c r="B1174" s="184"/>
      <c r="C1174" s="184"/>
      <c r="D1174" s="184"/>
      <c r="E1174" s="184"/>
      <c r="F1174" s="184"/>
      <c r="G1174" s="184"/>
      <c r="H1174" s="184"/>
      <c r="I1174" s="184"/>
      <c r="J1174" s="184"/>
      <c r="K1174" s="184"/>
      <c r="L1174" s="184"/>
      <c r="M1174" s="184"/>
      <c r="N1174" s="184"/>
      <c r="O1174" s="184"/>
      <c r="P1174" s="184"/>
      <c r="Q1174" s="184"/>
      <c r="R1174" s="184"/>
      <c r="S1174" s="186"/>
      <c r="T1174" s="184">
        <v>0.0</v>
      </c>
    </row>
    <row r="1175">
      <c r="A1175" s="184"/>
      <c r="B1175" s="184"/>
      <c r="C1175" s="184"/>
      <c r="D1175" s="184"/>
      <c r="E1175" s="184"/>
      <c r="F1175" s="184"/>
      <c r="G1175" s="184"/>
      <c r="H1175" s="184"/>
      <c r="I1175" s="184"/>
      <c r="J1175" s="184"/>
      <c r="K1175" s="184"/>
      <c r="L1175" s="184"/>
      <c r="M1175" s="184"/>
      <c r="N1175" s="184"/>
      <c r="O1175" s="184"/>
      <c r="P1175" s="184"/>
      <c r="Q1175" s="184"/>
      <c r="R1175" s="184"/>
      <c r="S1175" s="186"/>
      <c r="T1175" s="184">
        <v>0.0</v>
      </c>
    </row>
    <row r="1176">
      <c r="A1176" s="184"/>
      <c r="B1176" s="184"/>
      <c r="C1176" s="184"/>
      <c r="D1176" s="184"/>
      <c r="E1176" s="184"/>
      <c r="F1176" s="184"/>
      <c r="G1176" s="184"/>
      <c r="H1176" s="184"/>
      <c r="I1176" s="184"/>
      <c r="J1176" s="184"/>
      <c r="K1176" s="184"/>
      <c r="L1176" s="184"/>
      <c r="M1176" s="184"/>
      <c r="N1176" s="184"/>
      <c r="O1176" s="184"/>
      <c r="P1176" s="184"/>
      <c r="Q1176" s="184"/>
      <c r="R1176" s="184"/>
      <c r="S1176" s="186"/>
      <c r="T1176" s="184">
        <v>0.0</v>
      </c>
    </row>
    <row r="1177">
      <c r="A1177" s="184"/>
      <c r="B1177" s="184"/>
      <c r="C1177" s="184"/>
      <c r="D1177" s="184"/>
      <c r="E1177" s="184"/>
      <c r="F1177" s="184"/>
      <c r="G1177" s="184"/>
      <c r="H1177" s="184"/>
      <c r="I1177" s="184"/>
      <c r="J1177" s="184"/>
      <c r="K1177" s="184"/>
      <c r="L1177" s="184"/>
      <c r="M1177" s="184"/>
      <c r="N1177" s="184"/>
      <c r="O1177" s="184"/>
      <c r="P1177" s="184"/>
      <c r="Q1177" s="184"/>
      <c r="R1177" s="184"/>
      <c r="S1177" s="186"/>
      <c r="T1177" s="184">
        <v>0.0</v>
      </c>
    </row>
    <row r="1178">
      <c r="A1178" s="184"/>
      <c r="B1178" s="184"/>
      <c r="C1178" s="184"/>
      <c r="D1178" s="184"/>
      <c r="E1178" s="184"/>
      <c r="F1178" s="184"/>
      <c r="G1178" s="184"/>
      <c r="H1178" s="184"/>
      <c r="I1178" s="184"/>
      <c r="J1178" s="184"/>
      <c r="K1178" s="184"/>
      <c r="L1178" s="184"/>
      <c r="M1178" s="184"/>
      <c r="N1178" s="184"/>
      <c r="O1178" s="184"/>
      <c r="P1178" s="184"/>
      <c r="Q1178" s="184"/>
      <c r="R1178" s="184"/>
      <c r="S1178" s="186"/>
      <c r="T1178" s="184">
        <v>0.0</v>
      </c>
    </row>
    <row r="1179">
      <c r="A1179" s="184"/>
      <c r="B1179" s="184"/>
      <c r="C1179" s="184"/>
      <c r="D1179" s="184"/>
      <c r="E1179" s="184"/>
      <c r="F1179" s="184"/>
      <c r="G1179" s="184"/>
      <c r="H1179" s="184"/>
      <c r="I1179" s="184"/>
      <c r="J1179" s="184"/>
      <c r="K1179" s="184"/>
      <c r="L1179" s="184"/>
      <c r="M1179" s="184"/>
      <c r="N1179" s="184"/>
      <c r="O1179" s="184"/>
      <c r="P1179" s="184"/>
      <c r="Q1179" s="184"/>
      <c r="R1179" s="184"/>
      <c r="S1179" s="186"/>
      <c r="T1179" s="184">
        <v>0.0</v>
      </c>
    </row>
    <row r="1180">
      <c r="A1180" s="184"/>
      <c r="B1180" s="184"/>
      <c r="C1180" s="184"/>
      <c r="D1180" s="184"/>
      <c r="E1180" s="184"/>
      <c r="F1180" s="184"/>
      <c r="G1180" s="184"/>
      <c r="H1180" s="184"/>
      <c r="I1180" s="184"/>
      <c r="J1180" s="184"/>
      <c r="K1180" s="184"/>
      <c r="L1180" s="184"/>
      <c r="M1180" s="184"/>
      <c r="N1180" s="184"/>
      <c r="O1180" s="184"/>
      <c r="P1180" s="184"/>
      <c r="Q1180" s="184"/>
      <c r="R1180" s="184"/>
      <c r="S1180" s="186"/>
      <c r="T1180" s="184">
        <v>0.0</v>
      </c>
    </row>
    <row r="1181">
      <c r="A1181" s="184"/>
      <c r="B1181" s="184"/>
      <c r="C1181" s="184"/>
      <c r="D1181" s="184"/>
      <c r="E1181" s="184"/>
      <c r="F1181" s="184"/>
      <c r="G1181" s="184"/>
      <c r="H1181" s="184"/>
      <c r="I1181" s="184"/>
      <c r="J1181" s="184"/>
      <c r="K1181" s="184"/>
      <c r="L1181" s="184"/>
      <c r="M1181" s="184"/>
      <c r="N1181" s="184"/>
      <c r="O1181" s="184"/>
      <c r="P1181" s="184"/>
      <c r="Q1181" s="184"/>
      <c r="R1181" s="184"/>
      <c r="S1181" s="186"/>
      <c r="T1181" s="184">
        <v>0.0</v>
      </c>
    </row>
    <row r="1182">
      <c r="A1182" s="184"/>
      <c r="B1182" s="184"/>
      <c r="C1182" s="184"/>
      <c r="D1182" s="184"/>
      <c r="E1182" s="184"/>
      <c r="F1182" s="184"/>
      <c r="G1182" s="184"/>
      <c r="H1182" s="184"/>
      <c r="I1182" s="184"/>
      <c r="J1182" s="184"/>
      <c r="K1182" s="184"/>
      <c r="L1182" s="184"/>
      <c r="M1182" s="184"/>
      <c r="N1182" s="184"/>
      <c r="O1182" s="184"/>
      <c r="P1182" s="184"/>
      <c r="Q1182" s="184"/>
      <c r="R1182" s="184"/>
      <c r="S1182" s="186"/>
      <c r="T1182" s="184">
        <v>0.0</v>
      </c>
    </row>
    <row r="1183">
      <c r="A1183" s="184"/>
      <c r="B1183" s="184"/>
      <c r="C1183" s="184"/>
      <c r="D1183" s="184"/>
      <c r="E1183" s="184"/>
      <c r="F1183" s="184"/>
      <c r="G1183" s="184"/>
      <c r="H1183" s="184"/>
      <c r="I1183" s="184"/>
      <c r="J1183" s="184"/>
      <c r="K1183" s="184"/>
      <c r="L1183" s="184"/>
      <c r="M1183" s="184"/>
      <c r="N1183" s="184"/>
      <c r="O1183" s="184"/>
      <c r="P1183" s="184"/>
      <c r="Q1183" s="184"/>
      <c r="R1183" s="184"/>
      <c r="S1183" s="186"/>
      <c r="T1183" s="184">
        <v>0.0</v>
      </c>
    </row>
    <row r="1184">
      <c r="A1184" s="184"/>
      <c r="B1184" s="184"/>
      <c r="C1184" s="184"/>
      <c r="D1184" s="184"/>
      <c r="E1184" s="184"/>
      <c r="F1184" s="184"/>
      <c r="G1184" s="184"/>
      <c r="H1184" s="184"/>
      <c r="I1184" s="184"/>
      <c r="J1184" s="184"/>
      <c r="K1184" s="184"/>
      <c r="L1184" s="184"/>
      <c r="M1184" s="184"/>
      <c r="N1184" s="184"/>
      <c r="O1184" s="184"/>
      <c r="P1184" s="184"/>
      <c r="Q1184" s="184"/>
      <c r="R1184" s="184"/>
      <c r="S1184" s="186"/>
      <c r="T1184" s="184">
        <v>0.0</v>
      </c>
    </row>
    <row r="1185">
      <c r="A1185" s="184"/>
      <c r="B1185" s="184"/>
      <c r="C1185" s="184"/>
      <c r="D1185" s="184"/>
      <c r="E1185" s="184"/>
      <c r="F1185" s="184"/>
      <c r="G1185" s="184"/>
      <c r="H1185" s="184"/>
      <c r="I1185" s="184"/>
      <c r="J1185" s="184"/>
      <c r="K1185" s="184"/>
      <c r="L1185" s="184"/>
      <c r="M1185" s="184"/>
      <c r="N1185" s="184"/>
      <c r="O1185" s="184"/>
      <c r="P1185" s="184"/>
      <c r="Q1185" s="184"/>
      <c r="R1185" s="184"/>
      <c r="S1185" s="186"/>
      <c r="T1185" s="184">
        <v>0.0</v>
      </c>
    </row>
    <row r="1186">
      <c r="A1186" s="184"/>
      <c r="B1186" s="184"/>
      <c r="C1186" s="184"/>
      <c r="D1186" s="184"/>
      <c r="E1186" s="184"/>
      <c r="F1186" s="184"/>
      <c r="G1186" s="184"/>
      <c r="H1186" s="184"/>
      <c r="I1186" s="184"/>
      <c r="J1186" s="184"/>
      <c r="K1186" s="184"/>
      <c r="L1186" s="184"/>
      <c r="M1186" s="184"/>
      <c r="N1186" s="184"/>
      <c r="O1186" s="184"/>
      <c r="P1186" s="184"/>
      <c r="Q1186" s="184"/>
      <c r="R1186" s="184"/>
      <c r="S1186" s="186"/>
      <c r="T1186" s="184">
        <v>0.0</v>
      </c>
    </row>
    <row r="1187">
      <c r="A1187" s="184"/>
      <c r="B1187" s="184"/>
      <c r="C1187" s="184"/>
      <c r="D1187" s="184"/>
      <c r="E1187" s="184"/>
      <c r="F1187" s="184"/>
      <c r="G1187" s="184"/>
      <c r="H1187" s="184"/>
      <c r="I1187" s="184"/>
      <c r="J1187" s="184"/>
      <c r="K1187" s="184"/>
      <c r="L1187" s="184"/>
      <c r="M1187" s="184"/>
      <c r="N1187" s="184"/>
      <c r="O1187" s="184"/>
      <c r="P1187" s="184"/>
      <c r="Q1187" s="184"/>
      <c r="R1187" s="184"/>
      <c r="S1187" s="186"/>
      <c r="T1187" s="184">
        <v>0.0</v>
      </c>
    </row>
    <row r="1188">
      <c r="A1188" s="184"/>
      <c r="B1188" s="184"/>
      <c r="C1188" s="184"/>
      <c r="D1188" s="184"/>
      <c r="E1188" s="184"/>
      <c r="F1188" s="184"/>
      <c r="G1188" s="184"/>
      <c r="H1188" s="184"/>
      <c r="I1188" s="184"/>
      <c r="J1188" s="184"/>
      <c r="K1188" s="184"/>
      <c r="L1188" s="184"/>
      <c r="M1188" s="184"/>
      <c r="N1188" s="184"/>
      <c r="O1188" s="184"/>
      <c r="P1188" s="184"/>
      <c r="Q1188" s="184"/>
      <c r="R1188" s="184"/>
      <c r="S1188" s="186"/>
      <c r="T1188" s="184">
        <v>0.0</v>
      </c>
    </row>
    <row r="1189">
      <c r="A1189" s="184"/>
      <c r="B1189" s="184"/>
      <c r="C1189" s="184"/>
      <c r="D1189" s="184"/>
      <c r="E1189" s="184"/>
      <c r="F1189" s="184"/>
      <c r="G1189" s="184"/>
      <c r="H1189" s="184"/>
      <c r="I1189" s="184"/>
      <c r="J1189" s="184"/>
      <c r="K1189" s="184"/>
      <c r="L1189" s="184"/>
      <c r="M1189" s="184"/>
      <c r="N1189" s="184"/>
      <c r="O1189" s="184"/>
      <c r="P1189" s="184"/>
      <c r="Q1189" s="184"/>
      <c r="R1189" s="184"/>
      <c r="S1189" s="186"/>
      <c r="T1189" s="184">
        <v>0.0</v>
      </c>
    </row>
    <row r="1190">
      <c r="A1190" s="184"/>
      <c r="B1190" s="184"/>
      <c r="C1190" s="184"/>
      <c r="D1190" s="184"/>
      <c r="E1190" s="184"/>
      <c r="F1190" s="184"/>
      <c r="G1190" s="184"/>
      <c r="H1190" s="184"/>
      <c r="I1190" s="184"/>
      <c r="J1190" s="184"/>
      <c r="K1190" s="184"/>
      <c r="L1190" s="184"/>
      <c r="M1190" s="184"/>
      <c r="N1190" s="184"/>
      <c r="O1190" s="184"/>
      <c r="P1190" s="184"/>
      <c r="Q1190" s="184"/>
      <c r="R1190" s="184"/>
      <c r="S1190" s="186"/>
      <c r="T1190" s="184">
        <v>0.0</v>
      </c>
    </row>
    <row r="1191">
      <c r="A1191" s="184"/>
      <c r="B1191" s="184"/>
      <c r="C1191" s="184"/>
      <c r="D1191" s="184"/>
      <c r="E1191" s="184"/>
      <c r="F1191" s="184"/>
      <c r="G1191" s="184"/>
      <c r="H1191" s="184"/>
      <c r="I1191" s="184"/>
      <c r="J1191" s="184"/>
      <c r="K1191" s="184"/>
      <c r="L1191" s="184"/>
      <c r="M1191" s="184"/>
      <c r="N1191" s="184"/>
      <c r="O1191" s="184"/>
      <c r="P1191" s="184"/>
      <c r="Q1191" s="184"/>
      <c r="R1191" s="184"/>
      <c r="S1191" s="186"/>
      <c r="T1191" s="184">
        <v>0.0</v>
      </c>
    </row>
    <row r="1192">
      <c r="A1192" s="184"/>
      <c r="B1192" s="184"/>
      <c r="C1192" s="184"/>
      <c r="D1192" s="184"/>
      <c r="E1192" s="184"/>
      <c r="F1192" s="184"/>
      <c r="G1192" s="184"/>
      <c r="H1192" s="184"/>
      <c r="I1192" s="184"/>
      <c r="J1192" s="184"/>
      <c r="K1192" s="184"/>
      <c r="L1192" s="184"/>
      <c r="M1192" s="184"/>
      <c r="N1192" s="184"/>
      <c r="O1192" s="184"/>
      <c r="P1192" s="184"/>
      <c r="Q1192" s="184"/>
      <c r="R1192" s="184"/>
      <c r="S1192" s="186"/>
      <c r="T1192" s="184">
        <v>0.0</v>
      </c>
    </row>
    <row r="1193">
      <c r="A1193" s="184"/>
      <c r="B1193" s="184"/>
      <c r="C1193" s="184"/>
      <c r="D1193" s="184"/>
      <c r="E1193" s="184"/>
      <c r="F1193" s="184"/>
      <c r="G1193" s="184"/>
      <c r="H1193" s="184"/>
      <c r="I1193" s="184"/>
      <c r="J1193" s="184"/>
      <c r="K1193" s="184"/>
      <c r="L1193" s="184"/>
      <c r="M1193" s="184"/>
      <c r="N1193" s="184"/>
      <c r="O1193" s="184"/>
      <c r="P1193" s="184"/>
      <c r="Q1193" s="184"/>
      <c r="R1193" s="184"/>
      <c r="S1193" s="186"/>
      <c r="T1193" s="184">
        <v>0.0</v>
      </c>
    </row>
    <row r="1194">
      <c r="A1194" s="184"/>
      <c r="B1194" s="184"/>
      <c r="C1194" s="184"/>
      <c r="D1194" s="184"/>
      <c r="E1194" s="184"/>
      <c r="F1194" s="184"/>
      <c r="G1194" s="184"/>
      <c r="H1194" s="184"/>
      <c r="I1194" s="184"/>
      <c r="J1194" s="184"/>
      <c r="K1194" s="184"/>
      <c r="L1194" s="184"/>
      <c r="M1194" s="184"/>
      <c r="N1194" s="184"/>
      <c r="O1194" s="184"/>
      <c r="P1194" s="184"/>
      <c r="Q1194" s="184"/>
      <c r="R1194" s="184"/>
      <c r="S1194" s="186"/>
      <c r="T1194" s="184">
        <v>0.0</v>
      </c>
    </row>
    <row r="1195">
      <c r="A1195" s="184"/>
      <c r="B1195" s="184"/>
      <c r="C1195" s="184"/>
      <c r="D1195" s="184"/>
      <c r="E1195" s="184"/>
      <c r="F1195" s="184"/>
      <c r="G1195" s="184"/>
      <c r="H1195" s="184"/>
      <c r="I1195" s="184"/>
      <c r="J1195" s="184"/>
      <c r="K1195" s="184"/>
      <c r="L1195" s="184"/>
      <c r="M1195" s="184"/>
      <c r="N1195" s="184"/>
      <c r="O1195" s="184"/>
      <c r="P1195" s="184"/>
      <c r="Q1195" s="184"/>
      <c r="R1195" s="184"/>
      <c r="S1195" s="186"/>
      <c r="T1195" s="184">
        <v>0.0</v>
      </c>
    </row>
    <row r="1196">
      <c r="A1196" s="184"/>
      <c r="B1196" s="184"/>
      <c r="C1196" s="184"/>
      <c r="D1196" s="184"/>
      <c r="E1196" s="184"/>
      <c r="F1196" s="184"/>
      <c r="G1196" s="184"/>
      <c r="H1196" s="184"/>
      <c r="I1196" s="184"/>
      <c r="J1196" s="184"/>
      <c r="K1196" s="184"/>
      <c r="L1196" s="184"/>
      <c r="M1196" s="184"/>
      <c r="N1196" s="184"/>
      <c r="O1196" s="184"/>
      <c r="P1196" s="184"/>
      <c r="Q1196" s="184"/>
      <c r="R1196" s="184"/>
      <c r="S1196" s="186"/>
      <c r="T1196" s="184">
        <v>0.0</v>
      </c>
    </row>
    <row r="1197">
      <c r="A1197" s="184"/>
      <c r="B1197" s="184"/>
      <c r="C1197" s="184"/>
      <c r="D1197" s="184"/>
      <c r="E1197" s="184"/>
      <c r="F1197" s="184"/>
      <c r="G1197" s="184"/>
      <c r="H1197" s="184"/>
      <c r="I1197" s="184"/>
      <c r="J1197" s="184"/>
      <c r="K1197" s="184"/>
      <c r="L1197" s="184"/>
      <c r="M1197" s="184"/>
      <c r="N1197" s="184"/>
      <c r="O1197" s="184"/>
      <c r="P1197" s="184"/>
      <c r="Q1197" s="184"/>
      <c r="R1197" s="184"/>
      <c r="S1197" s="186"/>
      <c r="T1197" s="184">
        <v>0.0</v>
      </c>
    </row>
    <row r="1198">
      <c r="A1198" s="184"/>
      <c r="B1198" s="184"/>
      <c r="C1198" s="184"/>
      <c r="D1198" s="184"/>
      <c r="E1198" s="184"/>
      <c r="F1198" s="184"/>
      <c r="G1198" s="184"/>
      <c r="H1198" s="184"/>
      <c r="I1198" s="184"/>
      <c r="J1198" s="184"/>
      <c r="K1198" s="184"/>
      <c r="L1198" s="184"/>
      <c r="M1198" s="184"/>
      <c r="N1198" s="184"/>
      <c r="O1198" s="184"/>
      <c r="P1198" s="184"/>
      <c r="Q1198" s="184"/>
      <c r="R1198" s="184"/>
      <c r="S1198" s="186"/>
      <c r="T1198" s="184">
        <v>0.0</v>
      </c>
    </row>
    <row r="1199">
      <c r="A1199" s="184"/>
      <c r="B1199" s="184"/>
      <c r="C1199" s="184"/>
      <c r="D1199" s="184"/>
      <c r="E1199" s="184"/>
      <c r="F1199" s="184"/>
      <c r="G1199" s="184"/>
      <c r="H1199" s="184"/>
      <c r="I1199" s="184"/>
      <c r="J1199" s="184"/>
      <c r="K1199" s="184"/>
      <c r="L1199" s="184"/>
      <c r="M1199" s="184"/>
      <c r="N1199" s="184"/>
      <c r="O1199" s="184"/>
      <c r="P1199" s="184"/>
      <c r="Q1199" s="184"/>
      <c r="R1199" s="184"/>
      <c r="S1199" s="186"/>
      <c r="T1199" s="184">
        <v>0.0</v>
      </c>
    </row>
    <row r="1200">
      <c r="A1200" s="184"/>
      <c r="B1200" s="184"/>
      <c r="C1200" s="184"/>
      <c r="D1200" s="184"/>
      <c r="E1200" s="184"/>
      <c r="F1200" s="184"/>
      <c r="G1200" s="184"/>
      <c r="H1200" s="184"/>
      <c r="I1200" s="184"/>
      <c r="J1200" s="184"/>
      <c r="K1200" s="184"/>
      <c r="L1200" s="184"/>
      <c r="M1200" s="184"/>
      <c r="N1200" s="184"/>
      <c r="O1200" s="184"/>
      <c r="P1200" s="184"/>
      <c r="Q1200" s="184"/>
      <c r="R1200" s="184"/>
      <c r="S1200" s="186"/>
      <c r="T1200" s="184">
        <v>0.0</v>
      </c>
    </row>
    <row r="1201">
      <c r="A1201" s="184"/>
      <c r="B1201" s="184"/>
      <c r="C1201" s="184"/>
      <c r="D1201" s="184"/>
      <c r="E1201" s="184"/>
      <c r="F1201" s="184"/>
      <c r="G1201" s="184"/>
      <c r="H1201" s="184"/>
      <c r="I1201" s="184"/>
      <c r="J1201" s="184"/>
      <c r="K1201" s="184"/>
      <c r="L1201" s="184"/>
      <c r="M1201" s="184"/>
      <c r="N1201" s="184"/>
      <c r="O1201" s="184"/>
      <c r="P1201" s="184"/>
      <c r="Q1201" s="184"/>
      <c r="R1201" s="184"/>
      <c r="S1201" s="186"/>
      <c r="T1201" s="184">
        <v>0.0</v>
      </c>
    </row>
    <row r="1202">
      <c r="A1202" s="184"/>
      <c r="B1202" s="184"/>
      <c r="C1202" s="184"/>
      <c r="D1202" s="184"/>
      <c r="E1202" s="184"/>
      <c r="F1202" s="184"/>
      <c r="G1202" s="184"/>
      <c r="H1202" s="184"/>
      <c r="I1202" s="184"/>
      <c r="J1202" s="184"/>
      <c r="K1202" s="184"/>
      <c r="L1202" s="184"/>
      <c r="M1202" s="184"/>
      <c r="N1202" s="184"/>
      <c r="O1202" s="184"/>
      <c r="P1202" s="184"/>
      <c r="Q1202" s="184"/>
      <c r="R1202" s="184"/>
      <c r="S1202" s="186"/>
      <c r="T1202" s="184">
        <v>0.0</v>
      </c>
    </row>
    <row r="1203">
      <c r="A1203" s="184"/>
      <c r="B1203" s="184"/>
      <c r="C1203" s="184"/>
      <c r="D1203" s="184"/>
      <c r="E1203" s="184"/>
      <c r="F1203" s="184"/>
      <c r="G1203" s="184"/>
      <c r="H1203" s="184"/>
      <c r="I1203" s="184"/>
      <c r="J1203" s="184"/>
      <c r="K1203" s="184"/>
      <c r="L1203" s="184"/>
      <c r="M1203" s="184"/>
      <c r="N1203" s="184"/>
      <c r="O1203" s="184"/>
      <c r="P1203" s="184"/>
      <c r="Q1203" s="184"/>
      <c r="R1203" s="184"/>
      <c r="S1203" s="186"/>
      <c r="T1203" s="184">
        <v>0.0</v>
      </c>
    </row>
    <row r="1204">
      <c r="A1204" s="184"/>
      <c r="B1204" s="184"/>
      <c r="C1204" s="184"/>
      <c r="D1204" s="184"/>
      <c r="E1204" s="184"/>
      <c r="F1204" s="184"/>
      <c r="G1204" s="184"/>
      <c r="H1204" s="184"/>
      <c r="I1204" s="184"/>
      <c r="J1204" s="184"/>
      <c r="K1204" s="184"/>
      <c r="L1204" s="184"/>
      <c r="M1204" s="184"/>
      <c r="N1204" s="184"/>
      <c r="O1204" s="184"/>
      <c r="P1204" s="184"/>
      <c r="Q1204" s="184"/>
      <c r="R1204" s="184"/>
      <c r="S1204" s="186"/>
      <c r="T1204" s="184">
        <v>0.0</v>
      </c>
    </row>
    <row r="1205">
      <c r="A1205" s="184"/>
      <c r="B1205" s="184"/>
      <c r="C1205" s="184"/>
      <c r="D1205" s="184"/>
      <c r="E1205" s="184"/>
      <c r="F1205" s="184"/>
      <c r="G1205" s="184"/>
      <c r="H1205" s="184"/>
      <c r="I1205" s="184"/>
      <c r="J1205" s="184"/>
      <c r="K1205" s="184"/>
      <c r="L1205" s="184"/>
      <c r="M1205" s="184"/>
      <c r="N1205" s="184"/>
      <c r="O1205" s="184"/>
      <c r="P1205" s="184"/>
      <c r="Q1205" s="184"/>
      <c r="R1205" s="184"/>
      <c r="S1205" s="186"/>
      <c r="T1205" s="184">
        <v>0.0</v>
      </c>
    </row>
    <row r="1206">
      <c r="A1206" s="184"/>
      <c r="B1206" s="184"/>
      <c r="C1206" s="184"/>
      <c r="D1206" s="184"/>
      <c r="E1206" s="184"/>
      <c r="F1206" s="184"/>
      <c r="G1206" s="184"/>
      <c r="H1206" s="184"/>
      <c r="I1206" s="184"/>
      <c r="J1206" s="184"/>
      <c r="K1206" s="184"/>
      <c r="L1206" s="184"/>
      <c r="M1206" s="184"/>
      <c r="N1206" s="184"/>
      <c r="O1206" s="184"/>
      <c r="P1206" s="184"/>
      <c r="Q1206" s="184"/>
      <c r="R1206" s="184"/>
      <c r="S1206" s="186"/>
      <c r="T1206" s="184">
        <v>0.0</v>
      </c>
    </row>
    <row r="1207">
      <c r="A1207" s="184"/>
      <c r="B1207" s="184"/>
      <c r="C1207" s="184"/>
      <c r="D1207" s="184"/>
      <c r="E1207" s="184"/>
      <c r="F1207" s="184"/>
      <c r="G1207" s="184"/>
      <c r="H1207" s="184"/>
      <c r="I1207" s="184"/>
      <c r="J1207" s="184"/>
      <c r="K1207" s="184"/>
      <c r="L1207" s="184"/>
      <c r="M1207" s="184"/>
      <c r="N1207" s="184"/>
      <c r="O1207" s="184"/>
      <c r="P1207" s="184"/>
      <c r="Q1207" s="184"/>
      <c r="R1207" s="184"/>
      <c r="S1207" s="186"/>
      <c r="T1207" s="184">
        <v>0.0</v>
      </c>
    </row>
    <row r="1208">
      <c r="A1208" s="184"/>
      <c r="B1208" s="184"/>
      <c r="C1208" s="184"/>
      <c r="D1208" s="184"/>
      <c r="E1208" s="184"/>
      <c r="F1208" s="184"/>
      <c r="G1208" s="184"/>
      <c r="H1208" s="184"/>
      <c r="I1208" s="184"/>
      <c r="J1208" s="184"/>
      <c r="K1208" s="184"/>
      <c r="L1208" s="184"/>
      <c r="M1208" s="184"/>
      <c r="N1208" s="184"/>
      <c r="O1208" s="184"/>
      <c r="P1208" s="184"/>
      <c r="Q1208" s="184"/>
      <c r="R1208" s="184"/>
      <c r="S1208" s="186"/>
      <c r="T1208" s="184">
        <v>0.0</v>
      </c>
    </row>
    <row r="1209">
      <c r="A1209" s="184"/>
      <c r="B1209" s="184"/>
      <c r="C1209" s="184"/>
      <c r="D1209" s="184"/>
      <c r="E1209" s="184"/>
      <c r="F1209" s="184"/>
      <c r="G1209" s="184"/>
      <c r="H1209" s="184"/>
      <c r="I1209" s="184"/>
      <c r="J1209" s="184"/>
      <c r="K1209" s="184"/>
      <c r="L1209" s="184"/>
      <c r="M1209" s="184"/>
      <c r="N1209" s="184"/>
      <c r="O1209" s="184"/>
      <c r="P1209" s="184"/>
      <c r="Q1209" s="184"/>
      <c r="R1209" s="184"/>
      <c r="S1209" s="186"/>
      <c r="T1209" s="184">
        <v>0.0</v>
      </c>
    </row>
    <row r="1210">
      <c r="A1210" s="184"/>
      <c r="B1210" s="184"/>
      <c r="C1210" s="184"/>
      <c r="D1210" s="184"/>
      <c r="E1210" s="184"/>
      <c r="F1210" s="184"/>
      <c r="G1210" s="184"/>
      <c r="H1210" s="184"/>
      <c r="I1210" s="184"/>
      <c r="J1210" s="184"/>
      <c r="K1210" s="184"/>
      <c r="L1210" s="184"/>
      <c r="M1210" s="184"/>
      <c r="N1210" s="184"/>
      <c r="O1210" s="184"/>
      <c r="P1210" s="184"/>
      <c r="Q1210" s="184"/>
      <c r="R1210" s="184"/>
      <c r="S1210" s="186"/>
      <c r="T1210" s="184">
        <v>0.0</v>
      </c>
    </row>
    <row r="1211">
      <c r="A1211" s="184"/>
      <c r="B1211" s="184"/>
      <c r="C1211" s="184"/>
      <c r="D1211" s="184"/>
      <c r="E1211" s="184"/>
      <c r="F1211" s="184"/>
      <c r="G1211" s="184"/>
      <c r="H1211" s="184"/>
      <c r="I1211" s="184"/>
      <c r="J1211" s="184"/>
      <c r="K1211" s="184"/>
      <c r="L1211" s="184"/>
      <c r="M1211" s="184"/>
      <c r="N1211" s="184"/>
      <c r="O1211" s="184"/>
      <c r="P1211" s="184"/>
      <c r="Q1211" s="184"/>
      <c r="R1211" s="184"/>
      <c r="S1211" s="186"/>
      <c r="T1211" s="184">
        <v>0.0</v>
      </c>
    </row>
    <row r="1212">
      <c r="A1212" s="184"/>
      <c r="B1212" s="184"/>
      <c r="C1212" s="184"/>
      <c r="D1212" s="184"/>
      <c r="E1212" s="184"/>
      <c r="F1212" s="184"/>
      <c r="G1212" s="184"/>
      <c r="H1212" s="184"/>
      <c r="I1212" s="184"/>
      <c r="J1212" s="184"/>
      <c r="K1212" s="184"/>
      <c r="L1212" s="184"/>
      <c r="M1212" s="184"/>
      <c r="N1212" s="184"/>
      <c r="O1212" s="184"/>
      <c r="P1212" s="184"/>
      <c r="Q1212" s="184"/>
      <c r="R1212" s="184"/>
      <c r="S1212" s="186"/>
      <c r="T1212" s="184">
        <v>0.0</v>
      </c>
    </row>
    <row r="1213">
      <c r="A1213" s="184"/>
      <c r="B1213" s="184"/>
      <c r="C1213" s="184"/>
      <c r="D1213" s="184"/>
      <c r="E1213" s="184"/>
      <c r="F1213" s="184"/>
      <c r="G1213" s="184"/>
      <c r="H1213" s="184"/>
      <c r="I1213" s="184"/>
      <c r="J1213" s="184"/>
      <c r="K1213" s="184"/>
      <c r="L1213" s="184"/>
      <c r="M1213" s="184"/>
      <c r="N1213" s="184"/>
      <c r="O1213" s="184"/>
      <c r="P1213" s="184"/>
      <c r="Q1213" s="184"/>
      <c r="R1213" s="184"/>
      <c r="S1213" s="186"/>
      <c r="T1213" s="184">
        <v>0.0</v>
      </c>
    </row>
    <row r="1214">
      <c r="A1214" s="184"/>
      <c r="B1214" s="184"/>
      <c r="C1214" s="184"/>
      <c r="D1214" s="184"/>
      <c r="E1214" s="184"/>
      <c r="F1214" s="184"/>
      <c r="G1214" s="184"/>
      <c r="H1214" s="184"/>
      <c r="I1214" s="184"/>
      <c r="J1214" s="184"/>
      <c r="K1214" s="184"/>
      <c r="L1214" s="184"/>
      <c r="M1214" s="184"/>
      <c r="N1214" s="184"/>
      <c r="O1214" s="184"/>
      <c r="P1214" s="184"/>
      <c r="Q1214" s="184"/>
      <c r="R1214" s="184"/>
      <c r="S1214" s="186"/>
      <c r="T1214" s="184">
        <v>0.0</v>
      </c>
    </row>
    <row r="1215">
      <c r="A1215" s="184"/>
      <c r="B1215" s="184"/>
      <c r="C1215" s="184"/>
      <c r="D1215" s="184"/>
      <c r="E1215" s="184"/>
      <c r="F1215" s="184"/>
      <c r="G1215" s="184"/>
      <c r="H1215" s="184"/>
      <c r="I1215" s="184"/>
      <c r="J1215" s="184"/>
      <c r="K1215" s="184"/>
      <c r="L1215" s="184"/>
      <c r="M1215" s="184"/>
      <c r="N1215" s="184"/>
      <c r="O1215" s="184"/>
      <c r="P1215" s="184"/>
      <c r="Q1215" s="184"/>
      <c r="R1215" s="184"/>
      <c r="S1215" s="186"/>
      <c r="T1215" s="184">
        <v>0.0</v>
      </c>
    </row>
    <row r="1216">
      <c r="A1216" s="184"/>
      <c r="B1216" s="184"/>
      <c r="C1216" s="184"/>
      <c r="D1216" s="184"/>
      <c r="E1216" s="184"/>
      <c r="F1216" s="184"/>
      <c r="G1216" s="184"/>
      <c r="H1216" s="184"/>
      <c r="I1216" s="184"/>
      <c r="J1216" s="184"/>
      <c r="K1216" s="184"/>
      <c r="L1216" s="184"/>
      <c r="M1216" s="184"/>
      <c r="N1216" s="184"/>
      <c r="O1216" s="184"/>
      <c r="P1216" s="184"/>
      <c r="Q1216" s="184"/>
      <c r="R1216" s="184"/>
      <c r="S1216" s="186"/>
      <c r="T1216" s="184">
        <v>0.0</v>
      </c>
    </row>
    <row r="1217">
      <c r="A1217" s="184"/>
      <c r="B1217" s="184"/>
      <c r="C1217" s="184"/>
      <c r="D1217" s="184"/>
      <c r="E1217" s="184"/>
      <c r="F1217" s="184"/>
      <c r="G1217" s="184"/>
      <c r="H1217" s="184"/>
      <c r="I1217" s="184"/>
      <c r="J1217" s="184"/>
      <c r="K1217" s="184"/>
      <c r="L1217" s="184"/>
      <c r="M1217" s="184"/>
      <c r="N1217" s="184"/>
      <c r="O1217" s="184"/>
      <c r="P1217" s="184"/>
      <c r="Q1217" s="184"/>
      <c r="R1217" s="184"/>
      <c r="S1217" s="186"/>
      <c r="T1217" s="184">
        <v>0.0</v>
      </c>
    </row>
    <row r="1218">
      <c r="A1218" s="184"/>
      <c r="B1218" s="184"/>
      <c r="C1218" s="184"/>
      <c r="D1218" s="184"/>
      <c r="E1218" s="184"/>
      <c r="F1218" s="184"/>
      <c r="G1218" s="184"/>
      <c r="H1218" s="184"/>
      <c r="I1218" s="184"/>
      <c r="J1218" s="184"/>
      <c r="K1218" s="184"/>
      <c r="L1218" s="184"/>
      <c r="M1218" s="184"/>
      <c r="N1218" s="184"/>
      <c r="O1218" s="184"/>
      <c r="P1218" s="184"/>
      <c r="Q1218" s="184"/>
      <c r="R1218" s="184"/>
      <c r="S1218" s="186"/>
      <c r="T1218" s="184">
        <v>0.0</v>
      </c>
    </row>
    <row r="1219">
      <c r="A1219" s="184"/>
      <c r="B1219" s="184"/>
      <c r="C1219" s="184"/>
      <c r="D1219" s="184"/>
      <c r="E1219" s="184"/>
      <c r="F1219" s="184"/>
      <c r="G1219" s="184"/>
      <c r="H1219" s="184"/>
      <c r="I1219" s="184"/>
      <c r="J1219" s="184"/>
      <c r="K1219" s="184"/>
      <c r="L1219" s="184"/>
      <c r="M1219" s="184"/>
      <c r="N1219" s="184"/>
      <c r="O1219" s="184"/>
      <c r="P1219" s="184"/>
      <c r="Q1219" s="184"/>
      <c r="R1219" s="184"/>
      <c r="S1219" s="186"/>
      <c r="T1219" s="184">
        <v>0.0</v>
      </c>
    </row>
    <row r="1220">
      <c r="A1220" s="184"/>
      <c r="B1220" s="184"/>
      <c r="C1220" s="184"/>
      <c r="D1220" s="184"/>
      <c r="E1220" s="184"/>
      <c r="F1220" s="184"/>
      <c r="G1220" s="184"/>
      <c r="H1220" s="184"/>
      <c r="I1220" s="184"/>
      <c r="J1220" s="184"/>
      <c r="K1220" s="184"/>
      <c r="L1220" s="184"/>
      <c r="M1220" s="184"/>
      <c r="N1220" s="184"/>
      <c r="O1220" s="184"/>
      <c r="P1220" s="184"/>
      <c r="Q1220" s="184"/>
      <c r="R1220" s="184"/>
      <c r="S1220" s="186"/>
      <c r="T1220" s="184">
        <v>0.0</v>
      </c>
    </row>
    <row r="1221">
      <c r="A1221" s="184"/>
      <c r="B1221" s="184"/>
      <c r="C1221" s="184"/>
      <c r="D1221" s="184"/>
      <c r="E1221" s="184"/>
      <c r="F1221" s="184"/>
      <c r="G1221" s="184"/>
      <c r="H1221" s="184"/>
      <c r="I1221" s="184"/>
      <c r="J1221" s="184"/>
      <c r="K1221" s="184"/>
      <c r="L1221" s="184"/>
      <c r="M1221" s="184"/>
      <c r="N1221" s="184"/>
      <c r="O1221" s="184"/>
      <c r="P1221" s="184"/>
      <c r="Q1221" s="184"/>
      <c r="R1221" s="184"/>
      <c r="S1221" s="186"/>
      <c r="T1221" s="184">
        <v>0.0</v>
      </c>
    </row>
    <row r="1222">
      <c r="A1222" s="184"/>
      <c r="B1222" s="184"/>
      <c r="C1222" s="184"/>
      <c r="D1222" s="184"/>
      <c r="E1222" s="184"/>
      <c r="F1222" s="184"/>
      <c r="G1222" s="184"/>
      <c r="H1222" s="184"/>
      <c r="I1222" s="184"/>
      <c r="J1222" s="184"/>
      <c r="K1222" s="184"/>
      <c r="L1222" s="184"/>
      <c r="M1222" s="184"/>
      <c r="N1222" s="184"/>
      <c r="O1222" s="184"/>
      <c r="P1222" s="184"/>
      <c r="Q1222" s="184"/>
      <c r="R1222" s="184"/>
      <c r="S1222" s="186"/>
      <c r="T1222" s="184">
        <v>0.0</v>
      </c>
    </row>
    <row r="1223">
      <c r="A1223" s="184"/>
      <c r="B1223" s="184"/>
      <c r="C1223" s="184"/>
      <c r="D1223" s="184"/>
      <c r="E1223" s="184"/>
      <c r="F1223" s="184"/>
      <c r="G1223" s="184"/>
      <c r="H1223" s="184"/>
      <c r="I1223" s="184"/>
      <c r="J1223" s="184"/>
      <c r="K1223" s="184"/>
      <c r="L1223" s="184"/>
      <c r="M1223" s="184"/>
      <c r="N1223" s="184"/>
      <c r="O1223" s="184"/>
      <c r="P1223" s="184"/>
      <c r="Q1223" s="184"/>
      <c r="R1223" s="184"/>
      <c r="S1223" s="186"/>
      <c r="T1223" s="184">
        <v>0.0</v>
      </c>
    </row>
    <row r="1224">
      <c r="A1224" s="184"/>
      <c r="B1224" s="184"/>
      <c r="C1224" s="184"/>
      <c r="D1224" s="184"/>
      <c r="E1224" s="184"/>
      <c r="F1224" s="184"/>
      <c r="G1224" s="184"/>
      <c r="H1224" s="184"/>
      <c r="I1224" s="184"/>
      <c r="J1224" s="184"/>
      <c r="K1224" s="184"/>
      <c r="L1224" s="184"/>
      <c r="M1224" s="184"/>
      <c r="N1224" s="184"/>
      <c r="O1224" s="184"/>
      <c r="P1224" s="184"/>
      <c r="Q1224" s="184"/>
      <c r="R1224" s="184"/>
      <c r="S1224" s="186"/>
      <c r="T1224" s="184">
        <v>0.0</v>
      </c>
    </row>
    <row r="1225">
      <c r="A1225" s="184"/>
      <c r="B1225" s="184"/>
      <c r="C1225" s="184"/>
      <c r="D1225" s="184"/>
      <c r="E1225" s="184"/>
      <c r="F1225" s="184"/>
      <c r="G1225" s="184"/>
      <c r="H1225" s="184"/>
      <c r="I1225" s="184"/>
      <c r="J1225" s="184"/>
      <c r="K1225" s="184"/>
      <c r="L1225" s="184"/>
      <c r="M1225" s="184"/>
      <c r="N1225" s="184"/>
      <c r="O1225" s="184"/>
      <c r="P1225" s="184"/>
      <c r="Q1225" s="184"/>
      <c r="R1225" s="184"/>
      <c r="S1225" s="186"/>
      <c r="T1225" s="184">
        <v>0.0</v>
      </c>
    </row>
    <row r="1226">
      <c r="A1226" s="184"/>
      <c r="B1226" s="184"/>
      <c r="C1226" s="184"/>
      <c r="D1226" s="184"/>
      <c r="E1226" s="184"/>
      <c r="F1226" s="184"/>
      <c r="G1226" s="184"/>
      <c r="H1226" s="184"/>
      <c r="I1226" s="184"/>
      <c r="J1226" s="184"/>
      <c r="K1226" s="184"/>
      <c r="L1226" s="184"/>
      <c r="M1226" s="184"/>
      <c r="N1226" s="184"/>
      <c r="O1226" s="184"/>
      <c r="P1226" s="184"/>
      <c r="Q1226" s="184"/>
      <c r="R1226" s="184"/>
      <c r="S1226" s="186"/>
      <c r="T1226" s="184">
        <v>0.0</v>
      </c>
    </row>
    <row r="1227">
      <c r="A1227" s="184"/>
      <c r="B1227" s="184"/>
      <c r="C1227" s="184"/>
      <c r="D1227" s="184"/>
      <c r="E1227" s="184"/>
      <c r="F1227" s="184"/>
      <c r="G1227" s="184"/>
      <c r="H1227" s="184"/>
      <c r="I1227" s="184"/>
      <c r="J1227" s="184"/>
      <c r="K1227" s="184"/>
      <c r="L1227" s="184"/>
      <c r="M1227" s="184"/>
      <c r="N1227" s="184"/>
      <c r="O1227" s="184"/>
      <c r="P1227" s="184"/>
      <c r="Q1227" s="184"/>
      <c r="R1227" s="184"/>
      <c r="S1227" s="186"/>
      <c r="T1227" s="184">
        <v>0.0</v>
      </c>
    </row>
    <row r="1228">
      <c r="A1228" s="184"/>
      <c r="B1228" s="184"/>
      <c r="C1228" s="184"/>
      <c r="D1228" s="184"/>
      <c r="E1228" s="184"/>
      <c r="F1228" s="184"/>
      <c r="G1228" s="184"/>
      <c r="H1228" s="184"/>
      <c r="I1228" s="184"/>
      <c r="J1228" s="184"/>
      <c r="K1228" s="184"/>
      <c r="L1228" s="184"/>
      <c r="M1228" s="184"/>
      <c r="N1228" s="184"/>
      <c r="O1228" s="184"/>
      <c r="P1228" s="184"/>
      <c r="Q1228" s="184"/>
      <c r="R1228" s="184"/>
      <c r="S1228" s="186"/>
      <c r="T1228" s="184">
        <v>0.0</v>
      </c>
    </row>
    <row r="1229">
      <c r="A1229" s="184"/>
      <c r="B1229" s="184"/>
      <c r="C1229" s="184"/>
      <c r="D1229" s="184"/>
      <c r="E1229" s="184"/>
      <c r="F1229" s="184"/>
      <c r="G1229" s="184"/>
      <c r="H1229" s="184"/>
      <c r="I1229" s="184"/>
      <c r="J1229" s="184"/>
      <c r="K1229" s="184"/>
      <c r="L1229" s="184"/>
      <c r="M1229" s="184"/>
      <c r="N1229" s="184"/>
      <c r="O1229" s="184"/>
      <c r="P1229" s="184"/>
      <c r="Q1229" s="184"/>
      <c r="R1229" s="184"/>
      <c r="S1229" s="186"/>
      <c r="T1229" s="184">
        <v>0.0</v>
      </c>
    </row>
    <row r="1230">
      <c r="A1230" s="184"/>
      <c r="B1230" s="184"/>
      <c r="C1230" s="184"/>
      <c r="D1230" s="184"/>
      <c r="E1230" s="184"/>
      <c r="F1230" s="184"/>
      <c r="G1230" s="184"/>
      <c r="H1230" s="184"/>
      <c r="I1230" s="184"/>
      <c r="J1230" s="184"/>
      <c r="K1230" s="184"/>
      <c r="L1230" s="184"/>
      <c r="M1230" s="184"/>
      <c r="N1230" s="184"/>
      <c r="O1230" s="184"/>
      <c r="P1230" s="184"/>
      <c r="Q1230" s="184"/>
      <c r="R1230" s="184"/>
      <c r="S1230" s="186"/>
      <c r="T1230" s="184">
        <v>0.0</v>
      </c>
    </row>
    <row r="1231">
      <c r="A1231" s="184"/>
      <c r="B1231" s="184"/>
      <c r="C1231" s="184"/>
      <c r="D1231" s="184"/>
      <c r="E1231" s="184"/>
      <c r="F1231" s="184"/>
      <c r="G1231" s="184"/>
      <c r="H1231" s="184"/>
      <c r="I1231" s="184"/>
      <c r="J1231" s="184"/>
      <c r="K1231" s="184"/>
      <c r="L1231" s="184"/>
      <c r="M1231" s="184"/>
      <c r="N1231" s="184"/>
      <c r="O1231" s="184"/>
      <c r="P1231" s="184"/>
      <c r="Q1231" s="184"/>
      <c r="R1231" s="184"/>
      <c r="S1231" s="186"/>
      <c r="T1231" s="184">
        <v>0.0</v>
      </c>
    </row>
    <row r="1232">
      <c r="A1232" s="184"/>
      <c r="B1232" s="184"/>
      <c r="C1232" s="184"/>
      <c r="D1232" s="184"/>
      <c r="E1232" s="184"/>
      <c r="F1232" s="184"/>
      <c r="G1232" s="184"/>
      <c r="H1232" s="184"/>
      <c r="I1232" s="184"/>
      <c r="J1232" s="184"/>
      <c r="K1232" s="184"/>
      <c r="L1232" s="184"/>
      <c r="M1232" s="184"/>
      <c r="N1232" s="184"/>
      <c r="O1232" s="184"/>
      <c r="P1232" s="184"/>
      <c r="Q1232" s="184"/>
      <c r="R1232" s="184"/>
      <c r="S1232" s="186"/>
      <c r="T1232" s="184">
        <v>0.0</v>
      </c>
    </row>
    <row r="1233">
      <c r="A1233" s="184"/>
      <c r="B1233" s="184"/>
      <c r="C1233" s="184"/>
      <c r="D1233" s="184"/>
      <c r="E1233" s="184"/>
      <c r="F1233" s="184"/>
      <c r="G1233" s="184"/>
      <c r="H1233" s="184"/>
      <c r="I1233" s="184"/>
      <c r="J1233" s="184"/>
      <c r="K1233" s="184"/>
      <c r="L1233" s="184"/>
      <c r="M1233" s="184"/>
      <c r="N1233" s="184"/>
      <c r="O1233" s="184"/>
      <c r="P1233" s="184"/>
      <c r="Q1233" s="184"/>
      <c r="R1233" s="184"/>
      <c r="S1233" s="186"/>
      <c r="T1233" s="184">
        <v>0.0</v>
      </c>
    </row>
    <row r="1234">
      <c r="A1234" s="184"/>
      <c r="B1234" s="184"/>
      <c r="C1234" s="184"/>
      <c r="D1234" s="184"/>
      <c r="E1234" s="184"/>
      <c r="F1234" s="184"/>
      <c r="G1234" s="184"/>
      <c r="H1234" s="184"/>
      <c r="I1234" s="184"/>
      <c r="J1234" s="184"/>
      <c r="K1234" s="184"/>
      <c r="L1234" s="184"/>
      <c r="M1234" s="184"/>
      <c r="N1234" s="184"/>
      <c r="O1234" s="184"/>
      <c r="P1234" s="184"/>
      <c r="Q1234" s="184"/>
      <c r="R1234" s="184"/>
      <c r="S1234" s="186"/>
      <c r="T1234" s="184">
        <v>0.0</v>
      </c>
    </row>
    <row r="1235">
      <c r="A1235" s="184"/>
      <c r="B1235" s="184"/>
      <c r="C1235" s="184"/>
      <c r="D1235" s="184"/>
      <c r="E1235" s="184"/>
      <c r="F1235" s="184"/>
      <c r="G1235" s="184"/>
      <c r="H1235" s="184"/>
      <c r="I1235" s="184"/>
      <c r="J1235" s="184"/>
      <c r="K1235" s="184"/>
      <c r="L1235" s="184"/>
      <c r="M1235" s="184"/>
      <c r="N1235" s="184"/>
      <c r="O1235" s="184"/>
      <c r="P1235" s="184"/>
      <c r="Q1235" s="184"/>
      <c r="R1235" s="184"/>
      <c r="S1235" s="186"/>
      <c r="T1235" s="184">
        <v>0.0</v>
      </c>
    </row>
    <row r="1236">
      <c r="A1236" s="184"/>
      <c r="B1236" s="184"/>
      <c r="C1236" s="184"/>
      <c r="D1236" s="184"/>
      <c r="E1236" s="184"/>
      <c r="F1236" s="184"/>
      <c r="G1236" s="184"/>
      <c r="H1236" s="184"/>
      <c r="I1236" s="184"/>
      <c r="J1236" s="184"/>
      <c r="K1236" s="184"/>
      <c r="L1236" s="184"/>
      <c r="M1236" s="184"/>
      <c r="N1236" s="184"/>
      <c r="O1236" s="184"/>
      <c r="P1236" s="184"/>
      <c r="Q1236" s="184"/>
      <c r="R1236" s="184"/>
      <c r="S1236" s="186"/>
      <c r="T1236" s="184">
        <v>0.0</v>
      </c>
    </row>
    <row r="1237">
      <c r="A1237" s="184"/>
      <c r="B1237" s="184"/>
      <c r="C1237" s="184"/>
      <c r="D1237" s="184"/>
      <c r="E1237" s="184"/>
      <c r="F1237" s="184"/>
      <c r="G1237" s="184"/>
      <c r="H1237" s="184"/>
      <c r="I1237" s="184"/>
      <c r="J1237" s="184"/>
      <c r="K1237" s="184"/>
      <c r="L1237" s="184"/>
      <c r="M1237" s="184"/>
      <c r="N1237" s="184"/>
      <c r="O1237" s="184"/>
      <c r="P1237" s="184"/>
      <c r="Q1237" s="184"/>
      <c r="R1237" s="184"/>
      <c r="S1237" s="186"/>
      <c r="T1237" s="184">
        <v>0.0</v>
      </c>
    </row>
    <row r="1238">
      <c r="A1238" s="184"/>
      <c r="B1238" s="184"/>
      <c r="C1238" s="184"/>
      <c r="D1238" s="184"/>
      <c r="E1238" s="184"/>
      <c r="F1238" s="184"/>
      <c r="G1238" s="184"/>
      <c r="H1238" s="184"/>
      <c r="I1238" s="184"/>
      <c r="J1238" s="184"/>
      <c r="K1238" s="184"/>
      <c r="L1238" s="184"/>
      <c r="M1238" s="184"/>
      <c r="N1238" s="184"/>
      <c r="O1238" s="184"/>
      <c r="P1238" s="184"/>
      <c r="Q1238" s="184"/>
      <c r="R1238" s="184"/>
      <c r="S1238" s="186"/>
      <c r="T1238" s="184">
        <v>0.0</v>
      </c>
    </row>
    <row r="1239">
      <c r="A1239" s="184"/>
      <c r="B1239" s="184"/>
      <c r="C1239" s="184"/>
      <c r="D1239" s="184"/>
      <c r="E1239" s="184"/>
      <c r="F1239" s="184"/>
      <c r="G1239" s="184"/>
      <c r="H1239" s="184"/>
      <c r="I1239" s="184"/>
      <c r="J1239" s="184"/>
      <c r="K1239" s="184"/>
      <c r="L1239" s="184"/>
      <c r="M1239" s="184"/>
      <c r="N1239" s="184"/>
      <c r="O1239" s="184"/>
      <c r="P1239" s="184"/>
      <c r="Q1239" s="184"/>
      <c r="R1239" s="184"/>
      <c r="S1239" s="186"/>
      <c r="T1239" s="184">
        <v>0.0</v>
      </c>
    </row>
    <row r="1240">
      <c r="A1240" s="184"/>
      <c r="B1240" s="184"/>
      <c r="C1240" s="184"/>
      <c r="D1240" s="184"/>
      <c r="E1240" s="184"/>
      <c r="F1240" s="184"/>
      <c r="G1240" s="184"/>
      <c r="H1240" s="184"/>
      <c r="I1240" s="184"/>
      <c r="J1240" s="184"/>
      <c r="K1240" s="184"/>
      <c r="L1240" s="184"/>
      <c r="M1240" s="184"/>
      <c r="N1240" s="184"/>
      <c r="O1240" s="184"/>
      <c r="P1240" s="184"/>
      <c r="Q1240" s="184"/>
      <c r="R1240" s="184"/>
      <c r="S1240" s="186"/>
      <c r="T1240" s="184">
        <v>0.0</v>
      </c>
    </row>
    <row r="1241">
      <c r="A1241" s="184"/>
      <c r="B1241" s="184"/>
      <c r="C1241" s="184"/>
      <c r="D1241" s="184"/>
      <c r="E1241" s="184"/>
      <c r="F1241" s="184"/>
      <c r="G1241" s="184"/>
      <c r="H1241" s="184"/>
      <c r="I1241" s="184"/>
      <c r="J1241" s="184"/>
      <c r="K1241" s="184"/>
      <c r="L1241" s="184"/>
      <c r="M1241" s="184"/>
      <c r="N1241" s="184"/>
      <c r="O1241" s="184"/>
      <c r="P1241" s="184"/>
      <c r="Q1241" s="184"/>
      <c r="R1241" s="184"/>
      <c r="S1241" s="186"/>
      <c r="T1241" s="184">
        <v>0.0</v>
      </c>
    </row>
    <row r="1242">
      <c r="A1242" s="184"/>
      <c r="B1242" s="184"/>
      <c r="C1242" s="184"/>
      <c r="D1242" s="184"/>
      <c r="E1242" s="184"/>
      <c r="F1242" s="184"/>
      <c r="G1242" s="184"/>
      <c r="H1242" s="184"/>
      <c r="I1242" s="184"/>
      <c r="J1242" s="184"/>
      <c r="K1242" s="184"/>
      <c r="L1242" s="184"/>
      <c r="M1242" s="184"/>
      <c r="N1242" s="184"/>
      <c r="O1242" s="184"/>
      <c r="P1242" s="184"/>
      <c r="Q1242" s="184"/>
      <c r="R1242" s="184"/>
      <c r="S1242" s="186"/>
      <c r="T1242" s="184">
        <v>0.0</v>
      </c>
    </row>
    <row r="1243">
      <c r="A1243" s="184"/>
      <c r="B1243" s="184"/>
      <c r="C1243" s="184"/>
      <c r="D1243" s="184"/>
      <c r="E1243" s="184"/>
      <c r="F1243" s="184"/>
      <c r="G1243" s="184"/>
      <c r="H1243" s="184"/>
      <c r="I1243" s="184"/>
      <c r="J1243" s="184"/>
      <c r="K1243" s="184"/>
      <c r="L1243" s="184"/>
      <c r="M1243" s="184"/>
      <c r="N1243" s="184"/>
      <c r="O1243" s="184"/>
      <c r="P1243" s="184"/>
      <c r="Q1243" s="184"/>
      <c r="R1243" s="184"/>
      <c r="S1243" s="186"/>
      <c r="T1243" s="184">
        <v>0.0</v>
      </c>
    </row>
    <row r="1244">
      <c r="A1244" s="184"/>
      <c r="B1244" s="184"/>
      <c r="C1244" s="184"/>
      <c r="D1244" s="184"/>
      <c r="E1244" s="184"/>
      <c r="F1244" s="184"/>
      <c r="G1244" s="184"/>
      <c r="H1244" s="184"/>
      <c r="I1244" s="184"/>
      <c r="J1244" s="184"/>
      <c r="K1244" s="184"/>
      <c r="L1244" s="184"/>
      <c r="M1244" s="184"/>
      <c r="N1244" s="184"/>
      <c r="O1244" s="184"/>
      <c r="P1244" s="184"/>
      <c r="Q1244" s="184"/>
      <c r="R1244" s="184"/>
      <c r="S1244" s="186"/>
      <c r="T1244" s="184">
        <v>0.0</v>
      </c>
    </row>
    <row r="1245">
      <c r="A1245" s="184"/>
      <c r="B1245" s="184"/>
      <c r="C1245" s="184"/>
      <c r="D1245" s="184"/>
      <c r="E1245" s="184"/>
      <c r="F1245" s="184"/>
      <c r="G1245" s="184"/>
      <c r="H1245" s="184"/>
      <c r="I1245" s="184"/>
      <c r="J1245" s="184"/>
      <c r="K1245" s="184"/>
      <c r="L1245" s="184"/>
      <c r="M1245" s="184"/>
      <c r="N1245" s="184"/>
      <c r="O1245" s="184"/>
      <c r="P1245" s="184"/>
      <c r="Q1245" s="184"/>
      <c r="R1245" s="184"/>
      <c r="S1245" s="186"/>
      <c r="T1245" s="184">
        <v>0.0</v>
      </c>
    </row>
    <row r="1246">
      <c r="A1246" s="184"/>
      <c r="B1246" s="184"/>
      <c r="C1246" s="184"/>
      <c r="D1246" s="184"/>
      <c r="E1246" s="184"/>
      <c r="F1246" s="184"/>
      <c r="G1246" s="184"/>
      <c r="H1246" s="184"/>
      <c r="I1246" s="184"/>
      <c r="J1246" s="184"/>
      <c r="K1246" s="184"/>
      <c r="L1246" s="184"/>
      <c r="M1246" s="184"/>
      <c r="N1246" s="184"/>
      <c r="O1246" s="184"/>
      <c r="P1246" s="184"/>
      <c r="Q1246" s="184"/>
      <c r="R1246" s="184"/>
      <c r="S1246" s="186"/>
      <c r="T1246" s="184">
        <v>0.0</v>
      </c>
    </row>
    <row r="1247">
      <c r="A1247" s="184"/>
      <c r="B1247" s="184"/>
      <c r="C1247" s="184"/>
      <c r="D1247" s="184"/>
      <c r="E1247" s="184"/>
      <c r="F1247" s="184"/>
      <c r="G1247" s="184"/>
      <c r="H1247" s="184"/>
      <c r="I1247" s="184"/>
      <c r="J1247" s="184"/>
      <c r="K1247" s="184"/>
      <c r="L1247" s="184"/>
      <c r="M1247" s="184"/>
      <c r="N1247" s="184"/>
      <c r="O1247" s="184"/>
      <c r="P1247" s="184"/>
      <c r="Q1247" s="184"/>
      <c r="R1247" s="184"/>
      <c r="S1247" s="186"/>
      <c r="T1247" s="184">
        <v>0.0</v>
      </c>
    </row>
    <row r="1248">
      <c r="A1248" s="184"/>
      <c r="B1248" s="184"/>
      <c r="C1248" s="184"/>
      <c r="D1248" s="184"/>
      <c r="E1248" s="184"/>
      <c r="F1248" s="184"/>
      <c r="G1248" s="184"/>
      <c r="H1248" s="184"/>
      <c r="I1248" s="184"/>
      <c r="J1248" s="184"/>
      <c r="K1248" s="184"/>
      <c r="L1248" s="184"/>
      <c r="M1248" s="184"/>
      <c r="N1248" s="184"/>
      <c r="O1248" s="184"/>
      <c r="P1248" s="184"/>
      <c r="Q1248" s="184"/>
      <c r="R1248" s="184"/>
      <c r="S1248" s="186"/>
      <c r="T1248" s="184">
        <v>0.0</v>
      </c>
    </row>
    <row r="1249">
      <c r="A1249" s="184"/>
      <c r="B1249" s="184"/>
      <c r="C1249" s="184"/>
      <c r="D1249" s="184"/>
      <c r="E1249" s="184"/>
      <c r="F1249" s="184"/>
      <c r="G1249" s="184"/>
      <c r="H1249" s="184"/>
      <c r="I1249" s="184"/>
      <c r="J1249" s="184"/>
      <c r="K1249" s="184"/>
      <c r="L1249" s="184"/>
      <c r="M1249" s="184"/>
      <c r="N1249" s="184"/>
      <c r="O1249" s="184"/>
      <c r="P1249" s="184"/>
      <c r="Q1249" s="184"/>
      <c r="R1249" s="184"/>
      <c r="S1249" s="186"/>
      <c r="T1249" s="184">
        <v>0.0</v>
      </c>
    </row>
    <row r="1250">
      <c r="A1250" s="184"/>
      <c r="B1250" s="184"/>
      <c r="C1250" s="184"/>
      <c r="D1250" s="184"/>
      <c r="E1250" s="184"/>
      <c r="F1250" s="184"/>
      <c r="G1250" s="184"/>
      <c r="H1250" s="184"/>
      <c r="I1250" s="184"/>
      <c r="J1250" s="184"/>
      <c r="K1250" s="184"/>
      <c r="L1250" s="184"/>
      <c r="M1250" s="184"/>
      <c r="N1250" s="184"/>
      <c r="O1250" s="184"/>
      <c r="P1250" s="184"/>
      <c r="Q1250" s="184"/>
      <c r="R1250" s="184"/>
      <c r="S1250" s="186"/>
      <c r="T1250" s="184">
        <v>0.0</v>
      </c>
    </row>
    <row r="1251">
      <c r="A1251" s="184"/>
      <c r="B1251" s="184"/>
      <c r="C1251" s="184"/>
      <c r="D1251" s="184"/>
      <c r="E1251" s="184"/>
      <c r="F1251" s="184"/>
      <c r="G1251" s="184"/>
      <c r="H1251" s="184"/>
      <c r="I1251" s="184"/>
      <c r="J1251" s="184"/>
      <c r="K1251" s="184"/>
      <c r="L1251" s="184"/>
      <c r="M1251" s="184"/>
      <c r="N1251" s="184"/>
      <c r="O1251" s="184"/>
      <c r="P1251" s="184"/>
      <c r="Q1251" s="184"/>
      <c r="R1251" s="184"/>
      <c r="S1251" s="186"/>
      <c r="T1251" s="184">
        <v>0.0</v>
      </c>
    </row>
    <row r="1252">
      <c r="A1252" s="184"/>
      <c r="B1252" s="184"/>
      <c r="C1252" s="184"/>
      <c r="D1252" s="184"/>
      <c r="E1252" s="184"/>
      <c r="F1252" s="184"/>
      <c r="G1252" s="184"/>
      <c r="H1252" s="184"/>
      <c r="I1252" s="184"/>
      <c r="J1252" s="184"/>
      <c r="K1252" s="184"/>
      <c r="L1252" s="184"/>
      <c r="M1252" s="184"/>
      <c r="N1252" s="184"/>
      <c r="O1252" s="184"/>
      <c r="P1252" s="184"/>
      <c r="Q1252" s="184"/>
      <c r="R1252" s="184"/>
      <c r="S1252" s="186"/>
      <c r="T1252" s="184">
        <v>0.0</v>
      </c>
    </row>
    <row r="1253">
      <c r="A1253" s="184"/>
      <c r="B1253" s="184"/>
      <c r="C1253" s="184"/>
      <c r="D1253" s="184"/>
      <c r="E1253" s="184"/>
      <c r="F1253" s="184"/>
      <c r="G1253" s="184"/>
      <c r="H1253" s="184"/>
      <c r="I1253" s="184"/>
      <c r="J1253" s="184"/>
      <c r="K1253" s="184"/>
      <c r="L1253" s="184"/>
      <c r="M1253" s="184"/>
      <c r="N1253" s="184"/>
      <c r="O1253" s="184"/>
      <c r="P1253" s="184"/>
      <c r="Q1253" s="184"/>
      <c r="R1253" s="184"/>
      <c r="S1253" s="186"/>
      <c r="T1253" s="184">
        <v>0.0</v>
      </c>
    </row>
    <row r="1254">
      <c r="A1254" s="184"/>
      <c r="B1254" s="184"/>
      <c r="C1254" s="184"/>
      <c r="D1254" s="184"/>
      <c r="E1254" s="184"/>
      <c r="F1254" s="184"/>
      <c r="G1254" s="184"/>
      <c r="H1254" s="184"/>
      <c r="I1254" s="184"/>
      <c r="J1254" s="184"/>
      <c r="K1254" s="184"/>
      <c r="L1254" s="184"/>
      <c r="M1254" s="184"/>
      <c r="N1254" s="184"/>
      <c r="O1254" s="184"/>
      <c r="P1254" s="184"/>
      <c r="Q1254" s="184"/>
      <c r="R1254" s="184"/>
      <c r="S1254" s="186"/>
      <c r="T1254" s="184">
        <v>0.0</v>
      </c>
    </row>
    <row r="1255">
      <c r="A1255" s="184"/>
      <c r="B1255" s="184"/>
      <c r="C1255" s="184"/>
      <c r="D1255" s="184"/>
      <c r="E1255" s="184"/>
      <c r="F1255" s="184"/>
      <c r="G1255" s="184"/>
      <c r="H1255" s="184"/>
      <c r="I1255" s="184"/>
      <c r="J1255" s="184"/>
      <c r="K1255" s="184"/>
      <c r="L1255" s="184"/>
      <c r="M1255" s="184"/>
      <c r="N1255" s="184"/>
      <c r="O1255" s="184"/>
      <c r="P1255" s="184"/>
      <c r="Q1255" s="184"/>
      <c r="R1255" s="184"/>
      <c r="S1255" s="186"/>
      <c r="T1255" s="184">
        <v>0.0</v>
      </c>
    </row>
    <row r="1256">
      <c r="A1256" s="184"/>
      <c r="B1256" s="184"/>
      <c r="C1256" s="184"/>
      <c r="D1256" s="184"/>
      <c r="E1256" s="184"/>
      <c r="F1256" s="184"/>
      <c r="G1256" s="184"/>
      <c r="H1256" s="184"/>
      <c r="I1256" s="184"/>
      <c r="J1256" s="184"/>
      <c r="K1256" s="184"/>
      <c r="L1256" s="184"/>
      <c r="M1256" s="184"/>
      <c r="N1256" s="184"/>
      <c r="O1256" s="184"/>
      <c r="P1256" s="184"/>
      <c r="Q1256" s="184"/>
      <c r="R1256" s="184"/>
      <c r="S1256" s="186"/>
      <c r="T1256" s="184">
        <v>0.0</v>
      </c>
    </row>
    <row r="1257">
      <c r="A1257" s="184"/>
      <c r="B1257" s="184"/>
      <c r="C1257" s="184"/>
      <c r="D1257" s="184"/>
      <c r="E1257" s="184"/>
      <c r="F1257" s="184"/>
      <c r="G1257" s="184"/>
      <c r="H1257" s="184"/>
      <c r="I1257" s="184"/>
      <c r="J1257" s="184"/>
      <c r="K1257" s="184"/>
      <c r="L1257" s="184"/>
      <c r="M1257" s="184"/>
      <c r="N1257" s="184"/>
      <c r="O1257" s="184"/>
      <c r="P1257" s="184"/>
      <c r="Q1257" s="184"/>
      <c r="R1257" s="184"/>
      <c r="S1257" s="186"/>
      <c r="T1257" s="184">
        <v>0.0</v>
      </c>
    </row>
    <row r="1258">
      <c r="A1258" s="184"/>
      <c r="B1258" s="184"/>
      <c r="C1258" s="184"/>
      <c r="D1258" s="184"/>
      <c r="E1258" s="184"/>
      <c r="F1258" s="184"/>
      <c r="G1258" s="184"/>
      <c r="H1258" s="184"/>
      <c r="I1258" s="184"/>
      <c r="J1258" s="184"/>
      <c r="K1258" s="184"/>
      <c r="L1258" s="184"/>
      <c r="M1258" s="184"/>
      <c r="N1258" s="184"/>
      <c r="O1258" s="184"/>
      <c r="P1258" s="184"/>
      <c r="Q1258" s="184"/>
      <c r="R1258" s="184"/>
      <c r="S1258" s="186"/>
      <c r="T1258" s="184">
        <v>0.0</v>
      </c>
    </row>
    <row r="1259">
      <c r="A1259" s="184"/>
      <c r="B1259" s="184"/>
      <c r="C1259" s="184"/>
      <c r="D1259" s="184"/>
      <c r="E1259" s="184"/>
      <c r="F1259" s="184"/>
      <c r="G1259" s="184"/>
      <c r="H1259" s="184"/>
      <c r="I1259" s="184"/>
      <c r="J1259" s="184"/>
      <c r="K1259" s="184"/>
      <c r="L1259" s="184"/>
      <c r="M1259" s="184"/>
      <c r="N1259" s="184"/>
      <c r="O1259" s="184"/>
      <c r="P1259" s="184"/>
      <c r="Q1259" s="184"/>
      <c r="R1259" s="184"/>
      <c r="S1259" s="186"/>
      <c r="T1259" s="184">
        <v>0.0</v>
      </c>
    </row>
    <row r="1260">
      <c r="A1260" s="184"/>
      <c r="B1260" s="184"/>
      <c r="C1260" s="184"/>
      <c r="D1260" s="184"/>
      <c r="E1260" s="184"/>
      <c r="F1260" s="184"/>
      <c r="G1260" s="184"/>
      <c r="H1260" s="184"/>
      <c r="I1260" s="184"/>
      <c r="J1260" s="184"/>
      <c r="K1260" s="184"/>
      <c r="L1260" s="184"/>
      <c r="M1260" s="184"/>
      <c r="N1260" s="184"/>
      <c r="O1260" s="184"/>
      <c r="P1260" s="184"/>
      <c r="Q1260" s="184"/>
      <c r="R1260" s="184"/>
      <c r="S1260" s="186"/>
      <c r="T1260" s="184">
        <v>0.0</v>
      </c>
    </row>
    <row r="1261">
      <c r="A1261" s="184"/>
      <c r="B1261" s="184"/>
      <c r="C1261" s="184"/>
      <c r="D1261" s="184"/>
      <c r="E1261" s="184"/>
      <c r="F1261" s="184"/>
      <c r="G1261" s="184"/>
      <c r="H1261" s="184"/>
      <c r="I1261" s="184"/>
      <c r="J1261" s="184"/>
      <c r="K1261" s="184"/>
      <c r="L1261" s="184"/>
      <c r="M1261" s="184"/>
      <c r="N1261" s="184"/>
      <c r="O1261" s="184"/>
      <c r="P1261" s="184"/>
      <c r="Q1261" s="184"/>
      <c r="R1261" s="184"/>
      <c r="S1261" s="186"/>
      <c r="T1261" s="184">
        <v>0.0</v>
      </c>
    </row>
    <row r="1262">
      <c r="A1262" s="184"/>
      <c r="B1262" s="184"/>
      <c r="C1262" s="184"/>
      <c r="D1262" s="184"/>
      <c r="E1262" s="184"/>
      <c r="F1262" s="184"/>
      <c r="G1262" s="184"/>
      <c r="H1262" s="184"/>
      <c r="I1262" s="184"/>
      <c r="J1262" s="184"/>
      <c r="K1262" s="184"/>
      <c r="L1262" s="184"/>
      <c r="M1262" s="184"/>
      <c r="N1262" s="184"/>
      <c r="O1262" s="184"/>
      <c r="P1262" s="184"/>
      <c r="Q1262" s="184"/>
      <c r="R1262" s="184"/>
      <c r="S1262" s="186"/>
      <c r="T1262" s="184">
        <v>0.0</v>
      </c>
    </row>
    <row r="1263">
      <c r="A1263" s="184"/>
      <c r="B1263" s="184"/>
      <c r="C1263" s="184"/>
      <c r="D1263" s="184"/>
      <c r="E1263" s="184"/>
      <c r="F1263" s="184"/>
      <c r="G1263" s="184"/>
      <c r="H1263" s="184"/>
      <c r="I1263" s="184"/>
      <c r="J1263" s="184"/>
      <c r="K1263" s="184"/>
      <c r="L1263" s="184"/>
      <c r="M1263" s="184"/>
      <c r="N1263" s="184"/>
      <c r="O1263" s="184"/>
      <c r="P1263" s="184"/>
      <c r="Q1263" s="184"/>
      <c r="R1263" s="184"/>
      <c r="S1263" s="186"/>
      <c r="T1263" s="184">
        <v>0.0</v>
      </c>
    </row>
    <row r="1264">
      <c r="A1264" s="184"/>
      <c r="B1264" s="184"/>
      <c r="C1264" s="184"/>
      <c r="D1264" s="184"/>
      <c r="E1264" s="184"/>
      <c r="F1264" s="184"/>
      <c r="G1264" s="184"/>
      <c r="H1264" s="184"/>
      <c r="I1264" s="184"/>
      <c r="J1264" s="184"/>
      <c r="K1264" s="184"/>
      <c r="L1264" s="184"/>
      <c r="M1264" s="184"/>
      <c r="N1264" s="184"/>
      <c r="O1264" s="184"/>
      <c r="P1264" s="184"/>
      <c r="Q1264" s="184"/>
      <c r="R1264" s="184"/>
      <c r="S1264" s="186"/>
      <c r="T1264" s="184">
        <v>0.0</v>
      </c>
    </row>
    <row r="1265">
      <c r="A1265" s="184"/>
      <c r="B1265" s="184"/>
      <c r="C1265" s="184"/>
      <c r="D1265" s="184"/>
      <c r="E1265" s="184"/>
      <c r="F1265" s="184"/>
      <c r="G1265" s="184"/>
      <c r="H1265" s="184"/>
      <c r="I1265" s="184"/>
      <c r="J1265" s="184"/>
      <c r="K1265" s="184"/>
      <c r="L1265" s="184"/>
      <c r="M1265" s="184"/>
      <c r="N1265" s="184"/>
      <c r="O1265" s="184"/>
      <c r="P1265" s="184"/>
      <c r="Q1265" s="184"/>
      <c r="R1265" s="184"/>
      <c r="S1265" s="186"/>
      <c r="T1265" s="184">
        <v>0.0</v>
      </c>
    </row>
    <row r="1266">
      <c r="A1266" s="184"/>
      <c r="B1266" s="184"/>
      <c r="C1266" s="184"/>
      <c r="D1266" s="184"/>
      <c r="E1266" s="184"/>
      <c r="F1266" s="184"/>
      <c r="G1266" s="184"/>
      <c r="H1266" s="184"/>
      <c r="I1266" s="184"/>
      <c r="J1266" s="184"/>
      <c r="K1266" s="184"/>
      <c r="L1266" s="184"/>
      <c r="M1266" s="184"/>
      <c r="N1266" s="184"/>
      <c r="O1266" s="184"/>
      <c r="P1266" s="184"/>
      <c r="Q1266" s="184"/>
      <c r="R1266" s="184"/>
      <c r="S1266" s="186"/>
      <c r="T1266" s="184">
        <v>0.0</v>
      </c>
    </row>
    <row r="1267">
      <c r="A1267" s="184"/>
      <c r="B1267" s="184"/>
      <c r="C1267" s="184"/>
      <c r="D1267" s="184"/>
      <c r="E1267" s="184"/>
      <c r="F1267" s="184"/>
      <c r="G1267" s="184"/>
      <c r="H1267" s="184"/>
      <c r="I1267" s="184"/>
      <c r="J1267" s="184"/>
      <c r="K1267" s="184"/>
      <c r="L1267" s="184"/>
      <c r="M1267" s="184"/>
      <c r="N1267" s="184"/>
      <c r="O1267" s="184"/>
      <c r="P1267" s="184"/>
      <c r="Q1267" s="184"/>
      <c r="R1267" s="184"/>
      <c r="S1267" s="186"/>
      <c r="T1267" s="184">
        <v>0.0</v>
      </c>
    </row>
    <row r="1268">
      <c r="A1268" s="184"/>
      <c r="B1268" s="184"/>
      <c r="C1268" s="184"/>
      <c r="D1268" s="184"/>
      <c r="E1268" s="184"/>
      <c r="F1268" s="184"/>
      <c r="G1268" s="184"/>
      <c r="H1268" s="184"/>
      <c r="I1268" s="184"/>
      <c r="J1268" s="184"/>
      <c r="K1268" s="184"/>
      <c r="L1268" s="184"/>
      <c r="M1268" s="184"/>
      <c r="N1268" s="184"/>
      <c r="O1268" s="184"/>
      <c r="P1268" s="184"/>
      <c r="Q1268" s="184"/>
      <c r="R1268" s="184"/>
      <c r="S1268" s="186"/>
      <c r="T1268" s="184">
        <v>0.0</v>
      </c>
    </row>
    <row r="1269">
      <c r="A1269" s="184"/>
      <c r="B1269" s="184"/>
      <c r="C1269" s="184"/>
      <c r="D1269" s="184"/>
      <c r="E1269" s="184"/>
      <c r="F1269" s="184"/>
      <c r="G1269" s="184"/>
      <c r="H1269" s="184"/>
      <c r="I1269" s="184"/>
      <c r="J1269" s="184"/>
      <c r="K1269" s="184"/>
      <c r="L1269" s="184"/>
      <c r="M1269" s="184"/>
      <c r="N1269" s="184"/>
      <c r="O1269" s="184"/>
      <c r="P1269" s="184"/>
      <c r="Q1269" s="184"/>
      <c r="R1269" s="184"/>
      <c r="S1269" s="186"/>
      <c r="T1269" s="184">
        <v>0.0</v>
      </c>
    </row>
    <row r="1270">
      <c r="A1270" s="184"/>
      <c r="B1270" s="184"/>
      <c r="C1270" s="184"/>
      <c r="D1270" s="184"/>
      <c r="E1270" s="184"/>
      <c r="F1270" s="184"/>
      <c r="G1270" s="184"/>
      <c r="H1270" s="184"/>
      <c r="I1270" s="184"/>
      <c r="J1270" s="184"/>
      <c r="K1270" s="184"/>
      <c r="L1270" s="184"/>
      <c r="M1270" s="184"/>
      <c r="N1270" s="184"/>
      <c r="O1270" s="184"/>
      <c r="P1270" s="184"/>
      <c r="Q1270" s="184"/>
      <c r="R1270" s="184"/>
      <c r="S1270" s="186"/>
      <c r="T1270" s="184">
        <v>0.0</v>
      </c>
    </row>
    <row r="1271">
      <c r="A1271" s="184"/>
      <c r="B1271" s="184"/>
      <c r="C1271" s="184"/>
      <c r="D1271" s="184"/>
      <c r="E1271" s="184"/>
      <c r="F1271" s="184"/>
      <c r="G1271" s="184"/>
      <c r="H1271" s="184"/>
      <c r="I1271" s="184"/>
      <c r="J1271" s="184"/>
      <c r="K1271" s="184"/>
      <c r="L1271" s="184"/>
      <c r="M1271" s="184"/>
      <c r="N1271" s="184"/>
      <c r="O1271" s="184"/>
      <c r="P1271" s="184"/>
      <c r="Q1271" s="184"/>
      <c r="R1271" s="184"/>
      <c r="S1271" s="186"/>
      <c r="T1271" s="184">
        <v>0.0</v>
      </c>
    </row>
    <row r="1272">
      <c r="A1272" s="184"/>
      <c r="B1272" s="184"/>
      <c r="C1272" s="184"/>
      <c r="D1272" s="184"/>
      <c r="E1272" s="184"/>
      <c r="F1272" s="184"/>
      <c r="G1272" s="184"/>
      <c r="H1272" s="184"/>
      <c r="I1272" s="184"/>
      <c r="J1272" s="184"/>
      <c r="K1272" s="184"/>
      <c r="L1272" s="184"/>
      <c r="M1272" s="184"/>
      <c r="N1272" s="184"/>
      <c r="O1272" s="184"/>
      <c r="P1272" s="184"/>
      <c r="Q1272" s="184"/>
      <c r="R1272" s="184"/>
      <c r="S1272" s="186"/>
      <c r="T1272" s="184">
        <v>0.0</v>
      </c>
    </row>
    <row r="1273">
      <c r="A1273" s="184"/>
      <c r="B1273" s="184"/>
      <c r="C1273" s="184"/>
      <c r="D1273" s="184"/>
      <c r="E1273" s="184"/>
      <c r="F1273" s="184"/>
      <c r="G1273" s="184"/>
      <c r="H1273" s="184"/>
      <c r="I1273" s="184"/>
      <c r="J1273" s="184"/>
      <c r="K1273" s="184"/>
      <c r="L1273" s="184"/>
      <c r="M1273" s="184"/>
      <c r="N1273" s="184"/>
      <c r="O1273" s="184"/>
      <c r="P1273" s="184"/>
      <c r="Q1273" s="184"/>
      <c r="R1273" s="184"/>
      <c r="S1273" s="186"/>
      <c r="T1273" s="184">
        <v>0.0</v>
      </c>
    </row>
    <row r="1274">
      <c r="A1274" s="184"/>
      <c r="B1274" s="184"/>
      <c r="C1274" s="184"/>
      <c r="D1274" s="184"/>
      <c r="E1274" s="184"/>
      <c r="F1274" s="184"/>
      <c r="G1274" s="184"/>
      <c r="H1274" s="184"/>
      <c r="I1274" s="184"/>
      <c r="J1274" s="184"/>
      <c r="K1274" s="184"/>
      <c r="L1274" s="184"/>
      <c r="M1274" s="184"/>
      <c r="N1274" s="184"/>
      <c r="O1274" s="184"/>
      <c r="P1274" s="184"/>
      <c r="Q1274" s="184"/>
      <c r="R1274" s="184"/>
      <c r="S1274" s="186"/>
      <c r="T1274" s="184">
        <v>0.0</v>
      </c>
    </row>
    <row r="1275">
      <c r="A1275" s="184"/>
      <c r="B1275" s="184"/>
      <c r="C1275" s="184"/>
      <c r="D1275" s="184"/>
      <c r="E1275" s="184"/>
      <c r="F1275" s="184"/>
      <c r="G1275" s="184"/>
      <c r="H1275" s="184"/>
      <c r="I1275" s="184"/>
      <c r="J1275" s="184"/>
      <c r="K1275" s="184"/>
      <c r="L1275" s="184"/>
      <c r="M1275" s="184"/>
      <c r="N1275" s="184"/>
      <c r="O1275" s="184"/>
      <c r="P1275" s="184"/>
      <c r="Q1275" s="184"/>
      <c r="R1275" s="184"/>
      <c r="S1275" s="186"/>
      <c r="T1275" s="184">
        <v>0.0</v>
      </c>
    </row>
    <row r="1276">
      <c r="A1276" s="184"/>
      <c r="B1276" s="184"/>
      <c r="C1276" s="184"/>
      <c r="D1276" s="184"/>
      <c r="E1276" s="184"/>
      <c r="F1276" s="184"/>
      <c r="G1276" s="184"/>
      <c r="H1276" s="184"/>
      <c r="I1276" s="184"/>
      <c r="J1276" s="184"/>
      <c r="K1276" s="184"/>
      <c r="L1276" s="184"/>
      <c r="M1276" s="184"/>
      <c r="N1276" s="184"/>
      <c r="O1276" s="184"/>
      <c r="P1276" s="184"/>
      <c r="Q1276" s="184"/>
      <c r="R1276" s="184"/>
      <c r="S1276" s="186"/>
      <c r="T1276" s="184">
        <v>0.0</v>
      </c>
    </row>
    <row r="1277">
      <c r="A1277" s="184"/>
      <c r="B1277" s="184"/>
      <c r="C1277" s="184"/>
      <c r="D1277" s="184"/>
      <c r="E1277" s="184"/>
      <c r="F1277" s="184"/>
      <c r="G1277" s="184"/>
      <c r="H1277" s="184"/>
      <c r="I1277" s="184"/>
      <c r="J1277" s="184"/>
      <c r="K1277" s="184"/>
      <c r="L1277" s="184"/>
      <c r="M1277" s="184"/>
      <c r="N1277" s="184"/>
      <c r="O1277" s="184"/>
      <c r="P1277" s="184"/>
      <c r="Q1277" s="184"/>
      <c r="R1277" s="184"/>
      <c r="S1277" s="186"/>
      <c r="T1277" s="184">
        <v>0.0</v>
      </c>
    </row>
    <row r="1278">
      <c r="A1278" s="184"/>
      <c r="B1278" s="184"/>
      <c r="C1278" s="184"/>
      <c r="D1278" s="184"/>
      <c r="E1278" s="184"/>
      <c r="F1278" s="184"/>
      <c r="G1278" s="184"/>
      <c r="H1278" s="184"/>
      <c r="I1278" s="184"/>
      <c r="J1278" s="184"/>
      <c r="K1278" s="184"/>
      <c r="L1278" s="184"/>
      <c r="M1278" s="184"/>
      <c r="N1278" s="184"/>
      <c r="O1278" s="184"/>
      <c r="P1278" s="184"/>
      <c r="Q1278" s="184"/>
      <c r="R1278" s="184"/>
      <c r="S1278" s="186"/>
      <c r="T1278" s="184">
        <v>0.0</v>
      </c>
    </row>
    <row r="1279">
      <c r="A1279" s="184"/>
      <c r="B1279" s="184"/>
      <c r="C1279" s="184"/>
      <c r="D1279" s="184"/>
      <c r="E1279" s="184"/>
      <c r="F1279" s="184"/>
      <c r="G1279" s="184"/>
      <c r="H1279" s="184"/>
      <c r="I1279" s="184"/>
      <c r="J1279" s="184"/>
      <c r="K1279" s="184"/>
      <c r="L1279" s="184"/>
      <c r="M1279" s="184"/>
      <c r="N1279" s="184"/>
      <c r="O1279" s="184"/>
      <c r="P1279" s="184"/>
      <c r="Q1279" s="184"/>
      <c r="R1279" s="184"/>
      <c r="S1279" s="186"/>
      <c r="T1279" s="184">
        <v>0.0</v>
      </c>
    </row>
    <row r="1280">
      <c r="A1280" s="184"/>
      <c r="B1280" s="184"/>
      <c r="C1280" s="184"/>
      <c r="D1280" s="184"/>
      <c r="E1280" s="184"/>
      <c r="F1280" s="184"/>
      <c r="G1280" s="184"/>
      <c r="H1280" s="184"/>
      <c r="I1280" s="184"/>
      <c r="J1280" s="184"/>
      <c r="K1280" s="184"/>
      <c r="L1280" s="184"/>
      <c r="M1280" s="184"/>
      <c r="N1280" s="184"/>
      <c r="O1280" s="184"/>
      <c r="P1280" s="184"/>
      <c r="Q1280" s="184"/>
      <c r="R1280" s="184"/>
      <c r="S1280" s="186"/>
      <c r="T1280" s="184">
        <v>0.0</v>
      </c>
    </row>
    <row r="1281">
      <c r="A1281" s="184"/>
      <c r="B1281" s="184"/>
      <c r="C1281" s="184"/>
      <c r="D1281" s="184"/>
      <c r="E1281" s="184"/>
      <c r="F1281" s="184"/>
      <c r="G1281" s="184"/>
      <c r="H1281" s="184"/>
      <c r="I1281" s="184"/>
      <c r="J1281" s="184"/>
      <c r="K1281" s="184"/>
      <c r="L1281" s="184"/>
      <c r="M1281" s="184"/>
      <c r="N1281" s="184"/>
      <c r="O1281" s="184"/>
      <c r="P1281" s="184"/>
      <c r="Q1281" s="184"/>
      <c r="R1281" s="184"/>
      <c r="S1281" s="186"/>
      <c r="T1281" s="184">
        <v>0.0</v>
      </c>
    </row>
    <row r="1282">
      <c r="A1282" s="184"/>
      <c r="B1282" s="184"/>
      <c r="C1282" s="184"/>
      <c r="D1282" s="184"/>
      <c r="E1282" s="184"/>
      <c r="F1282" s="184"/>
      <c r="G1282" s="184"/>
      <c r="H1282" s="184"/>
      <c r="I1282" s="184"/>
      <c r="J1282" s="184"/>
      <c r="K1282" s="184"/>
      <c r="L1282" s="184"/>
      <c r="M1282" s="184"/>
      <c r="N1282" s="184"/>
      <c r="O1282" s="184"/>
      <c r="P1282" s="184"/>
      <c r="Q1282" s="184"/>
      <c r="R1282" s="184"/>
      <c r="S1282" s="186"/>
      <c r="T1282" s="184">
        <v>0.0</v>
      </c>
    </row>
    <row r="1283">
      <c r="A1283" s="184"/>
      <c r="B1283" s="184"/>
      <c r="C1283" s="184"/>
      <c r="D1283" s="184"/>
      <c r="E1283" s="184"/>
      <c r="F1283" s="184"/>
      <c r="G1283" s="184"/>
      <c r="H1283" s="184"/>
      <c r="I1283" s="184"/>
      <c r="J1283" s="184"/>
      <c r="K1283" s="184"/>
      <c r="L1283" s="184"/>
      <c r="M1283" s="184"/>
      <c r="N1283" s="184"/>
      <c r="O1283" s="184"/>
      <c r="P1283" s="184"/>
      <c r="Q1283" s="184"/>
      <c r="R1283" s="184"/>
      <c r="S1283" s="186"/>
      <c r="T1283" s="184">
        <v>0.0</v>
      </c>
    </row>
    <row r="1284">
      <c r="A1284" s="184"/>
      <c r="B1284" s="184"/>
      <c r="C1284" s="184"/>
      <c r="D1284" s="184"/>
      <c r="E1284" s="184"/>
      <c r="F1284" s="184"/>
      <c r="G1284" s="184"/>
      <c r="H1284" s="184"/>
      <c r="I1284" s="184"/>
      <c r="J1284" s="184"/>
      <c r="K1284" s="184"/>
      <c r="L1284" s="184"/>
      <c r="M1284" s="184"/>
      <c r="N1284" s="184"/>
      <c r="O1284" s="184"/>
      <c r="P1284" s="184"/>
      <c r="Q1284" s="184"/>
      <c r="R1284" s="184"/>
      <c r="S1284" s="186"/>
      <c r="T1284" s="184">
        <v>0.0</v>
      </c>
    </row>
    <row r="1285">
      <c r="A1285" s="184"/>
      <c r="B1285" s="184"/>
      <c r="C1285" s="184"/>
      <c r="D1285" s="184"/>
      <c r="E1285" s="184"/>
      <c r="F1285" s="184"/>
      <c r="G1285" s="184"/>
      <c r="H1285" s="184"/>
      <c r="I1285" s="184"/>
      <c r="J1285" s="184"/>
      <c r="K1285" s="184"/>
      <c r="L1285" s="184"/>
      <c r="M1285" s="184"/>
      <c r="N1285" s="184"/>
      <c r="O1285" s="184"/>
      <c r="P1285" s="184"/>
      <c r="Q1285" s="184"/>
      <c r="R1285" s="184"/>
      <c r="S1285" s="186"/>
      <c r="T1285" s="184">
        <v>0.0</v>
      </c>
    </row>
    <row r="1286">
      <c r="A1286" s="184"/>
      <c r="B1286" s="184"/>
      <c r="C1286" s="184"/>
      <c r="D1286" s="184"/>
      <c r="E1286" s="184"/>
      <c r="F1286" s="184"/>
      <c r="G1286" s="184"/>
      <c r="H1286" s="184"/>
      <c r="I1286" s="184"/>
      <c r="J1286" s="184"/>
      <c r="K1286" s="184"/>
      <c r="L1286" s="184"/>
      <c r="M1286" s="184"/>
      <c r="N1286" s="184"/>
      <c r="O1286" s="184"/>
      <c r="P1286" s="184"/>
      <c r="Q1286" s="184"/>
      <c r="R1286" s="184"/>
      <c r="S1286" s="186"/>
      <c r="T1286" s="184">
        <v>0.0</v>
      </c>
    </row>
    <row r="1287">
      <c r="A1287" s="184"/>
      <c r="B1287" s="184"/>
      <c r="C1287" s="184"/>
      <c r="D1287" s="184"/>
      <c r="E1287" s="184"/>
      <c r="F1287" s="184"/>
      <c r="G1287" s="184"/>
      <c r="H1287" s="184"/>
      <c r="I1287" s="184"/>
      <c r="J1287" s="184"/>
      <c r="K1287" s="184"/>
      <c r="L1287" s="184"/>
      <c r="M1287" s="184"/>
      <c r="N1287" s="184"/>
      <c r="O1287" s="184"/>
      <c r="P1287" s="184"/>
      <c r="Q1287" s="184"/>
      <c r="R1287" s="184"/>
      <c r="S1287" s="186"/>
      <c r="T1287" s="184">
        <v>0.0</v>
      </c>
    </row>
    <row r="1288">
      <c r="A1288" s="184"/>
      <c r="B1288" s="184"/>
      <c r="C1288" s="184"/>
      <c r="D1288" s="184"/>
      <c r="E1288" s="184"/>
      <c r="F1288" s="184"/>
      <c r="G1288" s="184"/>
      <c r="H1288" s="184"/>
      <c r="I1288" s="184"/>
      <c r="J1288" s="184"/>
      <c r="K1288" s="184"/>
      <c r="L1288" s="184"/>
      <c r="M1288" s="184"/>
      <c r="N1288" s="184"/>
      <c r="O1288" s="184"/>
      <c r="P1288" s="184"/>
      <c r="Q1288" s="184"/>
      <c r="R1288" s="184"/>
      <c r="S1288" s="186"/>
      <c r="T1288" s="184">
        <v>0.0</v>
      </c>
    </row>
    <row r="1289">
      <c r="A1289" s="184"/>
      <c r="B1289" s="184"/>
      <c r="C1289" s="184"/>
      <c r="D1289" s="184"/>
      <c r="E1289" s="184"/>
      <c r="F1289" s="184"/>
      <c r="G1289" s="184"/>
      <c r="H1289" s="184"/>
      <c r="I1289" s="184"/>
      <c r="J1289" s="184"/>
      <c r="K1289" s="184"/>
      <c r="L1289" s="184"/>
      <c r="M1289" s="184"/>
      <c r="N1289" s="184"/>
      <c r="O1289" s="184"/>
      <c r="P1289" s="184"/>
      <c r="Q1289" s="184"/>
      <c r="R1289" s="184"/>
      <c r="S1289" s="186"/>
      <c r="T1289" s="184">
        <v>0.0</v>
      </c>
    </row>
    <row r="1290">
      <c r="A1290" s="184"/>
      <c r="B1290" s="184"/>
      <c r="C1290" s="184"/>
      <c r="D1290" s="184"/>
      <c r="E1290" s="184"/>
      <c r="F1290" s="184"/>
      <c r="G1290" s="184"/>
      <c r="H1290" s="184"/>
      <c r="I1290" s="184"/>
      <c r="J1290" s="184"/>
      <c r="K1290" s="184"/>
      <c r="L1290" s="184"/>
      <c r="M1290" s="184"/>
      <c r="N1290" s="184"/>
      <c r="O1290" s="184"/>
      <c r="P1290" s="184"/>
      <c r="Q1290" s="184"/>
      <c r="R1290" s="184"/>
      <c r="S1290" s="186"/>
      <c r="T1290" s="184">
        <v>0.0</v>
      </c>
    </row>
    <row r="1291">
      <c r="A1291" s="184"/>
      <c r="B1291" s="184"/>
      <c r="C1291" s="184"/>
      <c r="D1291" s="184"/>
      <c r="E1291" s="184"/>
      <c r="F1291" s="184"/>
      <c r="G1291" s="184"/>
      <c r="H1291" s="184"/>
      <c r="I1291" s="184"/>
      <c r="J1291" s="184"/>
      <c r="K1291" s="184"/>
      <c r="L1291" s="184"/>
      <c r="M1291" s="184"/>
      <c r="N1291" s="184"/>
      <c r="O1291" s="184"/>
      <c r="P1291" s="184"/>
      <c r="Q1291" s="184"/>
      <c r="R1291" s="184"/>
      <c r="S1291" s="186"/>
      <c r="T1291" s="184">
        <v>0.0</v>
      </c>
    </row>
    <row r="1292">
      <c r="A1292" s="184"/>
      <c r="B1292" s="184"/>
      <c r="C1292" s="184"/>
      <c r="D1292" s="184"/>
      <c r="E1292" s="184"/>
      <c r="F1292" s="184"/>
      <c r="G1292" s="184"/>
      <c r="H1292" s="184"/>
      <c r="I1292" s="184"/>
      <c r="J1292" s="184"/>
      <c r="K1292" s="184"/>
      <c r="L1292" s="184"/>
      <c r="M1292" s="184"/>
      <c r="N1292" s="184"/>
      <c r="O1292" s="184"/>
      <c r="P1292" s="184"/>
      <c r="Q1292" s="184"/>
      <c r="R1292" s="184"/>
      <c r="S1292" s="186"/>
      <c r="T1292" s="184">
        <v>0.0</v>
      </c>
    </row>
    <row r="1293">
      <c r="A1293" s="184"/>
      <c r="B1293" s="184"/>
      <c r="C1293" s="184"/>
      <c r="D1293" s="184"/>
      <c r="E1293" s="184"/>
      <c r="F1293" s="184"/>
      <c r="G1293" s="184"/>
      <c r="H1293" s="184"/>
      <c r="I1293" s="184"/>
      <c r="J1293" s="184"/>
      <c r="K1293" s="184"/>
      <c r="L1293" s="184"/>
      <c r="M1293" s="184"/>
      <c r="N1293" s="184"/>
      <c r="O1293" s="184"/>
      <c r="P1293" s="184"/>
      <c r="Q1293" s="184"/>
      <c r="R1293" s="184"/>
      <c r="S1293" s="186"/>
      <c r="T1293" s="184">
        <v>0.0</v>
      </c>
    </row>
    <row r="1294">
      <c r="A1294" s="184"/>
      <c r="B1294" s="184"/>
      <c r="C1294" s="184"/>
      <c r="D1294" s="184"/>
      <c r="E1294" s="184"/>
      <c r="F1294" s="184"/>
      <c r="G1294" s="184"/>
      <c r="H1294" s="184"/>
      <c r="I1294" s="184"/>
      <c r="J1294" s="184"/>
      <c r="K1294" s="184"/>
      <c r="L1294" s="184"/>
      <c r="M1294" s="184"/>
      <c r="N1294" s="184"/>
      <c r="O1294" s="184"/>
      <c r="P1294" s="184"/>
      <c r="Q1294" s="184"/>
      <c r="R1294" s="184"/>
      <c r="S1294" s="186"/>
      <c r="T1294" s="184">
        <v>0.0</v>
      </c>
    </row>
    <row r="1295">
      <c r="A1295" s="184"/>
      <c r="B1295" s="184"/>
      <c r="C1295" s="184"/>
      <c r="D1295" s="184"/>
      <c r="E1295" s="184"/>
      <c r="F1295" s="184"/>
      <c r="G1295" s="184"/>
      <c r="H1295" s="184"/>
      <c r="I1295" s="184"/>
      <c r="J1295" s="184"/>
      <c r="K1295" s="184"/>
      <c r="L1295" s="184"/>
      <c r="M1295" s="184"/>
      <c r="N1295" s="184"/>
      <c r="O1295" s="184"/>
      <c r="P1295" s="184"/>
      <c r="Q1295" s="184"/>
      <c r="R1295" s="184"/>
      <c r="S1295" s="186"/>
      <c r="T1295" s="184">
        <v>0.0</v>
      </c>
    </row>
    <row r="1296">
      <c r="A1296" s="184"/>
      <c r="B1296" s="184"/>
      <c r="C1296" s="184"/>
      <c r="D1296" s="184"/>
      <c r="E1296" s="184"/>
      <c r="F1296" s="184"/>
      <c r="G1296" s="184"/>
      <c r="H1296" s="184"/>
      <c r="I1296" s="184"/>
      <c r="J1296" s="184"/>
      <c r="K1296" s="184"/>
      <c r="L1296" s="184"/>
      <c r="M1296" s="184"/>
      <c r="N1296" s="184"/>
      <c r="O1296" s="184"/>
      <c r="P1296" s="184"/>
      <c r="Q1296" s="184"/>
      <c r="R1296" s="184"/>
      <c r="S1296" s="186"/>
      <c r="T1296" s="184">
        <v>0.0</v>
      </c>
    </row>
    <row r="1297">
      <c r="A1297" s="184"/>
      <c r="B1297" s="184"/>
      <c r="C1297" s="184"/>
      <c r="D1297" s="184"/>
      <c r="E1297" s="184"/>
      <c r="F1297" s="184"/>
      <c r="G1297" s="184"/>
      <c r="H1297" s="184"/>
      <c r="I1297" s="184"/>
      <c r="J1297" s="184"/>
      <c r="K1297" s="184"/>
      <c r="L1297" s="184"/>
      <c r="M1297" s="184"/>
      <c r="N1297" s="184"/>
      <c r="O1297" s="184"/>
      <c r="P1297" s="184"/>
      <c r="Q1297" s="184"/>
      <c r="R1297" s="184"/>
      <c r="S1297" s="186"/>
      <c r="T1297" s="184">
        <v>0.0</v>
      </c>
    </row>
    <row r="1298">
      <c r="A1298" s="184"/>
      <c r="B1298" s="184"/>
      <c r="C1298" s="184"/>
      <c r="D1298" s="184"/>
      <c r="E1298" s="184"/>
      <c r="F1298" s="184"/>
      <c r="G1298" s="184"/>
      <c r="H1298" s="184"/>
      <c r="I1298" s="184"/>
      <c r="J1298" s="184"/>
      <c r="K1298" s="184"/>
      <c r="L1298" s="184"/>
      <c r="M1298" s="184"/>
      <c r="N1298" s="184"/>
      <c r="O1298" s="184"/>
      <c r="P1298" s="184"/>
      <c r="Q1298" s="184"/>
      <c r="R1298" s="184"/>
      <c r="S1298" s="186"/>
      <c r="T1298" s="184">
        <v>0.0</v>
      </c>
    </row>
    <row r="1299">
      <c r="A1299" s="184"/>
      <c r="B1299" s="184"/>
      <c r="C1299" s="184"/>
      <c r="D1299" s="184"/>
      <c r="E1299" s="184"/>
      <c r="F1299" s="184"/>
      <c r="G1299" s="184"/>
      <c r="H1299" s="184"/>
      <c r="I1299" s="184"/>
      <c r="J1299" s="184"/>
      <c r="K1299" s="184"/>
      <c r="L1299" s="184"/>
      <c r="M1299" s="184"/>
      <c r="N1299" s="184"/>
      <c r="O1299" s="184"/>
      <c r="P1299" s="184"/>
      <c r="Q1299" s="184"/>
      <c r="R1299" s="184"/>
      <c r="S1299" s="186"/>
      <c r="T1299" s="184">
        <v>0.0</v>
      </c>
    </row>
    <row r="1300">
      <c r="A1300" s="184"/>
      <c r="B1300" s="184"/>
      <c r="C1300" s="184"/>
      <c r="D1300" s="184"/>
      <c r="E1300" s="184"/>
      <c r="F1300" s="184"/>
      <c r="G1300" s="184"/>
      <c r="H1300" s="184"/>
      <c r="I1300" s="184"/>
      <c r="J1300" s="184"/>
      <c r="K1300" s="184"/>
      <c r="L1300" s="184"/>
      <c r="M1300" s="184"/>
      <c r="N1300" s="184"/>
      <c r="O1300" s="184"/>
      <c r="P1300" s="184"/>
      <c r="Q1300" s="184"/>
      <c r="R1300" s="184"/>
      <c r="S1300" s="186"/>
      <c r="T1300" s="184">
        <v>0.0</v>
      </c>
    </row>
    <row r="1301">
      <c r="A1301" s="184"/>
      <c r="B1301" s="184"/>
      <c r="C1301" s="184"/>
      <c r="D1301" s="184"/>
      <c r="E1301" s="184"/>
      <c r="F1301" s="184"/>
      <c r="G1301" s="184"/>
      <c r="H1301" s="184"/>
      <c r="I1301" s="184"/>
      <c r="J1301" s="184"/>
      <c r="K1301" s="184"/>
      <c r="L1301" s="184"/>
      <c r="M1301" s="184"/>
      <c r="N1301" s="184"/>
      <c r="O1301" s="184"/>
      <c r="P1301" s="184"/>
      <c r="Q1301" s="184"/>
      <c r="R1301" s="184"/>
      <c r="S1301" s="186"/>
      <c r="T1301" s="184">
        <v>0.0</v>
      </c>
    </row>
    <row r="1302">
      <c r="A1302" s="184"/>
      <c r="B1302" s="184"/>
      <c r="C1302" s="184"/>
      <c r="D1302" s="184"/>
      <c r="E1302" s="184"/>
      <c r="F1302" s="184"/>
      <c r="G1302" s="184"/>
      <c r="H1302" s="184"/>
      <c r="I1302" s="184"/>
      <c r="J1302" s="184"/>
      <c r="K1302" s="184"/>
      <c r="L1302" s="184"/>
      <c r="M1302" s="184"/>
      <c r="N1302" s="184"/>
      <c r="O1302" s="184"/>
      <c r="P1302" s="184"/>
      <c r="Q1302" s="184"/>
      <c r="R1302" s="184"/>
      <c r="S1302" s="186"/>
      <c r="T1302" s="184">
        <v>0.0</v>
      </c>
    </row>
    <row r="1303">
      <c r="A1303" s="184"/>
      <c r="B1303" s="184"/>
      <c r="C1303" s="184"/>
      <c r="D1303" s="184"/>
      <c r="E1303" s="184"/>
      <c r="F1303" s="184"/>
      <c r="G1303" s="184"/>
      <c r="H1303" s="184"/>
      <c r="I1303" s="184"/>
      <c r="J1303" s="184"/>
      <c r="K1303" s="184"/>
      <c r="L1303" s="184"/>
      <c r="M1303" s="184"/>
      <c r="N1303" s="184"/>
      <c r="O1303" s="184"/>
      <c r="P1303" s="184"/>
      <c r="Q1303" s="184"/>
      <c r="R1303" s="184"/>
      <c r="S1303" s="186"/>
      <c r="T1303" s="184">
        <v>0.0</v>
      </c>
    </row>
    <row r="1304">
      <c r="A1304" s="184"/>
      <c r="B1304" s="184"/>
      <c r="C1304" s="184"/>
      <c r="D1304" s="184"/>
      <c r="E1304" s="184"/>
      <c r="F1304" s="184"/>
      <c r="G1304" s="184"/>
      <c r="H1304" s="184"/>
      <c r="I1304" s="184"/>
      <c r="J1304" s="184"/>
      <c r="K1304" s="184"/>
      <c r="L1304" s="184"/>
      <c r="M1304" s="184"/>
      <c r="N1304" s="184"/>
      <c r="O1304" s="184"/>
      <c r="P1304" s="184"/>
      <c r="Q1304" s="184"/>
      <c r="R1304" s="184"/>
      <c r="S1304" s="186"/>
      <c r="T1304" s="184">
        <v>0.0</v>
      </c>
    </row>
    <row r="1305">
      <c r="A1305" s="184"/>
      <c r="B1305" s="184"/>
      <c r="C1305" s="184"/>
      <c r="D1305" s="184"/>
      <c r="E1305" s="184"/>
      <c r="F1305" s="184"/>
      <c r="G1305" s="184"/>
      <c r="H1305" s="184"/>
      <c r="I1305" s="184"/>
      <c r="J1305" s="184"/>
      <c r="K1305" s="184"/>
      <c r="L1305" s="184"/>
      <c r="M1305" s="184"/>
      <c r="N1305" s="184"/>
      <c r="O1305" s="184"/>
      <c r="P1305" s="184"/>
      <c r="Q1305" s="184"/>
      <c r="R1305" s="184"/>
      <c r="S1305" s="186"/>
      <c r="T1305" s="184">
        <v>0.0</v>
      </c>
    </row>
    <row r="1306">
      <c r="A1306" s="184"/>
      <c r="B1306" s="184"/>
      <c r="C1306" s="184"/>
      <c r="D1306" s="184"/>
      <c r="E1306" s="184"/>
      <c r="F1306" s="184"/>
      <c r="G1306" s="184"/>
      <c r="H1306" s="184"/>
      <c r="I1306" s="184"/>
      <c r="J1306" s="184"/>
      <c r="K1306" s="184"/>
      <c r="L1306" s="184"/>
      <c r="M1306" s="184"/>
      <c r="N1306" s="184"/>
      <c r="O1306" s="184"/>
      <c r="P1306" s="184"/>
      <c r="Q1306" s="184"/>
      <c r="R1306" s="184"/>
      <c r="S1306" s="186"/>
      <c r="T1306" s="184">
        <v>0.0</v>
      </c>
    </row>
    <row r="1307">
      <c r="A1307" s="184"/>
      <c r="B1307" s="184"/>
      <c r="C1307" s="184"/>
      <c r="D1307" s="184"/>
      <c r="E1307" s="184"/>
      <c r="F1307" s="184"/>
      <c r="G1307" s="184"/>
      <c r="H1307" s="184"/>
      <c r="I1307" s="184"/>
      <c r="J1307" s="184"/>
      <c r="K1307" s="184"/>
      <c r="L1307" s="184"/>
      <c r="M1307" s="184"/>
      <c r="N1307" s="184"/>
      <c r="O1307" s="184"/>
      <c r="P1307" s="184"/>
      <c r="Q1307" s="184"/>
      <c r="R1307" s="184"/>
      <c r="S1307" s="186"/>
      <c r="T1307" s="184">
        <v>0.0</v>
      </c>
    </row>
    <row r="1308">
      <c r="A1308" s="184"/>
      <c r="B1308" s="184"/>
      <c r="C1308" s="184"/>
      <c r="D1308" s="184"/>
      <c r="E1308" s="184"/>
      <c r="F1308" s="184"/>
      <c r="G1308" s="184"/>
      <c r="H1308" s="184"/>
      <c r="I1308" s="184"/>
      <c r="J1308" s="184"/>
      <c r="K1308" s="184"/>
      <c r="L1308" s="184"/>
      <c r="M1308" s="184"/>
      <c r="N1308" s="184"/>
      <c r="O1308" s="184"/>
      <c r="P1308" s="184"/>
      <c r="Q1308" s="184"/>
      <c r="R1308" s="184"/>
      <c r="S1308" s="186"/>
      <c r="T1308" s="184">
        <v>0.0</v>
      </c>
    </row>
    <row r="1309">
      <c r="A1309" s="184"/>
      <c r="B1309" s="184"/>
      <c r="C1309" s="184"/>
      <c r="D1309" s="184"/>
      <c r="E1309" s="184"/>
      <c r="F1309" s="184"/>
      <c r="G1309" s="184"/>
      <c r="H1309" s="184"/>
      <c r="I1309" s="184"/>
      <c r="J1309" s="184"/>
      <c r="K1309" s="184"/>
      <c r="L1309" s="184"/>
      <c r="M1309" s="184"/>
      <c r="N1309" s="184"/>
      <c r="O1309" s="184"/>
      <c r="P1309" s="184"/>
      <c r="Q1309" s="184"/>
      <c r="R1309" s="184"/>
      <c r="S1309" s="186"/>
      <c r="T1309" s="184">
        <v>0.0</v>
      </c>
    </row>
    <row r="1310">
      <c r="A1310" s="184"/>
      <c r="B1310" s="184"/>
      <c r="C1310" s="184"/>
      <c r="D1310" s="184"/>
      <c r="E1310" s="184"/>
      <c r="F1310" s="184"/>
      <c r="G1310" s="184"/>
      <c r="H1310" s="184"/>
      <c r="I1310" s="184"/>
      <c r="J1310" s="184"/>
      <c r="K1310" s="184"/>
      <c r="L1310" s="184"/>
      <c r="M1310" s="184"/>
      <c r="N1310" s="184"/>
      <c r="O1310" s="184"/>
      <c r="P1310" s="184"/>
      <c r="Q1310" s="184"/>
      <c r="R1310" s="184"/>
      <c r="S1310" s="186"/>
      <c r="T1310" s="184">
        <v>0.0</v>
      </c>
    </row>
    <row r="1311">
      <c r="A1311" s="184"/>
      <c r="B1311" s="184"/>
      <c r="C1311" s="184"/>
      <c r="D1311" s="184"/>
      <c r="E1311" s="184"/>
      <c r="F1311" s="184"/>
      <c r="G1311" s="184"/>
      <c r="H1311" s="184"/>
      <c r="I1311" s="184"/>
      <c r="J1311" s="184"/>
      <c r="K1311" s="184"/>
      <c r="L1311" s="184"/>
      <c r="M1311" s="184"/>
      <c r="N1311" s="184"/>
      <c r="O1311" s="184"/>
      <c r="P1311" s="184"/>
      <c r="Q1311" s="184"/>
      <c r="R1311" s="184"/>
      <c r="S1311" s="186"/>
      <c r="T1311" s="184">
        <v>0.0</v>
      </c>
    </row>
    <row r="1312">
      <c r="A1312" s="184"/>
      <c r="B1312" s="184"/>
      <c r="C1312" s="184"/>
      <c r="D1312" s="184"/>
      <c r="E1312" s="184"/>
      <c r="F1312" s="184"/>
      <c r="G1312" s="184"/>
      <c r="H1312" s="184"/>
      <c r="I1312" s="184"/>
      <c r="J1312" s="184"/>
      <c r="K1312" s="184"/>
      <c r="L1312" s="184"/>
      <c r="M1312" s="184"/>
      <c r="N1312" s="184"/>
      <c r="O1312" s="184"/>
      <c r="P1312" s="184"/>
      <c r="Q1312" s="184"/>
      <c r="R1312" s="184"/>
      <c r="S1312" s="186"/>
      <c r="T1312" s="184">
        <v>0.0</v>
      </c>
    </row>
    <row r="1313">
      <c r="A1313" s="184"/>
      <c r="B1313" s="184"/>
      <c r="C1313" s="184"/>
      <c r="D1313" s="184"/>
      <c r="E1313" s="184"/>
      <c r="F1313" s="184"/>
      <c r="G1313" s="184"/>
      <c r="H1313" s="184"/>
      <c r="I1313" s="184"/>
      <c r="J1313" s="184"/>
      <c r="K1313" s="184"/>
      <c r="L1313" s="184"/>
      <c r="M1313" s="184"/>
      <c r="N1313" s="184"/>
      <c r="O1313" s="184"/>
      <c r="P1313" s="184"/>
      <c r="Q1313" s="184"/>
      <c r="R1313" s="184"/>
      <c r="S1313" s="186"/>
      <c r="T1313" s="184">
        <v>0.0</v>
      </c>
    </row>
    <row r="1314">
      <c r="A1314" s="184"/>
      <c r="B1314" s="184"/>
      <c r="C1314" s="184"/>
      <c r="D1314" s="184"/>
      <c r="E1314" s="184"/>
      <c r="F1314" s="184"/>
      <c r="G1314" s="184"/>
      <c r="H1314" s="184"/>
      <c r="I1314" s="184"/>
      <c r="J1314" s="184"/>
      <c r="K1314" s="184"/>
      <c r="L1314" s="184"/>
      <c r="M1314" s="184"/>
      <c r="N1314" s="184"/>
      <c r="O1314" s="184"/>
      <c r="P1314" s="184"/>
      <c r="Q1314" s="184"/>
      <c r="R1314" s="184"/>
      <c r="S1314" s="186"/>
      <c r="T1314" s="184">
        <v>0.0</v>
      </c>
    </row>
    <row r="1315">
      <c r="A1315" s="184"/>
      <c r="B1315" s="184"/>
      <c r="C1315" s="184"/>
      <c r="D1315" s="184"/>
      <c r="E1315" s="184"/>
      <c r="F1315" s="184"/>
      <c r="G1315" s="184"/>
      <c r="H1315" s="184"/>
      <c r="I1315" s="184"/>
      <c r="J1315" s="184"/>
      <c r="K1315" s="184"/>
      <c r="L1315" s="184"/>
      <c r="M1315" s="184"/>
      <c r="N1315" s="184"/>
      <c r="O1315" s="184"/>
      <c r="P1315" s="184"/>
      <c r="Q1315" s="184"/>
      <c r="R1315" s="184"/>
      <c r="S1315" s="186"/>
      <c r="T1315" s="184">
        <v>0.0</v>
      </c>
    </row>
    <row r="1316">
      <c r="A1316" s="184"/>
      <c r="B1316" s="184"/>
      <c r="C1316" s="184"/>
      <c r="D1316" s="184"/>
      <c r="E1316" s="184"/>
      <c r="F1316" s="184"/>
      <c r="G1316" s="184"/>
      <c r="H1316" s="184"/>
      <c r="I1316" s="184"/>
      <c r="J1316" s="184"/>
      <c r="K1316" s="184"/>
      <c r="L1316" s="184"/>
      <c r="M1316" s="184"/>
      <c r="N1316" s="184"/>
      <c r="O1316" s="184"/>
      <c r="P1316" s="184"/>
      <c r="Q1316" s="184"/>
      <c r="R1316" s="184"/>
      <c r="S1316" s="186"/>
      <c r="T1316" s="184">
        <v>0.0</v>
      </c>
    </row>
    <row r="1317">
      <c r="A1317" s="184"/>
      <c r="B1317" s="184"/>
      <c r="C1317" s="184"/>
      <c r="D1317" s="184"/>
      <c r="E1317" s="184"/>
      <c r="F1317" s="184"/>
      <c r="G1317" s="184"/>
      <c r="H1317" s="184"/>
      <c r="I1317" s="184"/>
      <c r="J1317" s="184"/>
      <c r="K1317" s="184"/>
      <c r="L1317" s="184"/>
      <c r="M1317" s="184"/>
      <c r="N1317" s="184"/>
      <c r="O1317" s="184"/>
      <c r="P1317" s="184"/>
      <c r="Q1317" s="184"/>
      <c r="R1317" s="184"/>
      <c r="S1317" s="186"/>
      <c r="T1317" s="184">
        <v>0.0</v>
      </c>
    </row>
    <row r="1318">
      <c r="A1318" s="184"/>
      <c r="B1318" s="184"/>
      <c r="C1318" s="184"/>
      <c r="D1318" s="184"/>
      <c r="E1318" s="184"/>
      <c r="F1318" s="184"/>
      <c r="G1318" s="184"/>
      <c r="H1318" s="184"/>
      <c r="I1318" s="184"/>
      <c r="J1318" s="184"/>
      <c r="K1318" s="184"/>
      <c r="L1318" s="184"/>
      <c r="M1318" s="184"/>
      <c r="N1318" s="184"/>
      <c r="O1318" s="184"/>
      <c r="P1318" s="184"/>
      <c r="Q1318" s="184"/>
      <c r="R1318" s="184"/>
      <c r="S1318" s="186"/>
      <c r="T1318" s="184">
        <v>0.0</v>
      </c>
    </row>
    <row r="1319">
      <c r="A1319" s="184"/>
      <c r="B1319" s="184"/>
      <c r="C1319" s="184"/>
      <c r="D1319" s="184"/>
      <c r="E1319" s="184"/>
      <c r="F1319" s="184"/>
      <c r="G1319" s="184"/>
      <c r="H1319" s="184"/>
      <c r="I1319" s="184"/>
      <c r="J1319" s="184"/>
      <c r="K1319" s="184"/>
      <c r="L1319" s="184"/>
      <c r="M1319" s="184"/>
      <c r="N1319" s="184"/>
      <c r="O1319" s="184"/>
      <c r="P1319" s="184"/>
      <c r="Q1319" s="184"/>
      <c r="R1319" s="184"/>
      <c r="S1319" s="186"/>
      <c r="T1319" s="184">
        <v>0.0</v>
      </c>
    </row>
    <row r="1320">
      <c r="A1320" s="184"/>
      <c r="B1320" s="184"/>
      <c r="C1320" s="184"/>
      <c r="D1320" s="184"/>
      <c r="E1320" s="184"/>
      <c r="F1320" s="184"/>
      <c r="G1320" s="184"/>
      <c r="H1320" s="184"/>
      <c r="I1320" s="184"/>
      <c r="J1320" s="184"/>
      <c r="K1320" s="184"/>
      <c r="L1320" s="184"/>
      <c r="M1320" s="184"/>
      <c r="N1320" s="184"/>
      <c r="O1320" s="184"/>
      <c r="P1320" s="184"/>
      <c r="Q1320" s="184"/>
      <c r="R1320" s="184"/>
      <c r="S1320" s="186"/>
      <c r="T1320" s="184">
        <v>0.0</v>
      </c>
    </row>
    <row r="1321">
      <c r="A1321" s="184"/>
      <c r="B1321" s="184"/>
      <c r="C1321" s="184"/>
      <c r="D1321" s="184"/>
      <c r="E1321" s="184"/>
      <c r="F1321" s="184"/>
      <c r="G1321" s="184"/>
      <c r="H1321" s="184"/>
      <c r="I1321" s="184"/>
      <c r="J1321" s="184"/>
      <c r="K1321" s="184"/>
      <c r="L1321" s="184"/>
      <c r="M1321" s="184"/>
      <c r="N1321" s="184"/>
      <c r="O1321" s="184"/>
      <c r="P1321" s="184"/>
      <c r="Q1321" s="184"/>
      <c r="R1321" s="184"/>
      <c r="S1321" s="186"/>
      <c r="T1321" s="184">
        <v>0.0</v>
      </c>
    </row>
    <row r="1322">
      <c r="A1322" s="184"/>
      <c r="B1322" s="184"/>
      <c r="C1322" s="184"/>
      <c r="D1322" s="184"/>
      <c r="E1322" s="184"/>
      <c r="F1322" s="184"/>
      <c r="G1322" s="184"/>
      <c r="H1322" s="184"/>
      <c r="I1322" s="184"/>
      <c r="J1322" s="184"/>
      <c r="K1322" s="184"/>
      <c r="L1322" s="184"/>
      <c r="M1322" s="184"/>
      <c r="N1322" s="184"/>
      <c r="O1322" s="184"/>
      <c r="P1322" s="184"/>
      <c r="Q1322" s="184"/>
      <c r="R1322" s="184"/>
      <c r="S1322" s="186"/>
      <c r="T1322" s="184">
        <v>0.0</v>
      </c>
    </row>
    <row r="1323">
      <c r="A1323" s="184"/>
      <c r="B1323" s="184"/>
      <c r="C1323" s="184"/>
      <c r="D1323" s="184"/>
      <c r="E1323" s="184"/>
      <c r="F1323" s="184"/>
      <c r="G1323" s="184"/>
      <c r="H1323" s="184"/>
      <c r="I1323" s="184"/>
      <c r="J1323" s="184"/>
      <c r="K1323" s="184"/>
      <c r="L1323" s="184"/>
      <c r="M1323" s="184"/>
      <c r="N1323" s="184"/>
      <c r="O1323" s="184"/>
      <c r="P1323" s="184"/>
      <c r="Q1323" s="184"/>
      <c r="R1323" s="184"/>
      <c r="S1323" s="186"/>
      <c r="T1323" s="184">
        <v>0.0</v>
      </c>
    </row>
    <row r="1324">
      <c r="A1324" s="184"/>
      <c r="B1324" s="184"/>
      <c r="C1324" s="184"/>
      <c r="D1324" s="184"/>
      <c r="E1324" s="184"/>
      <c r="F1324" s="184"/>
      <c r="G1324" s="184"/>
      <c r="H1324" s="184"/>
      <c r="I1324" s="184"/>
      <c r="J1324" s="184"/>
      <c r="K1324" s="184"/>
      <c r="L1324" s="184"/>
      <c r="M1324" s="184"/>
      <c r="N1324" s="184"/>
      <c r="O1324" s="184"/>
      <c r="P1324" s="184"/>
      <c r="Q1324" s="184"/>
      <c r="R1324" s="184"/>
      <c r="S1324" s="186"/>
      <c r="T1324" s="184">
        <v>0.0</v>
      </c>
    </row>
    <row r="1325">
      <c r="A1325" s="184"/>
      <c r="B1325" s="184"/>
      <c r="C1325" s="184"/>
      <c r="D1325" s="184"/>
      <c r="E1325" s="184"/>
      <c r="F1325" s="184"/>
      <c r="G1325" s="184"/>
      <c r="H1325" s="184"/>
      <c r="I1325" s="184"/>
      <c r="J1325" s="184"/>
      <c r="K1325" s="184"/>
      <c r="L1325" s="184"/>
      <c r="M1325" s="184"/>
      <c r="N1325" s="184"/>
      <c r="O1325" s="184"/>
      <c r="P1325" s="184"/>
      <c r="Q1325" s="184"/>
      <c r="R1325" s="184"/>
      <c r="S1325" s="186"/>
      <c r="T1325" s="184">
        <v>0.0</v>
      </c>
    </row>
    <row r="1326">
      <c r="A1326" s="184"/>
      <c r="B1326" s="184"/>
      <c r="C1326" s="184"/>
      <c r="D1326" s="184"/>
      <c r="E1326" s="184"/>
      <c r="F1326" s="184"/>
      <c r="G1326" s="184"/>
      <c r="H1326" s="184"/>
      <c r="I1326" s="184"/>
      <c r="J1326" s="184"/>
      <c r="K1326" s="184"/>
      <c r="L1326" s="184"/>
      <c r="M1326" s="184"/>
      <c r="N1326" s="184"/>
      <c r="O1326" s="184"/>
      <c r="P1326" s="184"/>
      <c r="Q1326" s="184"/>
      <c r="R1326" s="184"/>
      <c r="S1326" s="186"/>
      <c r="T1326" s="184">
        <v>0.0</v>
      </c>
    </row>
    <row r="1327">
      <c r="A1327" s="184"/>
      <c r="B1327" s="184"/>
      <c r="C1327" s="184"/>
      <c r="D1327" s="184"/>
      <c r="E1327" s="184"/>
      <c r="F1327" s="184"/>
      <c r="G1327" s="184"/>
      <c r="H1327" s="184"/>
      <c r="I1327" s="184"/>
      <c r="J1327" s="184"/>
      <c r="K1327" s="184"/>
      <c r="L1327" s="184"/>
      <c r="M1327" s="184"/>
      <c r="N1327" s="184"/>
      <c r="O1327" s="184"/>
      <c r="P1327" s="184"/>
      <c r="Q1327" s="184"/>
      <c r="R1327" s="184"/>
      <c r="S1327" s="186"/>
      <c r="T1327" s="184">
        <v>0.0</v>
      </c>
    </row>
    <row r="1328">
      <c r="A1328" s="184"/>
      <c r="B1328" s="184"/>
      <c r="C1328" s="184"/>
      <c r="D1328" s="184"/>
      <c r="E1328" s="184"/>
      <c r="F1328" s="184"/>
      <c r="G1328" s="184"/>
      <c r="H1328" s="184"/>
      <c r="I1328" s="184"/>
      <c r="J1328" s="184"/>
      <c r="K1328" s="184"/>
      <c r="L1328" s="184"/>
      <c r="M1328" s="184"/>
      <c r="N1328" s="184"/>
      <c r="O1328" s="184"/>
      <c r="P1328" s="184"/>
      <c r="Q1328" s="184"/>
      <c r="R1328" s="184"/>
      <c r="S1328" s="186"/>
      <c r="T1328" s="184">
        <v>0.0</v>
      </c>
    </row>
    <row r="1329">
      <c r="A1329" s="184"/>
      <c r="B1329" s="184"/>
      <c r="C1329" s="184"/>
      <c r="D1329" s="184"/>
      <c r="E1329" s="184"/>
      <c r="F1329" s="184"/>
      <c r="G1329" s="184"/>
      <c r="H1329" s="184"/>
      <c r="I1329" s="184"/>
      <c r="J1329" s="184"/>
      <c r="K1329" s="184"/>
      <c r="L1329" s="184"/>
      <c r="M1329" s="184"/>
      <c r="N1329" s="184"/>
      <c r="O1329" s="184"/>
      <c r="P1329" s="184"/>
      <c r="Q1329" s="184"/>
      <c r="R1329" s="184"/>
      <c r="S1329" s="186"/>
      <c r="T1329" s="184">
        <v>0.0</v>
      </c>
    </row>
    <row r="1330">
      <c r="A1330" s="184"/>
      <c r="B1330" s="184"/>
      <c r="C1330" s="184"/>
      <c r="D1330" s="184"/>
      <c r="E1330" s="184"/>
      <c r="F1330" s="184"/>
      <c r="G1330" s="184"/>
      <c r="H1330" s="184"/>
      <c r="I1330" s="184"/>
      <c r="J1330" s="184"/>
      <c r="K1330" s="184"/>
      <c r="L1330" s="184"/>
      <c r="M1330" s="184"/>
      <c r="N1330" s="184"/>
      <c r="O1330" s="184"/>
      <c r="P1330" s="184"/>
      <c r="Q1330" s="184"/>
      <c r="R1330" s="184"/>
      <c r="S1330" s="186"/>
      <c r="T1330" s="184">
        <v>0.0</v>
      </c>
    </row>
    <row r="1331">
      <c r="A1331" s="184"/>
      <c r="B1331" s="184"/>
      <c r="C1331" s="184"/>
      <c r="D1331" s="184"/>
      <c r="E1331" s="184"/>
      <c r="F1331" s="184"/>
      <c r="G1331" s="184"/>
      <c r="H1331" s="184"/>
      <c r="I1331" s="184"/>
      <c r="J1331" s="184"/>
      <c r="K1331" s="184"/>
      <c r="L1331" s="184"/>
      <c r="M1331" s="184"/>
      <c r="N1331" s="184"/>
      <c r="O1331" s="184"/>
      <c r="P1331" s="184"/>
      <c r="Q1331" s="184"/>
      <c r="R1331" s="184"/>
      <c r="S1331" s="186"/>
      <c r="T1331" s="184">
        <v>0.0</v>
      </c>
    </row>
    <row r="1332">
      <c r="A1332" s="184"/>
      <c r="B1332" s="184"/>
      <c r="C1332" s="184"/>
      <c r="D1332" s="184"/>
      <c r="E1332" s="184"/>
      <c r="F1332" s="184"/>
      <c r="G1332" s="184"/>
      <c r="H1332" s="184"/>
      <c r="I1332" s="184"/>
      <c r="J1332" s="184"/>
      <c r="K1332" s="184"/>
      <c r="L1332" s="184"/>
      <c r="M1332" s="184"/>
      <c r="N1332" s="184"/>
      <c r="O1332" s="184"/>
      <c r="P1332" s="184"/>
      <c r="Q1332" s="184"/>
      <c r="R1332" s="184"/>
      <c r="S1332" s="186"/>
      <c r="T1332" s="184">
        <v>0.0</v>
      </c>
    </row>
    <row r="1333">
      <c r="A1333" s="184"/>
      <c r="B1333" s="184"/>
      <c r="C1333" s="184"/>
      <c r="D1333" s="184"/>
      <c r="E1333" s="184"/>
      <c r="F1333" s="184"/>
      <c r="G1333" s="184"/>
      <c r="H1333" s="184"/>
      <c r="I1333" s="184"/>
      <c r="J1333" s="184"/>
      <c r="K1333" s="184"/>
      <c r="L1333" s="184"/>
      <c r="M1333" s="184"/>
      <c r="N1333" s="184"/>
      <c r="O1333" s="184"/>
      <c r="P1333" s="184"/>
      <c r="Q1333" s="184"/>
      <c r="R1333" s="184"/>
      <c r="S1333" s="186"/>
      <c r="T1333" s="184">
        <v>0.0</v>
      </c>
    </row>
    <row r="1334">
      <c r="A1334" s="184"/>
      <c r="B1334" s="184"/>
      <c r="C1334" s="184"/>
      <c r="D1334" s="184"/>
      <c r="E1334" s="184"/>
      <c r="F1334" s="184"/>
      <c r="G1334" s="184"/>
      <c r="H1334" s="184"/>
      <c r="I1334" s="184"/>
      <c r="J1334" s="184"/>
      <c r="K1334" s="184"/>
      <c r="L1334" s="184"/>
      <c r="M1334" s="184"/>
      <c r="N1334" s="184"/>
      <c r="O1334" s="184"/>
      <c r="P1334" s="184"/>
      <c r="Q1334" s="184"/>
      <c r="R1334" s="184"/>
      <c r="S1334" s="186"/>
      <c r="T1334" s="184">
        <v>0.0</v>
      </c>
    </row>
    <row r="1335">
      <c r="A1335" s="184"/>
      <c r="B1335" s="184"/>
      <c r="C1335" s="184"/>
      <c r="D1335" s="184"/>
      <c r="E1335" s="184"/>
      <c r="F1335" s="184"/>
      <c r="G1335" s="184"/>
      <c r="H1335" s="184"/>
      <c r="I1335" s="184"/>
      <c r="J1335" s="184"/>
      <c r="K1335" s="184"/>
      <c r="L1335" s="184"/>
      <c r="M1335" s="184"/>
      <c r="N1335" s="184"/>
      <c r="O1335" s="184"/>
      <c r="P1335" s="184"/>
      <c r="Q1335" s="184"/>
      <c r="R1335" s="184"/>
      <c r="S1335" s="186"/>
      <c r="T1335" s="184">
        <v>0.0</v>
      </c>
    </row>
    <row r="1336">
      <c r="A1336" s="184"/>
      <c r="B1336" s="184"/>
      <c r="C1336" s="184"/>
      <c r="D1336" s="184"/>
      <c r="E1336" s="184"/>
      <c r="F1336" s="184"/>
      <c r="G1336" s="184"/>
      <c r="H1336" s="184"/>
      <c r="I1336" s="184"/>
      <c r="J1336" s="184"/>
      <c r="K1336" s="184"/>
      <c r="L1336" s="184"/>
      <c r="M1336" s="184"/>
      <c r="N1336" s="184"/>
      <c r="O1336" s="184"/>
      <c r="P1336" s="184"/>
      <c r="Q1336" s="184"/>
      <c r="R1336" s="184"/>
      <c r="S1336" s="186"/>
      <c r="T1336" s="184">
        <v>0.0</v>
      </c>
    </row>
    <row r="1337">
      <c r="A1337" s="184"/>
      <c r="B1337" s="184"/>
      <c r="C1337" s="184"/>
      <c r="D1337" s="184"/>
      <c r="E1337" s="184"/>
      <c r="F1337" s="184"/>
      <c r="G1337" s="184"/>
      <c r="H1337" s="184"/>
      <c r="I1337" s="184"/>
      <c r="J1337" s="184"/>
      <c r="K1337" s="184"/>
      <c r="L1337" s="184"/>
      <c r="M1337" s="184"/>
      <c r="N1337" s="184"/>
      <c r="O1337" s="184"/>
      <c r="P1337" s="184"/>
      <c r="Q1337" s="184"/>
      <c r="R1337" s="184"/>
      <c r="S1337" s="186"/>
      <c r="T1337" s="184">
        <v>0.0</v>
      </c>
    </row>
    <row r="1338">
      <c r="A1338" s="184"/>
      <c r="B1338" s="184"/>
      <c r="C1338" s="184"/>
      <c r="D1338" s="184"/>
      <c r="E1338" s="184"/>
      <c r="F1338" s="184"/>
      <c r="G1338" s="184"/>
      <c r="H1338" s="184"/>
      <c r="I1338" s="184"/>
      <c r="J1338" s="184"/>
      <c r="K1338" s="184"/>
      <c r="L1338" s="184"/>
      <c r="M1338" s="184"/>
      <c r="N1338" s="184"/>
      <c r="O1338" s="184"/>
      <c r="P1338" s="184"/>
      <c r="Q1338" s="184"/>
      <c r="R1338" s="184"/>
      <c r="S1338" s="186"/>
      <c r="T1338" s="184">
        <v>0.0</v>
      </c>
    </row>
    <row r="1339">
      <c r="A1339" s="184"/>
      <c r="B1339" s="184"/>
      <c r="C1339" s="184"/>
      <c r="D1339" s="184"/>
      <c r="E1339" s="184"/>
      <c r="F1339" s="184"/>
      <c r="G1339" s="184"/>
      <c r="H1339" s="184"/>
      <c r="I1339" s="184"/>
      <c r="J1339" s="184"/>
      <c r="K1339" s="184"/>
      <c r="L1339" s="184"/>
      <c r="M1339" s="184"/>
      <c r="N1339" s="184"/>
      <c r="O1339" s="184"/>
      <c r="P1339" s="184"/>
      <c r="Q1339" s="184"/>
      <c r="R1339" s="184"/>
      <c r="S1339" s="186"/>
      <c r="T1339" s="184">
        <v>0.0</v>
      </c>
    </row>
    <row r="1340">
      <c r="A1340" s="184"/>
      <c r="B1340" s="184"/>
      <c r="C1340" s="184"/>
      <c r="D1340" s="184"/>
      <c r="E1340" s="184"/>
      <c r="F1340" s="184"/>
      <c r="G1340" s="184"/>
      <c r="H1340" s="184"/>
      <c r="I1340" s="184"/>
      <c r="J1340" s="184"/>
      <c r="K1340" s="184"/>
      <c r="L1340" s="184"/>
      <c r="M1340" s="184"/>
      <c r="N1340" s="184"/>
      <c r="O1340" s="184"/>
      <c r="P1340" s="184"/>
      <c r="Q1340" s="184"/>
      <c r="R1340" s="184"/>
      <c r="S1340" s="186"/>
      <c r="T1340" s="184">
        <v>0.0</v>
      </c>
    </row>
    <row r="1341">
      <c r="A1341" s="184"/>
      <c r="B1341" s="184"/>
      <c r="C1341" s="184"/>
      <c r="D1341" s="184"/>
      <c r="E1341" s="184"/>
      <c r="F1341" s="184"/>
      <c r="G1341" s="184"/>
      <c r="H1341" s="184"/>
      <c r="I1341" s="184"/>
      <c r="J1341" s="184"/>
      <c r="K1341" s="184"/>
      <c r="L1341" s="184"/>
      <c r="M1341" s="184"/>
      <c r="N1341" s="184"/>
      <c r="O1341" s="184"/>
      <c r="P1341" s="184"/>
      <c r="Q1341" s="184"/>
      <c r="R1341" s="184"/>
      <c r="S1341" s="186"/>
      <c r="T1341" s="184">
        <v>0.0</v>
      </c>
    </row>
    <row r="1342">
      <c r="A1342" s="184"/>
      <c r="B1342" s="184"/>
      <c r="C1342" s="184"/>
      <c r="D1342" s="184"/>
      <c r="E1342" s="184"/>
      <c r="F1342" s="184"/>
      <c r="G1342" s="184"/>
      <c r="H1342" s="184"/>
      <c r="I1342" s="184"/>
      <c r="J1342" s="184"/>
      <c r="K1342" s="184"/>
      <c r="L1342" s="184"/>
      <c r="M1342" s="184"/>
      <c r="N1342" s="184"/>
      <c r="O1342" s="184"/>
      <c r="P1342" s="184"/>
      <c r="Q1342" s="184"/>
      <c r="R1342" s="184"/>
      <c r="S1342" s="186"/>
      <c r="T1342" s="184">
        <v>0.0</v>
      </c>
    </row>
    <row r="1343">
      <c r="A1343" s="184"/>
      <c r="B1343" s="184"/>
      <c r="C1343" s="184"/>
      <c r="D1343" s="184"/>
      <c r="E1343" s="184"/>
      <c r="F1343" s="184"/>
      <c r="G1343" s="184"/>
      <c r="H1343" s="184"/>
      <c r="I1343" s="184"/>
      <c r="J1343" s="184"/>
      <c r="K1343" s="184"/>
      <c r="L1343" s="184"/>
      <c r="M1343" s="184"/>
      <c r="N1343" s="184"/>
      <c r="O1343" s="184"/>
      <c r="P1343" s="184"/>
      <c r="Q1343" s="184"/>
      <c r="R1343" s="184"/>
      <c r="S1343" s="186"/>
      <c r="T1343" s="184">
        <v>0.0</v>
      </c>
    </row>
    <row r="1344">
      <c r="A1344" s="184"/>
      <c r="B1344" s="184"/>
      <c r="C1344" s="184"/>
      <c r="D1344" s="184"/>
      <c r="E1344" s="184"/>
      <c r="F1344" s="184"/>
      <c r="G1344" s="184"/>
      <c r="H1344" s="184"/>
      <c r="I1344" s="184"/>
      <c r="J1344" s="184"/>
      <c r="K1344" s="184"/>
      <c r="L1344" s="184"/>
      <c r="M1344" s="184"/>
      <c r="N1344" s="184"/>
      <c r="O1344" s="184"/>
      <c r="P1344" s="184"/>
      <c r="Q1344" s="184"/>
      <c r="R1344" s="184"/>
      <c r="S1344" s="186"/>
      <c r="T1344" s="184">
        <v>0.0</v>
      </c>
    </row>
    <row r="1345">
      <c r="A1345" s="184"/>
      <c r="B1345" s="184"/>
      <c r="C1345" s="184"/>
      <c r="D1345" s="184"/>
      <c r="E1345" s="184"/>
      <c r="F1345" s="184"/>
      <c r="G1345" s="184"/>
      <c r="H1345" s="184"/>
      <c r="I1345" s="184"/>
      <c r="J1345" s="184"/>
      <c r="K1345" s="184"/>
      <c r="L1345" s="184"/>
      <c r="M1345" s="184"/>
      <c r="N1345" s="184"/>
      <c r="O1345" s="184"/>
      <c r="P1345" s="184"/>
      <c r="Q1345" s="184"/>
      <c r="R1345" s="184"/>
      <c r="S1345" s="186"/>
      <c r="T1345" s="184">
        <v>0.0</v>
      </c>
    </row>
    <row r="1346">
      <c r="A1346" s="184"/>
      <c r="B1346" s="184"/>
      <c r="C1346" s="184"/>
      <c r="D1346" s="184"/>
      <c r="E1346" s="184"/>
      <c r="F1346" s="184"/>
      <c r="G1346" s="184"/>
      <c r="H1346" s="184"/>
      <c r="I1346" s="184"/>
      <c r="J1346" s="184"/>
      <c r="K1346" s="184"/>
      <c r="L1346" s="184"/>
      <c r="M1346" s="184"/>
      <c r="N1346" s="184"/>
      <c r="O1346" s="184"/>
      <c r="P1346" s="184"/>
      <c r="Q1346" s="184"/>
      <c r="R1346" s="184"/>
      <c r="S1346" s="186"/>
      <c r="T1346" s="184">
        <v>0.0</v>
      </c>
    </row>
    <row r="1347">
      <c r="A1347" s="184"/>
      <c r="B1347" s="184"/>
      <c r="C1347" s="184"/>
      <c r="D1347" s="184"/>
      <c r="E1347" s="184"/>
      <c r="F1347" s="184"/>
      <c r="G1347" s="184"/>
      <c r="H1347" s="184"/>
      <c r="I1347" s="184"/>
      <c r="J1347" s="184"/>
      <c r="K1347" s="184"/>
      <c r="L1347" s="184"/>
      <c r="M1347" s="184"/>
      <c r="N1347" s="184"/>
      <c r="O1347" s="184"/>
      <c r="P1347" s="184"/>
      <c r="Q1347" s="184"/>
      <c r="R1347" s="184"/>
      <c r="S1347" s="186"/>
      <c r="T1347" s="184">
        <v>0.0</v>
      </c>
    </row>
    <row r="1348">
      <c r="A1348" s="184"/>
      <c r="B1348" s="184"/>
      <c r="C1348" s="184"/>
      <c r="D1348" s="184"/>
      <c r="E1348" s="184"/>
      <c r="F1348" s="184"/>
      <c r="G1348" s="184"/>
      <c r="H1348" s="184"/>
      <c r="I1348" s="184"/>
      <c r="J1348" s="184"/>
      <c r="K1348" s="184"/>
      <c r="L1348" s="184"/>
      <c r="M1348" s="184"/>
      <c r="N1348" s="184"/>
      <c r="O1348" s="184"/>
      <c r="P1348" s="184"/>
      <c r="Q1348" s="184"/>
      <c r="R1348" s="184"/>
      <c r="S1348" s="186"/>
      <c r="T1348" s="184">
        <v>0.0</v>
      </c>
    </row>
    <row r="1349">
      <c r="A1349" s="184"/>
      <c r="B1349" s="184"/>
      <c r="C1349" s="184"/>
      <c r="D1349" s="184"/>
      <c r="E1349" s="184"/>
      <c r="F1349" s="184"/>
      <c r="G1349" s="184"/>
      <c r="H1349" s="184"/>
      <c r="I1349" s="184"/>
      <c r="J1349" s="184"/>
      <c r="K1349" s="184"/>
      <c r="L1349" s="184"/>
      <c r="M1349" s="184"/>
      <c r="N1349" s="184"/>
      <c r="O1349" s="184"/>
      <c r="P1349" s="184"/>
      <c r="Q1349" s="184"/>
      <c r="R1349" s="184"/>
      <c r="S1349" s="186"/>
      <c r="T1349" s="184">
        <v>0.0</v>
      </c>
    </row>
    <row r="1350">
      <c r="A1350" s="184"/>
      <c r="B1350" s="184"/>
      <c r="C1350" s="184"/>
      <c r="D1350" s="184"/>
      <c r="E1350" s="184"/>
      <c r="F1350" s="184"/>
      <c r="G1350" s="184"/>
      <c r="H1350" s="184"/>
      <c r="I1350" s="184"/>
      <c r="J1350" s="184"/>
      <c r="K1350" s="184"/>
      <c r="L1350" s="184"/>
      <c r="M1350" s="184"/>
      <c r="N1350" s="184"/>
      <c r="O1350" s="184"/>
      <c r="P1350" s="184"/>
      <c r="Q1350" s="184"/>
      <c r="R1350" s="184"/>
      <c r="S1350" s="186"/>
      <c r="T1350" s="184">
        <v>0.0</v>
      </c>
    </row>
    <row r="1351">
      <c r="A1351" s="184"/>
      <c r="B1351" s="184"/>
      <c r="C1351" s="184"/>
      <c r="D1351" s="184"/>
      <c r="E1351" s="184"/>
      <c r="F1351" s="184"/>
      <c r="G1351" s="184"/>
      <c r="H1351" s="184"/>
      <c r="I1351" s="184"/>
      <c r="J1351" s="184"/>
      <c r="K1351" s="184"/>
      <c r="L1351" s="184"/>
      <c r="M1351" s="184"/>
      <c r="N1351" s="184"/>
      <c r="O1351" s="184"/>
      <c r="P1351" s="184"/>
      <c r="Q1351" s="184"/>
      <c r="R1351" s="184"/>
      <c r="S1351" s="186"/>
      <c r="T1351" s="184">
        <v>0.0</v>
      </c>
    </row>
    <row r="1352">
      <c r="A1352" s="184"/>
      <c r="B1352" s="184"/>
      <c r="C1352" s="184"/>
      <c r="D1352" s="184"/>
      <c r="E1352" s="184"/>
      <c r="F1352" s="184"/>
      <c r="G1352" s="184"/>
      <c r="H1352" s="184"/>
      <c r="I1352" s="184"/>
      <c r="J1352" s="184"/>
      <c r="K1352" s="184"/>
      <c r="L1352" s="184"/>
      <c r="M1352" s="184"/>
      <c r="N1352" s="184"/>
      <c r="O1352" s="184"/>
      <c r="P1352" s="184"/>
      <c r="Q1352" s="184"/>
      <c r="R1352" s="184"/>
      <c r="S1352" s="186"/>
      <c r="T1352" s="184">
        <v>0.0</v>
      </c>
    </row>
    <row r="1353">
      <c r="A1353" s="184"/>
      <c r="B1353" s="184"/>
      <c r="C1353" s="184"/>
      <c r="D1353" s="184"/>
      <c r="E1353" s="184"/>
      <c r="F1353" s="184"/>
      <c r="G1353" s="184"/>
      <c r="H1353" s="184"/>
      <c r="I1353" s="184"/>
      <c r="J1353" s="184"/>
      <c r="K1353" s="184"/>
      <c r="L1353" s="184"/>
      <c r="M1353" s="184"/>
      <c r="N1353" s="184"/>
      <c r="O1353" s="184"/>
      <c r="P1353" s="184"/>
      <c r="Q1353" s="184"/>
      <c r="R1353" s="184"/>
      <c r="S1353" s="186"/>
      <c r="T1353" s="184">
        <v>0.0</v>
      </c>
    </row>
    <row r="1354">
      <c r="A1354" s="184"/>
      <c r="B1354" s="184"/>
      <c r="C1354" s="184"/>
      <c r="D1354" s="184"/>
      <c r="E1354" s="184"/>
      <c r="F1354" s="184"/>
      <c r="G1354" s="184"/>
      <c r="H1354" s="184"/>
      <c r="I1354" s="184"/>
      <c r="J1354" s="184"/>
      <c r="K1354" s="184"/>
      <c r="L1354" s="184"/>
      <c r="M1354" s="184"/>
      <c r="N1354" s="184"/>
      <c r="O1354" s="184"/>
      <c r="P1354" s="184"/>
      <c r="Q1354" s="184"/>
      <c r="R1354" s="184"/>
      <c r="S1354" s="186"/>
      <c r="T1354" s="184">
        <v>0.0</v>
      </c>
    </row>
    <row r="1355">
      <c r="A1355" s="184"/>
      <c r="B1355" s="184"/>
      <c r="C1355" s="184"/>
      <c r="D1355" s="184"/>
      <c r="E1355" s="184"/>
      <c r="F1355" s="184"/>
      <c r="G1355" s="184"/>
      <c r="H1355" s="184"/>
      <c r="I1355" s="184"/>
      <c r="J1355" s="184"/>
      <c r="K1355" s="184"/>
      <c r="L1355" s="184"/>
      <c r="M1355" s="184"/>
      <c r="N1355" s="184"/>
      <c r="O1355" s="184"/>
      <c r="P1355" s="184"/>
      <c r="Q1355" s="184"/>
      <c r="R1355" s="184"/>
      <c r="S1355" s="186"/>
      <c r="T1355" s="184">
        <v>0.0</v>
      </c>
    </row>
    <row r="1356">
      <c r="A1356" s="184"/>
      <c r="B1356" s="184"/>
      <c r="C1356" s="184"/>
      <c r="D1356" s="184"/>
      <c r="E1356" s="184"/>
      <c r="F1356" s="184"/>
      <c r="G1356" s="184"/>
      <c r="H1356" s="184"/>
      <c r="I1356" s="184"/>
      <c r="J1356" s="184"/>
      <c r="K1356" s="184"/>
      <c r="L1356" s="184"/>
      <c r="M1356" s="184"/>
      <c r="N1356" s="184"/>
      <c r="O1356" s="184"/>
      <c r="P1356" s="184"/>
      <c r="Q1356" s="184"/>
      <c r="R1356" s="184"/>
      <c r="S1356" s="186"/>
      <c r="T1356" s="184">
        <v>0.0</v>
      </c>
    </row>
    <row r="1357">
      <c r="A1357" s="184"/>
      <c r="B1357" s="184"/>
      <c r="C1357" s="184"/>
      <c r="D1357" s="184"/>
      <c r="E1357" s="184"/>
      <c r="F1357" s="184"/>
      <c r="G1357" s="184"/>
      <c r="H1357" s="184"/>
      <c r="I1357" s="184"/>
      <c r="J1357" s="184"/>
      <c r="K1357" s="184"/>
      <c r="L1357" s="184"/>
      <c r="M1357" s="184"/>
      <c r="N1357" s="184"/>
      <c r="O1357" s="184"/>
      <c r="P1357" s="184"/>
      <c r="Q1357" s="184"/>
      <c r="R1357" s="184"/>
      <c r="S1357" s="186"/>
      <c r="T1357" s="184">
        <v>0.0</v>
      </c>
    </row>
    <row r="1358">
      <c r="A1358" s="184"/>
      <c r="B1358" s="184"/>
      <c r="C1358" s="184"/>
      <c r="D1358" s="184"/>
      <c r="E1358" s="184"/>
      <c r="F1358" s="184"/>
      <c r="G1358" s="184"/>
      <c r="H1358" s="184"/>
      <c r="I1358" s="184"/>
      <c r="J1358" s="184"/>
      <c r="K1358" s="184"/>
      <c r="L1358" s="184"/>
      <c r="M1358" s="184"/>
      <c r="N1358" s="184"/>
      <c r="O1358" s="184"/>
      <c r="P1358" s="184"/>
      <c r="Q1358" s="184"/>
      <c r="R1358" s="184"/>
      <c r="S1358" s="186"/>
      <c r="T1358" s="184">
        <v>0.0</v>
      </c>
    </row>
    <row r="1359">
      <c r="A1359" s="184"/>
      <c r="B1359" s="184"/>
      <c r="C1359" s="184"/>
      <c r="D1359" s="184"/>
      <c r="E1359" s="184"/>
      <c r="F1359" s="184"/>
      <c r="G1359" s="184"/>
      <c r="H1359" s="184"/>
      <c r="I1359" s="184"/>
      <c r="J1359" s="184"/>
      <c r="K1359" s="184"/>
      <c r="L1359" s="184"/>
      <c r="M1359" s="184"/>
      <c r="N1359" s="184"/>
      <c r="O1359" s="184"/>
      <c r="P1359" s="184"/>
      <c r="Q1359" s="184"/>
      <c r="R1359" s="184"/>
      <c r="S1359" s="186"/>
      <c r="T1359" s="184">
        <v>0.0</v>
      </c>
    </row>
    <row r="1360">
      <c r="A1360" s="184"/>
      <c r="B1360" s="184"/>
      <c r="C1360" s="184"/>
      <c r="D1360" s="184"/>
      <c r="E1360" s="184"/>
      <c r="F1360" s="184"/>
      <c r="G1360" s="184"/>
      <c r="H1360" s="184"/>
      <c r="I1360" s="184"/>
      <c r="J1360" s="184"/>
      <c r="K1360" s="184"/>
      <c r="L1360" s="184"/>
      <c r="M1360" s="184"/>
      <c r="N1360" s="184"/>
      <c r="O1360" s="184"/>
      <c r="P1360" s="184"/>
      <c r="Q1360" s="184"/>
      <c r="R1360" s="184"/>
      <c r="S1360" s="186"/>
      <c r="T1360" s="184">
        <v>0.0</v>
      </c>
    </row>
    <row r="1361">
      <c r="A1361" s="184"/>
      <c r="B1361" s="184"/>
      <c r="C1361" s="184"/>
      <c r="D1361" s="184"/>
      <c r="E1361" s="184"/>
      <c r="F1361" s="184"/>
      <c r="G1361" s="184"/>
      <c r="H1361" s="184"/>
      <c r="I1361" s="184"/>
      <c r="J1361" s="184"/>
      <c r="K1361" s="184"/>
      <c r="L1361" s="184"/>
      <c r="M1361" s="184"/>
      <c r="N1361" s="184"/>
      <c r="O1361" s="184"/>
      <c r="P1361" s="184"/>
      <c r="Q1361" s="184"/>
      <c r="R1361" s="184"/>
      <c r="S1361" s="186"/>
      <c r="T1361" s="184">
        <v>0.0</v>
      </c>
    </row>
    <row r="1362">
      <c r="A1362" s="184"/>
      <c r="B1362" s="184"/>
      <c r="C1362" s="184"/>
      <c r="D1362" s="184"/>
      <c r="E1362" s="184"/>
      <c r="F1362" s="184"/>
      <c r="G1362" s="184"/>
      <c r="H1362" s="184"/>
      <c r="I1362" s="184"/>
      <c r="J1362" s="184"/>
      <c r="K1362" s="184"/>
      <c r="L1362" s="184"/>
      <c r="M1362" s="184"/>
      <c r="N1362" s="184"/>
      <c r="O1362" s="184"/>
      <c r="P1362" s="184"/>
      <c r="Q1362" s="184"/>
      <c r="R1362" s="184"/>
      <c r="S1362" s="186"/>
      <c r="T1362" s="184">
        <v>0.0</v>
      </c>
    </row>
    <row r="1363">
      <c r="A1363" s="184"/>
      <c r="B1363" s="184"/>
      <c r="C1363" s="184"/>
      <c r="D1363" s="184"/>
      <c r="E1363" s="184"/>
      <c r="F1363" s="184"/>
      <c r="G1363" s="184"/>
      <c r="H1363" s="184"/>
      <c r="I1363" s="184"/>
      <c r="J1363" s="184"/>
      <c r="K1363" s="184"/>
      <c r="L1363" s="184"/>
      <c r="M1363" s="184"/>
      <c r="N1363" s="184"/>
      <c r="O1363" s="184"/>
      <c r="P1363" s="184"/>
      <c r="Q1363" s="184"/>
      <c r="R1363" s="184"/>
      <c r="S1363" s="186"/>
      <c r="T1363" s="184">
        <v>0.0</v>
      </c>
    </row>
    <row r="1364">
      <c r="A1364" s="184"/>
      <c r="B1364" s="184"/>
      <c r="C1364" s="184"/>
      <c r="D1364" s="184"/>
      <c r="E1364" s="184"/>
      <c r="F1364" s="184"/>
      <c r="G1364" s="184"/>
      <c r="H1364" s="184"/>
      <c r="I1364" s="184"/>
      <c r="J1364" s="184"/>
      <c r="K1364" s="184"/>
      <c r="L1364" s="184"/>
      <c r="M1364" s="184"/>
      <c r="N1364" s="184"/>
      <c r="O1364" s="184"/>
      <c r="P1364" s="184"/>
      <c r="Q1364" s="184"/>
      <c r="R1364" s="184"/>
      <c r="S1364" s="186"/>
      <c r="T1364" s="184">
        <v>0.0</v>
      </c>
    </row>
    <row r="1365">
      <c r="A1365" s="184"/>
      <c r="B1365" s="184"/>
      <c r="C1365" s="184"/>
      <c r="D1365" s="184"/>
      <c r="E1365" s="184"/>
      <c r="F1365" s="184"/>
      <c r="G1365" s="184"/>
      <c r="H1365" s="184"/>
      <c r="I1365" s="184"/>
      <c r="J1365" s="184"/>
      <c r="K1365" s="184"/>
      <c r="L1365" s="184"/>
      <c r="M1365" s="184"/>
      <c r="N1365" s="184"/>
      <c r="O1365" s="184"/>
      <c r="P1365" s="184"/>
      <c r="Q1365" s="184"/>
      <c r="R1365" s="184"/>
      <c r="S1365" s="186"/>
      <c r="T1365" s="184">
        <v>0.0</v>
      </c>
    </row>
    <row r="1366">
      <c r="A1366" s="184"/>
      <c r="B1366" s="184"/>
      <c r="C1366" s="184"/>
      <c r="D1366" s="184"/>
      <c r="E1366" s="184"/>
      <c r="F1366" s="184"/>
      <c r="G1366" s="184"/>
      <c r="H1366" s="184"/>
      <c r="I1366" s="184"/>
      <c r="J1366" s="184"/>
      <c r="K1366" s="184"/>
      <c r="L1366" s="184"/>
      <c r="M1366" s="184"/>
      <c r="N1366" s="184"/>
      <c r="O1366" s="184"/>
      <c r="P1366" s="184"/>
      <c r="Q1366" s="184"/>
      <c r="R1366" s="184"/>
      <c r="S1366" s="186"/>
      <c r="T1366" s="184">
        <v>0.0</v>
      </c>
    </row>
    <row r="1367">
      <c r="A1367" s="184"/>
      <c r="B1367" s="184"/>
      <c r="C1367" s="184"/>
      <c r="D1367" s="184"/>
      <c r="E1367" s="184"/>
      <c r="F1367" s="184"/>
      <c r="G1367" s="184"/>
      <c r="H1367" s="184"/>
      <c r="I1367" s="184"/>
      <c r="J1367" s="184"/>
      <c r="K1367" s="184"/>
      <c r="L1367" s="184"/>
      <c r="M1367" s="184"/>
      <c r="N1367" s="184"/>
      <c r="O1367" s="184"/>
      <c r="P1367" s="184"/>
      <c r="Q1367" s="184"/>
      <c r="R1367" s="184"/>
      <c r="S1367" s="186"/>
      <c r="T1367" s="184">
        <v>0.0</v>
      </c>
    </row>
    <row r="1368">
      <c r="A1368" s="184"/>
      <c r="B1368" s="184"/>
      <c r="C1368" s="184"/>
      <c r="D1368" s="184"/>
      <c r="E1368" s="184"/>
      <c r="F1368" s="184"/>
      <c r="G1368" s="184"/>
      <c r="H1368" s="184"/>
      <c r="I1368" s="184"/>
      <c r="J1368" s="184"/>
      <c r="K1368" s="184"/>
      <c r="L1368" s="184"/>
      <c r="M1368" s="184"/>
      <c r="N1368" s="184"/>
      <c r="O1368" s="184"/>
      <c r="P1368" s="184"/>
      <c r="Q1368" s="184"/>
      <c r="R1368" s="184"/>
      <c r="S1368" s="186"/>
      <c r="T1368" s="184">
        <v>0.0</v>
      </c>
    </row>
    <row r="1369">
      <c r="A1369" s="184"/>
      <c r="B1369" s="184"/>
      <c r="C1369" s="184"/>
      <c r="D1369" s="184"/>
      <c r="E1369" s="184"/>
      <c r="F1369" s="184"/>
      <c r="G1369" s="184"/>
      <c r="H1369" s="184"/>
      <c r="I1369" s="184"/>
      <c r="J1369" s="184"/>
      <c r="K1369" s="184"/>
      <c r="L1369" s="184"/>
      <c r="M1369" s="184"/>
      <c r="N1369" s="184"/>
      <c r="O1369" s="184"/>
      <c r="P1369" s="184"/>
      <c r="Q1369" s="184"/>
      <c r="R1369" s="184"/>
      <c r="S1369" s="186"/>
      <c r="T1369" s="184">
        <v>0.0</v>
      </c>
    </row>
    <row r="1370">
      <c r="A1370" s="184"/>
      <c r="B1370" s="184"/>
      <c r="C1370" s="184"/>
      <c r="D1370" s="184"/>
      <c r="E1370" s="184"/>
      <c r="F1370" s="184"/>
      <c r="G1370" s="184"/>
      <c r="H1370" s="184"/>
      <c r="I1370" s="184"/>
      <c r="J1370" s="184"/>
      <c r="K1370" s="184"/>
      <c r="L1370" s="184"/>
      <c r="M1370" s="184"/>
      <c r="N1370" s="184"/>
      <c r="O1370" s="184"/>
      <c r="P1370" s="184"/>
      <c r="Q1370" s="184"/>
      <c r="R1370" s="184"/>
      <c r="S1370" s="186"/>
      <c r="T1370" s="184">
        <v>0.0</v>
      </c>
    </row>
    <row r="1371">
      <c r="A1371" s="184"/>
      <c r="B1371" s="184"/>
      <c r="C1371" s="184"/>
      <c r="D1371" s="184"/>
      <c r="E1371" s="184"/>
      <c r="F1371" s="184"/>
      <c r="G1371" s="184"/>
      <c r="H1371" s="184"/>
      <c r="I1371" s="184"/>
      <c r="J1371" s="184"/>
      <c r="K1371" s="184"/>
      <c r="L1371" s="184"/>
      <c r="M1371" s="184"/>
      <c r="N1371" s="184"/>
      <c r="O1371" s="184"/>
      <c r="P1371" s="184"/>
      <c r="Q1371" s="184"/>
      <c r="R1371" s="184"/>
      <c r="S1371" s="186"/>
      <c r="T1371" s="184">
        <v>0.0</v>
      </c>
    </row>
    <row r="1372">
      <c r="A1372" s="184"/>
      <c r="B1372" s="184"/>
      <c r="C1372" s="184"/>
      <c r="D1372" s="184"/>
      <c r="E1372" s="184"/>
      <c r="F1372" s="184"/>
      <c r="G1372" s="184"/>
      <c r="H1372" s="184"/>
      <c r="I1372" s="184"/>
      <c r="J1372" s="184"/>
      <c r="K1372" s="184"/>
      <c r="L1372" s="184"/>
      <c r="M1372" s="184"/>
      <c r="N1372" s="184"/>
      <c r="O1372" s="184"/>
      <c r="P1372" s="184"/>
      <c r="Q1372" s="184"/>
      <c r="R1372" s="184"/>
      <c r="S1372" s="186"/>
      <c r="T1372" s="184">
        <v>0.0</v>
      </c>
    </row>
    <row r="1373">
      <c r="A1373" s="184"/>
      <c r="B1373" s="184"/>
      <c r="C1373" s="184"/>
      <c r="D1373" s="184"/>
      <c r="E1373" s="184"/>
      <c r="F1373" s="184"/>
      <c r="G1373" s="184"/>
      <c r="H1373" s="184"/>
      <c r="I1373" s="184"/>
      <c r="J1373" s="184"/>
      <c r="K1373" s="184"/>
      <c r="L1373" s="184"/>
      <c r="M1373" s="184"/>
      <c r="N1373" s="184"/>
      <c r="O1373" s="184"/>
      <c r="P1373" s="184"/>
      <c r="Q1373" s="184"/>
      <c r="R1373" s="184"/>
      <c r="S1373" s="186"/>
      <c r="T1373" s="184">
        <v>0.0</v>
      </c>
    </row>
    <row r="1374">
      <c r="A1374" s="184"/>
      <c r="B1374" s="184"/>
      <c r="C1374" s="184"/>
      <c r="D1374" s="184"/>
      <c r="E1374" s="184"/>
      <c r="F1374" s="184"/>
      <c r="G1374" s="184"/>
      <c r="H1374" s="184"/>
      <c r="I1374" s="184"/>
      <c r="J1374" s="184"/>
      <c r="K1374" s="184"/>
      <c r="L1374" s="184"/>
      <c r="M1374" s="184"/>
      <c r="N1374" s="184"/>
      <c r="O1374" s="184"/>
      <c r="P1374" s="184"/>
      <c r="Q1374" s="184"/>
      <c r="R1374" s="184"/>
      <c r="S1374" s="186"/>
      <c r="T1374" s="184">
        <v>0.0</v>
      </c>
    </row>
    <row r="1375">
      <c r="A1375" s="184"/>
      <c r="B1375" s="184"/>
      <c r="C1375" s="184"/>
      <c r="D1375" s="184"/>
      <c r="E1375" s="184"/>
      <c r="F1375" s="184"/>
      <c r="G1375" s="184"/>
      <c r="H1375" s="184"/>
      <c r="I1375" s="184"/>
      <c r="J1375" s="184"/>
      <c r="K1375" s="184"/>
      <c r="L1375" s="184"/>
      <c r="M1375" s="184"/>
      <c r="N1375" s="184"/>
      <c r="O1375" s="184"/>
      <c r="P1375" s="184"/>
      <c r="Q1375" s="184"/>
      <c r="R1375" s="184"/>
      <c r="S1375" s="186"/>
      <c r="T1375" s="184">
        <v>0.0</v>
      </c>
    </row>
    <row r="1376">
      <c r="A1376" s="184"/>
      <c r="B1376" s="184"/>
      <c r="C1376" s="184"/>
      <c r="D1376" s="184"/>
      <c r="E1376" s="184"/>
      <c r="F1376" s="184"/>
      <c r="G1376" s="184"/>
      <c r="H1376" s="184"/>
      <c r="I1376" s="184"/>
      <c r="J1376" s="184"/>
      <c r="K1376" s="184"/>
      <c r="L1376" s="184"/>
      <c r="M1376" s="184"/>
      <c r="N1376" s="184"/>
      <c r="O1376" s="184"/>
      <c r="P1376" s="184"/>
      <c r="Q1376" s="184"/>
      <c r="R1376" s="184"/>
      <c r="S1376" s="186"/>
      <c r="T1376" s="184">
        <v>0.0</v>
      </c>
    </row>
    <row r="1377">
      <c r="A1377" s="184"/>
      <c r="B1377" s="184"/>
      <c r="C1377" s="184"/>
      <c r="D1377" s="184"/>
      <c r="E1377" s="184"/>
      <c r="F1377" s="184"/>
      <c r="G1377" s="184"/>
      <c r="H1377" s="184"/>
      <c r="I1377" s="184"/>
      <c r="J1377" s="184"/>
      <c r="K1377" s="184"/>
      <c r="L1377" s="184"/>
      <c r="M1377" s="184"/>
      <c r="N1377" s="184"/>
      <c r="O1377" s="184"/>
      <c r="P1377" s="184"/>
      <c r="Q1377" s="184"/>
      <c r="R1377" s="184"/>
      <c r="S1377" s="186"/>
      <c r="T1377" s="184">
        <v>0.0</v>
      </c>
    </row>
    <row r="1378">
      <c r="A1378" s="184"/>
      <c r="B1378" s="184"/>
      <c r="C1378" s="184"/>
      <c r="D1378" s="184"/>
      <c r="E1378" s="184"/>
      <c r="F1378" s="184"/>
      <c r="G1378" s="184"/>
      <c r="H1378" s="184"/>
      <c r="I1378" s="184"/>
      <c r="J1378" s="184"/>
      <c r="K1378" s="184"/>
      <c r="L1378" s="184"/>
      <c r="M1378" s="184"/>
      <c r="N1378" s="184"/>
      <c r="O1378" s="184"/>
      <c r="P1378" s="184"/>
      <c r="Q1378" s="184"/>
      <c r="R1378" s="184"/>
      <c r="S1378" s="186"/>
      <c r="T1378" s="184">
        <v>0.0</v>
      </c>
    </row>
    <row r="1379">
      <c r="A1379" s="184"/>
      <c r="B1379" s="184"/>
      <c r="C1379" s="184"/>
      <c r="D1379" s="184"/>
      <c r="E1379" s="184"/>
      <c r="F1379" s="184"/>
      <c r="G1379" s="184"/>
      <c r="H1379" s="184"/>
      <c r="I1379" s="184"/>
      <c r="J1379" s="184"/>
      <c r="K1379" s="184"/>
      <c r="L1379" s="184"/>
      <c r="M1379" s="184"/>
      <c r="N1379" s="184"/>
      <c r="O1379" s="184"/>
      <c r="P1379" s="184"/>
      <c r="Q1379" s="184"/>
      <c r="R1379" s="184"/>
      <c r="S1379" s="186"/>
      <c r="T1379" s="184">
        <v>0.0</v>
      </c>
    </row>
    <row r="1380">
      <c r="A1380" s="184"/>
      <c r="B1380" s="184"/>
      <c r="C1380" s="184"/>
      <c r="D1380" s="184"/>
      <c r="E1380" s="184"/>
      <c r="F1380" s="184"/>
      <c r="G1380" s="184"/>
      <c r="H1380" s="184"/>
      <c r="I1380" s="184"/>
      <c r="J1380" s="184"/>
      <c r="K1380" s="184"/>
      <c r="L1380" s="184"/>
      <c r="M1380" s="184"/>
      <c r="N1380" s="184"/>
      <c r="O1380" s="184"/>
      <c r="P1380" s="184"/>
      <c r="Q1380" s="184"/>
      <c r="R1380" s="184"/>
      <c r="S1380" s="186"/>
      <c r="T1380" s="184">
        <v>0.0</v>
      </c>
    </row>
    <row r="1381">
      <c r="A1381" s="184"/>
      <c r="B1381" s="184"/>
      <c r="C1381" s="184"/>
      <c r="D1381" s="184"/>
      <c r="E1381" s="184"/>
      <c r="F1381" s="184"/>
      <c r="G1381" s="184"/>
      <c r="H1381" s="184"/>
      <c r="I1381" s="184"/>
      <c r="J1381" s="184"/>
      <c r="K1381" s="184"/>
      <c r="L1381" s="184"/>
      <c r="M1381" s="184"/>
      <c r="N1381" s="184"/>
      <c r="O1381" s="184"/>
      <c r="P1381" s="184"/>
      <c r="Q1381" s="184"/>
      <c r="R1381" s="184"/>
      <c r="S1381" s="186"/>
      <c r="T1381" s="184">
        <v>0.0</v>
      </c>
    </row>
    <row r="1382">
      <c r="A1382" s="184"/>
      <c r="B1382" s="184"/>
      <c r="C1382" s="184"/>
      <c r="D1382" s="184"/>
      <c r="E1382" s="184"/>
      <c r="F1382" s="184"/>
      <c r="G1382" s="184"/>
      <c r="H1382" s="184"/>
      <c r="I1382" s="184"/>
      <c r="J1382" s="184"/>
      <c r="K1382" s="184"/>
      <c r="L1382" s="184"/>
      <c r="M1382" s="184"/>
      <c r="N1382" s="184"/>
      <c r="O1382" s="184"/>
      <c r="P1382" s="184"/>
      <c r="Q1382" s="184"/>
      <c r="R1382" s="184"/>
      <c r="S1382" s="186"/>
      <c r="T1382" s="184">
        <v>0.0</v>
      </c>
    </row>
    <row r="1383">
      <c r="A1383" s="184"/>
      <c r="B1383" s="184"/>
      <c r="C1383" s="184"/>
      <c r="D1383" s="184"/>
      <c r="E1383" s="184"/>
      <c r="F1383" s="184"/>
      <c r="G1383" s="184"/>
      <c r="H1383" s="184"/>
      <c r="I1383" s="184"/>
      <c r="J1383" s="184"/>
      <c r="K1383" s="184"/>
      <c r="L1383" s="184"/>
      <c r="M1383" s="184"/>
      <c r="N1383" s="184"/>
      <c r="O1383" s="184"/>
      <c r="P1383" s="184"/>
      <c r="Q1383" s="184"/>
      <c r="R1383" s="184"/>
      <c r="S1383" s="186"/>
      <c r="T1383" s="184">
        <v>0.0</v>
      </c>
    </row>
    <row r="1384">
      <c r="A1384" s="184"/>
      <c r="B1384" s="184"/>
      <c r="C1384" s="184"/>
      <c r="D1384" s="184"/>
      <c r="E1384" s="184"/>
      <c r="F1384" s="184"/>
      <c r="G1384" s="184"/>
      <c r="H1384" s="184"/>
      <c r="I1384" s="184"/>
      <c r="J1384" s="184"/>
      <c r="K1384" s="184"/>
      <c r="L1384" s="184"/>
      <c r="M1384" s="184"/>
      <c r="N1384" s="184"/>
      <c r="O1384" s="184"/>
      <c r="P1384" s="184"/>
      <c r="Q1384" s="184"/>
      <c r="R1384" s="184"/>
      <c r="S1384" s="186"/>
      <c r="T1384" s="184">
        <v>0.0</v>
      </c>
    </row>
    <row r="1385">
      <c r="A1385" s="184"/>
      <c r="B1385" s="184"/>
      <c r="C1385" s="184"/>
      <c r="D1385" s="184"/>
      <c r="E1385" s="184"/>
      <c r="F1385" s="184"/>
      <c r="G1385" s="184"/>
      <c r="H1385" s="184"/>
      <c r="I1385" s="184"/>
      <c r="J1385" s="184"/>
      <c r="K1385" s="184"/>
      <c r="L1385" s="184"/>
      <c r="M1385" s="184"/>
      <c r="N1385" s="184"/>
      <c r="O1385" s="184"/>
      <c r="P1385" s="184"/>
      <c r="Q1385" s="184"/>
      <c r="R1385" s="184"/>
      <c r="S1385" s="186"/>
      <c r="T1385" s="184">
        <v>0.0</v>
      </c>
    </row>
    <row r="1386">
      <c r="A1386" s="184"/>
      <c r="B1386" s="184"/>
      <c r="C1386" s="184"/>
      <c r="D1386" s="184"/>
      <c r="E1386" s="184"/>
      <c r="F1386" s="184"/>
      <c r="G1386" s="184"/>
      <c r="H1386" s="184"/>
      <c r="I1386" s="184"/>
      <c r="J1386" s="184"/>
      <c r="K1386" s="184"/>
      <c r="L1386" s="184"/>
      <c r="M1386" s="184"/>
      <c r="N1386" s="184"/>
      <c r="O1386" s="184"/>
      <c r="P1386" s="184"/>
      <c r="Q1386" s="184"/>
      <c r="R1386" s="184"/>
      <c r="S1386" s="186"/>
      <c r="T1386" s="184">
        <v>0.0</v>
      </c>
    </row>
    <row r="1387">
      <c r="A1387" s="184"/>
      <c r="B1387" s="184"/>
      <c r="C1387" s="184"/>
      <c r="D1387" s="184"/>
      <c r="E1387" s="184"/>
      <c r="F1387" s="184"/>
      <c r="G1387" s="184"/>
      <c r="H1387" s="184"/>
      <c r="I1387" s="184"/>
      <c r="J1387" s="184"/>
      <c r="K1387" s="184"/>
      <c r="L1387" s="184"/>
      <c r="M1387" s="184"/>
      <c r="N1387" s="184"/>
      <c r="O1387" s="184"/>
      <c r="P1387" s="184"/>
      <c r="Q1387" s="184"/>
      <c r="R1387" s="184"/>
      <c r="S1387" s="186"/>
      <c r="T1387" s="184">
        <v>0.0</v>
      </c>
    </row>
    <row r="1388">
      <c r="A1388" s="184"/>
      <c r="B1388" s="184"/>
      <c r="C1388" s="184"/>
      <c r="D1388" s="184"/>
      <c r="E1388" s="184"/>
      <c r="F1388" s="184"/>
      <c r="G1388" s="184"/>
      <c r="H1388" s="184"/>
      <c r="I1388" s="184"/>
      <c r="J1388" s="184"/>
      <c r="K1388" s="184"/>
      <c r="L1388" s="184"/>
      <c r="M1388" s="184"/>
      <c r="N1388" s="184"/>
      <c r="O1388" s="184"/>
      <c r="P1388" s="184"/>
      <c r="Q1388" s="184"/>
      <c r="R1388" s="184"/>
      <c r="S1388" s="186"/>
      <c r="T1388" s="184">
        <v>0.0</v>
      </c>
    </row>
    <row r="1389">
      <c r="A1389" s="184"/>
      <c r="B1389" s="184"/>
      <c r="C1389" s="184"/>
      <c r="D1389" s="184"/>
      <c r="E1389" s="184"/>
      <c r="F1389" s="184"/>
      <c r="G1389" s="184"/>
      <c r="H1389" s="184"/>
      <c r="I1389" s="184"/>
      <c r="J1389" s="184"/>
      <c r="K1389" s="184"/>
      <c r="L1389" s="184"/>
      <c r="M1389" s="184"/>
      <c r="N1389" s="184"/>
      <c r="O1389" s="184"/>
      <c r="P1389" s="184"/>
      <c r="Q1389" s="184"/>
      <c r="R1389" s="184"/>
      <c r="S1389" s="186"/>
      <c r="T1389" s="184">
        <v>0.0</v>
      </c>
    </row>
    <row r="1390">
      <c r="A1390" s="184"/>
      <c r="B1390" s="184"/>
      <c r="C1390" s="184"/>
      <c r="D1390" s="184"/>
      <c r="E1390" s="184"/>
      <c r="F1390" s="184"/>
      <c r="G1390" s="184"/>
      <c r="H1390" s="184"/>
      <c r="I1390" s="184"/>
      <c r="J1390" s="184"/>
      <c r="K1390" s="184"/>
      <c r="L1390" s="184"/>
      <c r="M1390" s="184"/>
      <c r="N1390" s="184"/>
      <c r="O1390" s="184"/>
      <c r="P1390" s="184"/>
      <c r="Q1390" s="184"/>
      <c r="R1390" s="184"/>
      <c r="S1390" s="186"/>
      <c r="T1390" s="184">
        <v>0.0</v>
      </c>
    </row>
    <row r="1391">
      <c r="A1391" s="184"/>
      <c r="B1391" s="184"/>
      <c r="C1391" s="184"/>
      <c r="D1391" s="184"/>
      <c r="E1391" s="184"/>
      <c r="F1391" s="184"/>
      <c r="G1391" s="184"/>
      <c r="H1391" s="184"/>
      <c r="I1391" s="184"/>
      <c r="J1391" s="184"/>
      <c r="K1391" s="184"/>
      <c r="L1391" s="184"/>
      <c r="M1391" s="184"/>
      <c r="N1391" s="184"/>
      <c r="O1391" s="184"/>
      <c r="P1391" s="184"/>
      <c r="Q1391" s="184"/>
      <c r="R1391" s="184"/>
      <c r="S1391" s="186"/>
      <c r="T1391" s="184">
        <v>0.0</v>
      </c>
    </row>
    <row r="1392">
      <c r="A1392" s="184"/>
      <c r="B1392" s="184"/>
      <c r="C1392" s="184"/>
      <c r="D1392" s="184"/>
      <c r="E1392" s="184"/>
      <c r="F1392" s="184"/>
      <c r="G1392" s="184"/>
      <c r="H1392" s="184"/>
      <c r="I1392" s="184"/>
      <c r="J1392" s="184"/>
      <c r="K1392" s="184"/>
      <c r="L1392" s="184"/>
      <c r="M1392" s="184"/>
      <c r="N1392" s="184"/>
      <c r="O1392" s="184"/>
      <c r="P1392" s="184"/>
      <c r="Q1392" s="184"/>
      <c r="R1392" s="184"/>
      <c r="S1392" s="186"/>
      <c r="T1392" s="184">
        <v>0.0</v>
      </c>
    </row>
    <row r="1393">
      <c r="A1393" s="184"/>
      <c r="B1393" s="184"/>
      <c r="C1393" s="184"/>
      <c r="D1393" s="184"/>
      <c r="E1393" s="184"/>
      <c r="F1393" s="184"/>
      <c r="G1393" s="184"/>
      <c r="H1393" s="184"/>
      <c r="I1393" s="184"/>
      <c r="J1393" s="184"/>
      <c r="K1393" s="184"/>
      <c r="L1393" s="184"/>
      <c r="M1393" s="184"/>
      <c r="N1393" s="184"/>
      <c r="O1393" s="184"/>
      <c r="P1393" s="184"/>
      <c r="Q1393" s="184"/>
      <c r="R1393" s="184"/>
      <c r="S1393" s="186"/>
      <c r="T1393" s="184">
        <v>0.0</v>
      </c>
    </row>
    <row r="1394">
      <c r="A1394" s="184"/>
      <c r="B1394" s="184"/>
      <c r="C1394" s="184"/>
      <c r="D1394" s="184"/>
      <c r="E1394" s="184"/>
      <c r="F1394" s="184"/>
      <c r="G1394" s="184"/>
      <c r="H1394" s="184"/>
      <c r="I1394" s="184"/>
      <c r="J1394" s="184"/>
      <c r="K1394" s="184"/>
      <c r="L1394" s="184"/>
      <c r="M1394" s="184"/>
      <c r="N1394" s="184"/>
      <c r="O1394" s="184"/>
      <c r="P1394" s="184"/>
      <c r="Q1394" s="184"/>
      <c r="R1394" s="184"/>
      <c r="S1394" s="186"/>
      <c r="T1394" s="184">
        <v>0.0</v>
      </c>
    </row>
    <row r="1395">
      <c r="A1395" s="184"/>
      <c r="B1395" s="184"/>
      <c r="C1395" s="184"/>
      <c r="D1395" s="184"/>
      <c r="E1395" s="184"/>
      <c r="F1395" s="184"/>
      <c r="G1395" s="184"/>
      <c r="H1395" s="184"/>
      <c r="I1395" s="184"/>
      <c r="J1395" s="184"/>
      <c r="K1395" s="184"/>
      <c r="L1395" s="184"/>
      <c r="M1395" s="184"/>
      <c r="N1395" s="184"/>
      <c r="O1395" s="184"/>
      <c r="P1395" s="184"/>
      <c r="Q1395" s="184"/>
      <c r="R1395" s="184"/>
      <c r="S1395" s="186"/>
      <c r="T1395" s="184">
        <v>0.0</v>
      </c>
    </row>
    <row r="1396">
      <c r="A1396" s="184"/>
      <c r="B1396" s="184"/>
      <c r="C1396" s="184"/>
      <c r="D1396" s="184"/>
      <c r="E1396" s="184"/>
      <c r="F1396" s="184"/>
      <c r="G1396" s="184"/>
      <c r="H1396" s="184"/>
      <c r="I1396" s="184"/>
      <c r="J1396" s="184"/>
      <c r="K1396" s="184"/>
      <c r="L1396" s="184"/>
      <c r="M1396" s="184"/>
      <c r="N1396" s="184"/>
      <c r="O1396" s="184"/>
      <c r="P1396" s="184"/>
      <c r="Q1396" s="184"/>
      <c r="R1396" s="184"/>
      <c r="S1396" s="186"/>
      <c r="T1396" s="184">
        <v>0.0</v>
      </c>
    </row>
    <row r="1397">
      <c r="A1397" s="184"/>
      <c r="B1397" s="184"/>
      <c r="C1397" s="184"/>
      <c r="D1397" s="184"/>
      <c r="E1397" s="184"/>
      <c r="F1397" s="184"/>
      <c r="G1397" s="184"/>
      <c r="H1397" s="184"/>
      <c r="I1397" s="184"/>
      <c r="J1397" s="184"/>
      <c r="K1397" s="184"/>
      <c r="L1397" s="184"/>
      <c r="M1397" s="184"/>
      <c r="N1397" s="184"/>
      <c r="O1397" s="184"/>
      <c r="P1397" s="184"/>
      <c r="Q1397" s="184"/>
      <c r="R1397" s="184"/>
      <c r="S1397" s="186"/>
      <c r="T1397" s="184">
        <v>0.0</v>
      </c>
    </row>
    <row r="1398">
      <c r="A1398" s="184"/>
      <c r="B1398" s="184"/>
      <c r="C1398" s="184"/>
      <c r="D1398" s="184"/>
      <c r="E1398" s="184"/>
      <c r="F1398" s="184"/>
      <c r="G1398" s="184"/>
      <c r="H1398" s="184"/>
      <c r="I1398" s="184"/>
      <c r="J1398" s="184"/>
      <c r="K1398" s="184"/>
      <c r="L1398" s="184"/>
      <c r="M1398" s="184"/>
      <c r="N1398" s="184"/>
      <c r="O1398" s="184"/>
      <c r="P1398" s="184"/>
      <c r="Q1398" s="184"/>
      <c r="R1398" s="184"/>
      <c r="S1398" s="186"/>
      <c r="T1398" s="184">
        <v>0.0</v>
      </c>
    </row>
    <row r="1399">
      <c r="A1399" s="184"/>
      <c r="B1399" s="184"/>
      <c r="C1399" s="184"/>
      <c r="D1399" s="184"/>
      <c r="E1399" s="184"/>
      <c r="F1399" s="184"/>
      <c r="G1399" s="184"/>
      <c r="H1399" s="184"/>
      <c r="I1399" s="184"/>
      <c r="J1399" s="184"/>
      <c r="K1399" s="184"/>
      <c r="L1399" s="184"/>
      <c r="M1399" s="184"/>
      <c r="N1399" s="184"/>
      <c r="O1399" s="184"/>
      <c r="P1399" s="184"/>
      <c r="Q1399" s="184"/>
      <c r="R1399" s="184"/>
      <c r="S1399" s="186"/>
      <c r="T1399" s="184">
        <v>0.0</v>
      </c>
    </row>
    <row r="1400">
      <c r="A1400" s="184"/>
      <c r="B1400" s="184"/>
      <c r="C1400" s="184"/>
      <c r="D1400" s="184"/>
      <c r="E1400" s="184"/>
      <c r="F1400" s="184"/>
      <c r="G1400" s="184"/>
      <c r="H1400" s="184"/>
      <c r="I1400" s="184"/>
      <c r="J1400" s="184"/>
      <c r="K1400" s="184"/>
      <c r="L1400" s="184"/>
      <c r="M1400" s="184"/>
      <c r="N1400" s="184"/>
      <c r="O1400" s="184"/>
      <c r="P1400" s="184"/>
      <c r="Q1400" s="184"/>
      <c r="R1400" s="184"/>
      <c r="S1400" s="186"/>
      <c r="T1400" s="184">
        <v>0.0</v>
      </c>
    </row>
    <row r="1401">
      <c r="A1401" s="184"/>
      <c r="B1401" s="184"/>
      <c r="C1401" s="184"/>
      <c r="D1401" s="184"/>
      <c r="E1401" s="184"/>
      <c r="F1401" s="184"/>
      <c r="G1401" s="184"/>
      <c r="H1401" s="184"/>
      <c r="I1401" s="184"/>
      <c r="J1401" s="184"/>
      <c r="K1401" s="184"/>
      <c r="L1401" s="184"/>
      <c r="M1401" s="184"/>
      <c r="N1401" s="184"/>
      <c r="O1401" s="184"/>
      <c r="P1401" s="184"/>
      <c r="Q1401" s="184"/>
      <c r="R1401" s="184"/>
      <c r="S1401" s="186"/>
      <c r="T1401" s="184">
        <v>0.0</v>
      </c>
    </row>
    <row r="1402">
      <c r="A1402" s="184"/>
      <c r="B1402" s="184"/>
      <c r="C1402" s="184"/>
      <c r="D1402" s="184"/>
      <c r="E1402" s="184"/>
      <c r="F1402" s="184"/>
      <c r="G1402" s="184"/>
      <c r="H1402" s="184"/>
      <c r="I1402" s="184"/>
      <c r="J1402" s="184"/>
      <c r="K1402" s="184"/>
      <c r="L1402" s="184"/>
      <c r="M1402" s="184"/>
      <c r="N1402" s="184"/>
      <c r="O1402" s="184"/>
      <c r="P1402" s="184"/>
      <c r="Q1402" s="184"/>
      <c r="R1402" s="184"/>
      <c r="S1402" s="186"/>
      <c r="T1402" s="184">
        <v>0.0</v>
      </c>
    </row>
    <row r="1403">
      <c r="A1403" s="184"/>
      <c r="B1403" s="184"/>
      <c r="C1403" s="184"/>
      <c r="D1403" s="184"/>
      <c r="E1403" s="184"/>
      <c r="F1403" s="184"/>
      <c r="G1403" s="184"/>
      <c r="H1403" s="184"/>
      <c r="I1403" s="184"/>
      <c r="J1403" s="184"/>
      <c r="K1403" s="184"/>
      <c r="L1403" s="184"/>
      <c r="M1403" s="184"/>
      <c r="N1403" s="184"/>
      <c r="O1403" s="184"/>
      <c r="P1403" s="184"/>
      <c r="Q1403" s="184"/>
      <c r="R1403" s="184"/>
      <c r="S1403" s="186"/>
      <c r="T1403" s="184">
        <v>0.0</v>
      </c>
    </row>
    <row r="1404">
      <c r="A1404" s="184"/>
      <c r="B1404" s="184"/>
      <c r="C1404" s="184"/>
      <c r="D1404" s="184"/>
      <c r="E1404" s="184"/>
      <c r="F1404" s="184"/>
      <c r="G1404" s="184"/>
      <c r="H1404" s="184"/>
      <c r="I1404" s="184"/>
      <c r="J1404" s="184"/>
      <c r="K1404" s="184"/>
      <c r="L1404" s="184"/>
      <c r="M1404" s="184"/>
      <c r="N1404" s="184"/>
      <c r="O1404" s="184"/>
      <c r="P1404" s="184"/>
      <c r="Q1404" s="184"/>
      <c r="R1404" s="184"/>
      <c r="S1404" s="186"/>
      <c r="T1404" s="184">
        <v>0.0</v>
      </c>
    </row>
    <row r="1405">
      <c r="A1405" s="184"/>
      <c r="B1405" s="184"/>
      <c r="C1405" s="184"/>
      <c r="D1405" s="184"/>
      <c r="E1405" s="184"/>
      <c r="F1405" s="184"/>
      <c r="G1405" s="184"/>
      <c r="H1405" s="184"/>
      <c r="I1405" s="184"/>
      <c r="J1405" s="184"/>
      <c r="K1405" s="184"/>
      <c r="L1405" s="184"/>
      <c r="M1405" s="184"/>
      <c r="N1405" s="184"/>
      <c r="O1405" s="184"/>
      <c r="P1405" s="184"/>
      <c r="Q1405" s="184"/>
      <c r="R1405" s="184"/>
      <c r="S1405" s="186"/>
      <c r="T1405" s="184">
        <v>0.0</v>
      </c>
    </row>
    <row r="1406">
      <c r="A1406" s="184"/>
      <c r="B1406" s="184"/>
      <c r="C1406" s="184"/>
      <c r="D1406" s="184"/>
      <c r="E1406" s="184"/>
      <c r="F1406" s="184"/>
      <c r="G1406" s="184"/>
      <c r="H1406" s="184"/>
      <c r="I1406" s="184"/>
      <c r="J1406" s="184"/>
      <c r="K1406" s="184"/>
      <c r="L1406" s="184"/>
      <c r="M1406" s="184"/>
      <c r="N1406" s="184"/>
      <c r="O1406" s="184"/>
      <c r="P1406" s="184"/>
      <c r="Q1406" s="184"/>
      <c r="R1406" s="184"/>
      <c r="S1406" s="186"/>
      <c r="T1406" s="184">
        <v>0.0</v>
      </c>
    </row>
    <row r="1407">
      <c r="A1407" s="184"/>
      <c r="B1407" s="184"/>
      <c r="C1407" s="184"/>
      <c r="D1407" s="184"/>
      <c r="E1407" s="184"/>
      <c r="F1407" s="184"/>
      <c r="G1407" s="184"/>
      <c r="H1407" s="184"/>
      <c r="I1407" s="184"/>
      <c r="J1407" s="184"/>
      <c r="K1407" s="184"/>
      <c r="L1407" s="184"/>
      <c r="M1407" s="184"/>
      <c r="N1407" s="184"/>
      <c r="O1407" s="184"/>
      <c r="P1407" s="184"/>
      <c r="Q1407" s="184"/>
      <c r="R1407" s="184"/>
      <c r="S1407" s="186"/>
      <c r="T1407" s="184">
        <v>0.0</v>
      </c>
    </row>
    <row r="1408">
      <c r="A1408" s="184"/>
      <c r="B1408" s="184"/>
      <c r="C1408" s="184"/>
      <c r="D1408" s="184"/>
      <c r="E1408" s="184"/>
      <c r="F1408" s="184"/>
      <c r="G1408" s="184"/>
      <c r="H1408" s="184"/>
      <c r="I1408" s="184"/>
      <c r="J1408" s="184"/>
      <c r="K1408" s="184"/>
      <c r="L1408" s="184"/>
      <c r="M1408" s="184"/>
      <c r="N1408" s="184"/>
      <c r="O1408" s="184"/>
      <c r="P1408" s="184"/>
      <c r="Q1408" s="184"/>
      <c r="R1408" s="184"/>
      <c r="S1408" s="186"/>
      <c r="T1408" s="184">
        <v>0.0</v>
      </c>
    </row>
    <row r="1409">
      <c r="A1409" s="184"/>
      <c r="B1409" s="184"/>
      <c r="C1409" s="184"/>
      <c r="D1409" s="184"/>
      <c r="E1409" s="184"/>
      <c r="F1409" s="184"/>
      <c r="G1409" s="184"/>
      <c r="H1409" s="184"/>
      <c r="I1409" s="184"/>
      <c r="J1409" s="184"/>
      <c r="K1409" s="184"/>
      <c r="L1409" s="184"/>
      <c r="M1409" s="184"/>
      <c r="N1409" s="184"/>
      <c r="O1409" s="184"/>
      <c r="P1409" s="184"/>
      <c r="Q1409" s="184"/>
      <c r="R1409" s="184"/>
      <c r="S1409" s="186"/>
      <c r="T1409" s="184">
        <v>0.0</v>
      </c>
    </row>
    <row r="1410">
      <c r="A1410" s="184"/>
      <c r="B1410" s="184"/>
      <c r="C1410" s="184"/>
      <c r="D1410" s="184"/>
      <c r="E1410" s="184"/>
      <c r="F1410" s="184"/>
      <c r="G1410" s="184"/>
      <c r="H1410" s="184"/>
      <c r="I1410" s="184"/>
      <c r="J1410" s="184"/>
      <c r="K1410" s="184"/>
      <c r="L1410" s="184"/>
      <c r="M1410" s="184"/>
      <c r="N1410" s="184"/>
      <c r="O1410" s="184"/>
      <c r="P1410" s="184"/>
      <c r="Q1410" s="184"/>
      <c r="R1410" s="184"/>
      <c r="S1410" s="186"/>
      <c r="T1410" s="184">
        <v>0.0</v>
      </c>
    </row>
    <row r="1411">
      <c r="A1411" s="184"/>
      <c r="B1411" s="184"/>
      <c r="C1411" s="184"/>
      <c r="D1411" s="184"/>
      <c r="E1411" s="184"/>
      <c r="F1411" s="184"/>
      <c r="G1411" s="184"/>
      <c r="H1411" s="184"/>
      <c r="I1411" s="184"/>
      <c r="J1411" s="184"/>
      <c r="K1411" s="184"/>
      <c r="L1411" s="184"/>
      <c r="M1411" s="184"/>
      <c r="N1411" s="184"/>
      <c r="O1411" s="184"/>
      <c r="P1411" s="184"/>
      <c r="Q1411" s="184"/>
      <c r="R1411" s="184"/>
      <c r="S1411" s="186"/>
      <c r="T1411" s="184">
        <v>0.0</v>
      </c>
    </row>
    <row r="1412">
      <c r="A1412" s="184"/>
      <c r="B1412" s="184"/>
      <c r="C1412" s="184"/>
      <c r="D1412" s="184"/>
      <c r="E1412" s="184"/>
      <c r="F1412" s="184"/>
      <c r="G1412" s="184"/>
      <c r="H1412" s="184"/>
      <c r="I1412" s="184"/>
      <c r="J1412" s="184"/>
      <c r="K1412" s="184"/>
      <c r="L1412" s="184"/>
      <c r="M1412" s="184"/>
      <c r="N1412" s="184"/>
      <c r="O1412" s="184"/>
      <c r="P1412" s="184"/>
      <c r="Q1412" s="184"/>
      <c r="R1412" s="184"/>
      <c r="S1412" s="186"/>
      <c r="T1412" s="184">
        <v>0.0</v>
      </c>
    </row>
    <row r="1413">
      <c r="A1413" s="184"/>
      <c r="B1413" s="184"/>
      <c r="C1413" s="184"/>
      <c r="D1413" s="184"/>
      <c r="E1413" s="184"/>
      <c r="F1413" s="184"/>
      <c r="G1413" s="184"/>
      <c r="H1413" s="184"/>
      <c r="I1413" s="184"/>
      <c r="J1413" s="184"/>
      <c r="K1413" s="184"/>
      <c r="L1413" s="184"/>
      <c r="M1413" s="184"/>
      <c r="N1413" s="184"/>
      <c r="O1413" s="184"/>
      <c r="P1413" s="184"/>
      <c r="Q1413" s="184"/>
      <c r="R1413" s="184"/>
      <c r="S1413" s="186"/>
      <c r="T1413" s="184">
        <v>0.0</v>
      </c>
    </row>
    <row r="1414">
      <c r="A1414" s="184"/>
      <c r="B1414" s="184"/>
      <c r="C1414" s="184"/>
      <c r="D1414" s="184"/>
      <c r="E1414" s="184"/>
      <c r="F1414" s="184"/>
      <c r="G1414" s="184"/>
      <c r="H1414" s="184"/>
      <c r="I1414" s="184"/>
      <c r="J1414" s="184"/>
      <c r="K1414" s="184"/>
      <c r="L1414" s="184"/>
      <c r="M1414" s="184"/>
      <c r="N1414" s="184"/>
      <c r="O1414" s="184"/>
      <c r="P1414" s="184"/>
      <c r="Q1414" s="184"/>
      <c r="R1414" s="184"/>
      <c r="S1414" s="186"/>
      <c r="T1414" s="184">
        <v>0.0</v>
      </c>
    </row>
    <row r="1415">
      <c r="A1415" s="184"/>
      <c r="B1415" s="184"/>
      <c r="C1415" s="184"/>
      <c r="D1415" s="184"/>
      <c r="E1415" s="184"/>
      <c r="F1415" s="184"/>
      <c r="G1415" s="184"/>
      <c r="H1415" s="184"/>
      <c r="I1415" s="184"/>
      <c r="J1415" s="184"/>
      <c r="K1415" s="184"/>
      <c r="L1415" s="184"/>
      <c r="M1415" s="184"/>
      <c r="N1415" s="184"/>
      <c r="O1415" s="184"/>
      <c r="P1415" s="184"/>
      <c r="Q1415" s="184"/>
      <c r="R1415" s="184"/>
      <c r="S1415" s="186"/>
      <c r="T1415" s="184">
        <v>0.0</v>
      </c>
    </row>
    <row r="1416">
      <c r="A1416" s="184"/>
      <c r="B1416" s="184"/>
      <c r="C1416" s="184"/>
      <c r="D1416" s="184"/>
      <c r="E1416" s="184"/>
      <c r="F1416" s="184"/>
      <c r="G1416" s="184"/>
      <c r="H1416" s="184"/>
      <c r="I1416" s="184"/>
      <c r="J1416" s="184"/>
      <c r="K1416" s="184"/>
      <c r="L1416" s="184"/>
      <c r="M1416" s="184"/>
      <c r="N1416" s="184"/>
      <c r="O1416" s="184"/>
      <c r="P1416" s="184"/>
      <c r="Q1416" s="184"/>
      <c r="R1416" s="184"/>
      <c r="S1416" s="186"/>
      <c r="T1416" s="184">
        <v>0.0</v>
      </c>
    </row>
    <row r="1417">
      <c r="A1417" s="184"/>
      <c r="B1417" s="184"/>
      <c r="C1417" s="184"/>
      <c r="D1417" s="184"/>
      <c r="E1417" s="184"/>
      <c r="F1417" s="184"/>
      <c r="G1417" s="184"/>
      <c r="H1417" s="184"/>
      <c r="I1417" s="184"/>
      <c r="J1417" s="184"/>
      <c r="K1417" s="184"/>
      <c r="L1417" s="184"/>
      <c r="M1417" s="184"/>
      <c r="N1417" s="184"/>
      <c r="O1417" s="184"/>
      <c r="P1417" s="184"/>
      <c r="Q1417" s="184"/>
      <c r="R1417" s="184"/>
      <c r="S1417" s="186"/>
      <c r="T1417" s="184">
        <v>0.0</v>
      </c>
    </row>
    <row r="1418">
      <c r="A1418" s="184"/>
      <c r="B1418" s="184"/>
      <c r="C1418" s="184"/>
      <c r="D1418" s="184"/>
      <c r="E1418" s="184"/>
      <c r="F1418" s="184"/>
      <c r="G1418" s="184"/>
      <c r="H1418" s="184"/>
      <c r="I1418" s="184"/>
      <c r="J1418" s="184"/>
      <c r="K1418" s="184"/>
      <c r="L1418" s="184"/>
      <c r="M1418" s="184"/>
      <c r="N1418" s="184"/>
      <c r="O1418" s="184"/>
      <c r="P1418" s="184"/>
      <c r="Q1418" s="184"/>
      <c r="R1418" s="184"/>
      <c r="S1418" s="186"/>
      <c r="T1418" s="184">
        <v>0.0</v>
      </c>
    </row>
    <row r="1419">
      <c r="A1419" s="184"/>
      <c r="B1419" s="184"/>
      <c r="C1419" s="184"/>
      <c r="D1419" s="184"/>
      <c r="E1419" s="184"/>
      <c r="F1419" s="184"/>
      <c r="G1419" s="184"/>
      <c r="H1419" s="184"/>
      <c r="I1419" s="184"/>
      <c r="J1419" s="184"/>
      <c r="K1419" s="184"/>
      <c r="L1419" s="184"/>
      <c r="M1419" s="184"/>
      <c r="N1419" s="184"/>
      <c r="O1419" s="184"/>
      <c r="P1419" s="184"/>
      <c r="Q1419" s="184"/>
      <c r="R1419" s="184"/>
      <c r="S1419" s="186"/>
      <c r="T1419" s="184">
        <v>0.0</v>
      </c>
    </row>
    <row r="1420">
      <c r="A1420" s="184"/>
      <c r="B1420" s="184"/>
      <c r="C1420" s="184"/>
      <c r="D1420" s="184"/>
      <c r="E1420" s="184"/>
      <c r="F1420" s="184"/>
      <c r="G1420" s="184"/>
      <c r="H1420" s="184"/>
      <c r="I1420" s="184"/>
      <c r="J1420" s="184"/>
      <c r="K1420" s="184"/>
      <c r="L1420" s="184"/>
      <c r="M1420" s="184"/>
      <c r="N1420" s="184"/>
      <c r="O1420" s="184"/>
      <c r="P1420" s="184"/>
      <c r="Q1420" s="184"/>
      <c r="R1420" s="184"/>
      <c r="S1420" s="186"/>
      <c r="T1420" s="184">
        <v>0.0</v>
      </c>
    </row>
    <row r="1421">
      <c r="A1421" s="184"/>
      <c r="B1421" s="184"/>
      <c r="C1421" s="184"/>
      <c r="D1421" s="184"/>
      <c r="E1421" s="184"/>
      <c r="F1421" s="184"/>
      <c r="G1421" s="184"/>
      <c r="H1421" s="184"/>
      <c r="I1421" s="184"/>
      <c r="J1421" s="184"/>
      <c r="K1421" s="184"/>
      <c r="L1421" s="184"/>
      <c r="M1421" s="184"/>
      <c r="N1421" s="184"/>
      <c r="O1421" s="184"/>
      <c r="P1421" s="184"/>
      <c r="Q1421" s="184"/>
      <c r="R1421" s="184"/>
      <c r="S1421" s="186"/>
      <c r="T1421" s="184">
        <v>0.0</v>
      </c>
    </row>
    <row r="1422">
      <c r="A1422" s="184"/>
      <c r="B1422" s="184"/>
      <c r="C1422" s="184"/>
      <c r="D1422" s="184"/>
      <c r="E1422" s="184"/>
      <c r="F1422" s="184"/>
      <c r="G1422" s="184"/>
      <c r="H1422" s="184"/>
      <c r="I1422" s="184"/>
      <c r="J1422" s="184"/>
      <c r="K1422" s="184"/>
      <c r="L1422" s="184"/>
      <c r="M1422" s="184"/>
      <c r="N1422" s="184"/>
      <c r="O1422" s="184"/>
      <c r="P1422" s="184"/>
      <c r="Q1422" s="184"/>
      <c r="R1422" s="184"/>
      <c r="S1422" s="186"/>
      <c r="T1422" s="184">
        <v>0.0</v>
      </c>
    </row>
    <row r="1423">
      <c r="A1423" s="184"/>
      <c r="B1423" s="184"/>
      <c r="C1423" s="184"/>
      <c r="D1423" s="184"/>
      <c r="E1423" s="184"/>
      <c r="F1423" s="184"/>
      <c r="G1423" s="184"/>
      <c r="H1423" s="184"/>
      <c r="I1423" s="184"/>
      <c r="J1423" s="184"/>
      <c r="K1423" s="184"/>
      <c r="L1423" s="184"/>
      <c r="M1423" s="184"/>
      <c r="N1423" s="184"/>
      <c r="O1423" s="184"/>
      <c r="P1423" s="184"/>
      <c r="Q1423" s="184"/>
      <c r="R1423" s="184"/>
      <c r="S1423" s="186"/>
      <c r="T1423" s="184">
        <v>0.0</v>
      </c>
    </row>
    <row r="1424">
      <c r="A1424" s="184"/>
      <c r="B1424" s="184"/>
      <c r="C1424" s="184"/>
      <c r="D1424" s="184"/>
      <c r="E1424" s="184"/>
      <c r="F1424" s="184"/>
      <c r="G1424" s="184"/>
      <c r="H1424" s="184"/>
      <c r="I1424" s="184"/>
      <c r="J1424" s="184"/>
      <c r="K1424" s="184"/>
      <c r="L1424" s="184"/>
      <c r="M1424" s="184"/>
      <c r="N1424" s="184"/>
      <c r="O1424" s="184"/>
      <c r="P1424" s="184"/>
      <c r="Q1424" s="184"/>
      <c r="R1424" s="184"/>
      <c r="S1424" s="186"/>
      <c r="T1424" s="184">
        <v>0.0</v>
      </c>
    </row>
    <row r="1425">
      <c r="A1425" s="184"/>
      <c r="B1425" s="184"/>
      <c r="C1425" s="184"/>
      <c r="D1425" s="184"/>
      <c r="E1425" s="184"/>
      <c r="F1425" s="184"/>
      <c r="G1425" s="184"/>
      <c r="H1425" s="184"/>
      <c r="I1425" s="184"/>
      <c r="J1425" s="184"/>
      <c r="K1425" s="184"/>
      <c r="L1425" s="184"/>
      <c r="M1425" s="184"/>
      <c r="N1425" s="184"/>
      <c r="O1425" s="184"/>
      <c r="P1425" s="184"/>
      <c r="Q1425" s="184"/>
      <c r="R1425" s="184"/>
      <c r="S1425" s="186"/>
      <c r="T1425" s="184">
        <v>0.0</v>
      </c>
    </row>
    <row r="1426">
      <c r="A1426" s="184"/>
      <c r="B1426" s="184"/>
      <c r="C1426" s="184"/>
      <c r="D1426" s="184"/>
      <c r="E1426" s="184"/>
      <c r="F1426" s="184"/>
      <c r="G1426" s="184"/>
      <c r="H1426" s="184"/>
      <c r="I1426" s="184"/>
      <c r="J1426" s="184"/>
      <c r="K1426" s="184"/>
      <c r="L1426" s="184"/>
      <c r="M1426" s="184"/>
      <c r="N1426" s="184"/>
      <c r="O1426" s="184"/>
      <c r="P1426" s="184"/>
      <c r="Q1426" s="184"/>
      <c r="R1426" s="184"/>
      <c r="S1426" s="186"/>
      <c r="T1426" s="184">
        <v>0.0</v>
      </c>
    </row>
    <row r="1427">
      <c r="A1427" s="184"/>
      <c r="B1427" s="184"/>
      <c r="C1427" s="184"/>
      <c r="D1427" s="184"/>
      <c r="E1427" s="184"/>
      <c r="F1427" s="184"/>
      <c r="G1427" s="184"/>
      <c r="H1427" s="184"/>
      <c r="I1427" s="184"/>
      <c r="J1427" s="184"/>
      <c r="K1427" s="184"/>
      <c r="L1427" s="184"/>
      <c r="M1427" s="184"/>
      <c r="N1427" s="184"/>
      <c r="O1427" s="184"/>
      <c r="P1427" s="184"/>
      <c r="Q1427" s="184"/>
      <c r="R1427" s="184"/>
      <c r="S1427" s="186"/>
      <c r="T1427" s="184">
        <v>0.0</v>
      </c>
    </row>
    <row r="1428">
      <c r="A1428" s="184"/>
      <c r="B1428" s="184"/>
      <c r="C1428" s="184"/>
      <c r="D1428" s="184"/>
      <c r="E1428" s="184"/>
      <c r="F1428" s="184"/>
      <c r="G1428" s="184"/>
      <c r="H1428" s="184"/>
      <c r="I1428" s="184"/>
      <c r="J1428" s="184"/>
      <c r="K1428" s="184"/>
      <c r="L1428" s="184"/>
      <c r="M1428" s="184"/>
      <c r="N1428" s="184"/>
      <c r="O1428" s="184"/>
      <c r="P1428" s="184"/>
      <c r="Q1428" s="184"/>
      <c r="R1428" s="184"/>
      <c r="S1428" s="186"/>
      <c r="T1428" s="184">
        <v>0.0</v>
      </c>
    </row>
    <row r="1429">
      <c r="A1429" s="184"/>
      <c r="B1429" s="184"/>
      <c r="C1429" s="184"/>
      <c r="D1429" s="184"/>
      <c r="E1429" s="184"/>
      <c r="F1429" s="184"/>
      <c r="G1429" s="184"/>
      <c r="H1429" s="184"/>
      <c r="I1429" s="184"/>
      <c r="J1429" s="184"/>
      <c r="K1429" s="184"/>
      <c r="L1429" s="184"/>
      <c r="M1429" s="184"/>
      <c r="N1429" s="184"/>
      <c r="O1429" s="184"/>
      <c r="P1429" s="184"/>
      <c r="Q1429" s="184"/>
      <c r="R1429" s="184"/>
      <c r="S1429" s="186"/>
      <c r="T1429" s="184">
        <v>0.0</v>
      </c>
    </row>
    <row r="1430">
      <c r="A1430" s="184"/>
      <c r="B1430" s="184"/>
      <c r="C1430" s="184"/>
      <c r="D1430" s="184"/>
      <c r="E1430" s="184"/>
      <c r="F1430" s="184"/>
      <c r="G1430" s="184"/>
      <c r="H1430" s="184"/>
      <c r="I1430" s="184"/>
      <c r="J1430" s="184"/>
      <c r="K1430" s="184"/>
      <c r="L1430" s="184"/>
      <c r="M1430" s="184"/>
      <c r="N1430" s="184"/>
      <c r="O1430" s="184"/>
      <c r="P1430" s="184"/>
      <c r="Q1430" s="184"/>
      <c r="R1430" s="184"/>
      <c r="S1430" s="186"/>
      <c r="T1430" s="184">
        <v>0.0</v>
      </c>
    </row>
    <row r="1431">
      <c r="A1431" s="184"/>
      <c r="B1431" s="184"/>
      <c r="C1431" s="184"/>
      <c r="D1431" s="184"/>
      <c r="E1431" s="184"/>
      <c r="F1431" s="184"/>
      <c r="G1431" s="184"/>
      <c r="H1431" s="184"/>
      <c r="I1431" s="184"/>
      <c r="J1431" s="184"/>
      <c r="K1431" s="184"/>
      <c r="L1431" s="184"/>
      <c r="M1431" s="184"/>
      <c r="N1431" s="184"/>
      <c r="O1431" s="184"/>
      <c r="P1431" s="184"/>
      <c r="Q1431" s="184"/>
      <c r="R1431" s="184"/>
      <c r="S1431" s="186"/>
      <c r="T1431" s="184">
        <v>0.0</v>
      </c>
    </row>
    <row r="1432">
      <c r="A1432" s="184"/>
      <c r="B1432" s="184"/>
      <c r="C1432" s="184"/>
      <c r="D1432" s="184"/>
      <c r="E1432" s="184"/>
      <c r="F1432" s="184"/>
      <c r="G1432" s="184"/>
      <c r="H1432" s="184"/>
      <c r="I1432" s="184"/>
      <c r="J1432" s="184"/>
      <c r="K1432" s="184"/>
      <c r="L1432" s="184"/>
      <c r="M1432" s="184"/>
      <c r="N1432" s="184"/>
      <c r="O1432" s="184"/>
      <c r="P1432" s="184"/>
      <c r="Q1432" s="184"/>
      <c r="R1432" s="184"/>
      <c r="S1432" s="186"/>
      <c r="T1432" s="184">
        <v>0.0</v>
      </c>
    </row>
    <row r="1433">
      <c r="A1433" s="184"/>
      <c r="B1433" s="184"/>
      <c r="C1433" s="184"/>
      <c r="D1433" s="184"/>
      <c r="E1433" s="184"/>
      <c r="F1433" s="184"/>
      <c r="G1433" s="184"/>
      <c r="H1433" s="184"/>
      <c r="I1433" s="184"/>
      <c r="J1433" s="184"/>
      <c r="K1433" s="184"/>
      <c r="L1433" s="184"/>
      <c r="M1433" s="184"/>
      <c r="N1433" s="184"/>
      <c r="O1433" s="184"/>
      <c r="P1433" s="184"/>
      <c r="Q1433" s="184"/>
      <c r="R1433" s="184"/>
      <c r="S1433" s="186"/>
      <c r="T1433" s="184">
        <v>0.0</v>
      </c>
    </row>
    <row r="1434">
      <c r="A1434" s="184"/>
      <c r="B1434" s="184"/>
      <c r="C1434" s="184"/>
      <c r="D1434" s="184"/>
      <c r="E1434" s="184"/>
      <c r="F1434" s="184"/>
      <c r="G1434" s="184"/>
      <c r="H1434" s="184"/>
      <c r="I1434" s="184"/>
      <c r="J1434" s="184"/>
      <c r="K1434" s="184"/>
      <c r="L1434" s="184"/>
      <c r="M1434" s="184"/>
      <c r="N1434" s="184"/>
      <c r="O1434" s="184"/>
      <c r="P1434" s="184"/>
      <c r="Q1434" s="184"/>
      <c r="R1434" s="184"/>
      <c r="S1434" s="186"/>
      <c r="T1434" s="184">
        <v>0.0</v>
      </c>
    </row>
    <row r="1435">
      <c r="A1435" s="184"/>
      <c r="B1435" s="184"/>
      <c r="C1435" s="184"/>
      <c r="D1435" s="184"/>
      <c r="E1435" s="184"/>
      <c r="F1435" s="184"/>
      <c r="G1435" s="184"/>
      <c r="H1435" s="184"/>
      <c r="I1435" s="184"/>
      <c r="J1435" s="184"/>
      <c r="K1435" s="184"/>
      <c r="L1435" s="184"/>
      <c r="M1435" s="184"/>
      <c r="N1435" s="184"/>
      <c r="O1435" s="184"/>
      <c r="P1435" s="184"/>
      <c r="Q1435" s="184"/>
      <c r="R1435" s="184"/>
      <c r="S1435" s="186"/>
      <c r="T1435" s="184">
        <v>0.0</v>
      </c>
    </row>
    <row r="1436">
      <c r="A1436" s="184"/>
      <c r="B1436" s="184"/>
      <c r="C1436" s="184"/>
      <c r="D1436" s="184"/>
      <c r="E1436" s="184"/>
      <c r="F1436" s="184"/>
      <c r="G1436" s="184"/>
      <c r="H1436" s="184"/>
      <c r="I1436" s="184"/>
      <c r="J1436" s="184"/>
      <c r="K1436" s="184"/>
      <c r="L1436" s="184"/>
      <c r="M1436" s="184"/>
      <c r="N1436" s="184"/>
      <c r="O1436" s="184"/>
      <c r="P1436" s="184"/>
      <c r="Q1436" s="184"/>
      <c r="R1436" s="184"/>
      <c r="S1436" s="186"/>
      <c r="T1436" s="184">
        <v>0.0</v>
      </c>
    </row>
    <row r="1437">
      <c r="A1437" s="184"/>
      <c r="B1437" s="184"/>
      <c r="C1437" s="184"/>
      <c r="D1437" s="184"/>
      <c r="E1437" s="184"/>
      <c r="F1437" s="184"/>
      <c r="G1437" s="184"/>
      <c r="H1437" s="184"/>
      <c r="I1437" s="184"/>
      <c r="J1437" s="184"/>
      <c r="K1437" s="184"/>
      <c r="L1437" s="184"/>
      <c r="M1437" s="184"/>
      <c r="N1437" s="184"/>
      <c r="O1437" s="184"/>
      <c r="P1437" s="184"/>
      <c r="Q1437" s="184"/>
      <c r="R1437" s="184"/>
      <c r="S1437" s="186"/>
      <c r="T1437" s="184">
        <v>0.0</v>
      </c>
    </row>
    <row r="1438">
      <c r="A1438" s="184"/>
      <c r="B1438" s="184"/>
      <c r="C1438" s="184"/>
      <c r="D1438" s="184"/>
      <c r="E1438" s="184"/>
      <c r="F1438" s="184"/>
      <c r="G1438" s="184"/>
      <c r="H1438" s="184"/>
      <c r="I1438" s="184"/>
      <c r="J1438" s="184"/>
      <c r="K1438" s="184"/>
      <c r="L1438" s="184"/>
      <c r="M1438" s="184"/>
      <c r="N1438" s="184"/>
      <c r="O1438" s="184"/>
      <c r="P1438" s="184"/>
      <c r="Q1438" s="184"/>
      <c r="R1438" s="184"/>
      <c r="S1438" s="186"/>
      <c r="T1438" s="184">
        <v>0.0</v>
      </c>
    </row>
    <row r="1439">
      <c r="A1439" s="184"/>
      <c r="B1439" s="184"/>
      <c r="C1439" s="184"/>
      <c r="D1439" s="184"/>
      <c r="E1439" s="184"/>
      <c r="F1439" s="184"/>
      <c r="G1439" s="184"/>
      <c r="H1439" s="184"/>
      <c r="I1439" s="184"/>
      <c r="J1439" s="184"/>
      <c r="K1439" s="184"/>
      <c r="L1439" s="184"/>
      <c r="M1439" s="184"/>
      <c r="N1439" s="184"/>
      <c r="O1439" s="184"/>
      <c r="P1439" s="184"/>
      <c r="Q1439" s="184"/>
      <c r="R1439" s="184"/>
      <c r="S1439" s="186"/>
      <c r="T1439" s="184">
        <v>0.0</v>
      </c>
    </row>
    <row r="1440">
      <c r="A1440" s="184"/>
      <c r="B1440" s="184"/>
      <c r="C1440" s="184"/>
      <c r="D1440" s="184"/>
      <c r="E1440" s="184"/>
      <c r="F1440" s="184"/>
      <c r="G1440" s="184"/>
      <c r="H1440" s="184"/>
      <c r="I1440" s="184"/>
      <c r="J1440" s="184"/>
      <c r="K1440" s="184"/>
      <c r="L1440" s="184"/>
      <c r="M1440" s="184"/>
      <c r="N1440" s="184"/>
      <c r="O1440" s="184"/>
      <c r="P1440" s="184"/>
      <c r="Q1440" s="184"/>
      <c r="R1440" s="184"/>
      <c r="S1440" s="186"/>
      <c r="T1440" s="184">
        <v>0.0</v>
      </c>
    </row>
    <row r="1441">
      <c r="A1441" s="184"/>
      <c r="B1441" s="184"/>
      <c r="C1441" s="184"/>
      <c r="D1441" s="184"/>
      <c r="E1441" s="184"/>
      <c r="F1441" s="184"/>
      <c r="G1441" s="184"/>
      <c r="H1441" s="184"/>
      <c r="I1441" s="184"/>
      <c r="J1441" s="184"/>
      <c r="K1441" s="184"/>
      <c r="L1441" s="184"/>
      <c r="M1441" s="184"/>
      <c r="N1441" s="184"/>
      <c r="O1441" s="184"/>
      <c r="P1441" s="184"/>
      <c r="Q1441" s="184"/>
      <c r="R1441" s="184"/>
      <c r="S1441" s="186"/>
      <c r="T1441" s="184">
        <v>0.0</v>
      </c>
    </row>
    <row r="1442">
      <c r="A1442" s="184"/>
      <c r="B1442" s="184"/>
      <c r="C1442" s="184"/>
      <c r="D1442" s="184"/>
      <c r="E1442" s="184"/>
      <c r="F1442" s="184"/>
      <c r="G1442" s="184"/>
      <c r="H1442" s="184"/>
      <c r="I1442" s="184"/>
      <c r="J1442" s="184"/>
      <c r="K1442" s="184"/>
      <c r="L1442" s="184"/>
      <c r="M1442" s="184"/>
      <c r="N1442" s="184"/>
      <c r="O1442" s="184"/>
      <c r="P1442" s="184"/>
      <c r="Q1442" s="184"/>
      <c r="R1442" s="184"/>
      <c r="S1442" s="186"/>
      <c r="T1442" s="184">
        <v>0.0</v>
      </c>
    </row>
    <row r="1443">
      <c r="A1443" s="184"/>
      <c r="B1443" s="184"/>
      <c r="C1443" s="184"/>
      <c r="D1443" s="184"/>
      <c r="E1443" s="184"/>
      <c r="F1443" s="184"/>
      <c r="G1443" s="184"/>
      <c r="H1443" s="184"/>
      <c r="I1443" s="184"/>
      <c r="J1443" s="184"/>
      <c r="K1443" s="184"/>
      <c r="L1443" s="184"/>
      <c r="M1443" s="184"/>
      <c r="N1443" s="184"/>
      <c r="O1443" s="184"/>
      <c r="P1443" s="184"/>
      <c r="Q1443" s="184"/>
      <c r="R1443" s="184"/>
      <c r="S1443" s="186"/>
      <c r="T1443" s="184">
        <v>0.0</v>
      </c>
    </row>
    <row r="1444">
      <c r="A1444" s="184"/>
      <c r="B1444" s="184"/>
      <c r="C1444" s="184"/>
      <c r="D1444" s="184"/>
      <c r="E1444" s="184"/>
      <c r="F1444" s="184"/>
      <c r="G1444" s="184"/>
      <c r="H1444" s="184"/>
      <c r="I1444" s="184"/>
      <c r="J1444" s="184"/>
      <c r="K1444" s="184"/>
      <c r="L1444" s="184"/>
      <c r="M1444" s="184"/>
      <c r="N1444" s="184"/>
      <c r="O1444" s="184"/>
      <c r="P1444" s="184"/>
      <c r="Q1444" s="184"/>
      <c r="R1444" s="184"/>
      <c r="S1444" s="186"/>
      <c r="T1444" s="184">
        <v>0.0</v>
      </c>
    </row>
    <row r="1445">
      <c r="A1445" s="184"/>
      <c r="B1445" s="184"/>
      <c r="C1445" s="184"/>
      <c r="D1445" s="184"/>
      <c r="E1445" s="184"/>
      <c r="F1445" s="184"/>
      <c r="G1445" s="184"/>
      <c r="H1445" s="184"/>
      <c r="I1445" s="184"/>
      <c r="J1445" s="184"/>
      <c r="K1445" s="184"/>
      <c r="L1445" s="184"/>
      <c r="M1445" s="184"/>
      <c r="N1445" s="184"/>
      <c r="O1445" s="184"/>
      <c r="P1445" s="184"/>
      <c r="Q1445" s="184"/>
      <c r="R1445" s="184"/>
      <c r="S1445" s="186"/>
      <c r="T1445" s="184">
        <v>0.0</v>
      </c>
    </row>
    <row r="1446">
      <c r="A1446" s="184"/>
      <c r="B1446" s="184"/>
      <c r="C1446" s="184"/>
      <c r="D1446" s="184"/>
      <c r="E1446" s="184"/>
      <c r="F1446" s="184"/>
      <c r="G1446" s="184"/>
      <c r="H1446" s="184"/>
      <c r="I1446" s="184"/>
      <c r="J1446" s="184"/>
      <c r="K1446" s="184"/>
      <c r="L1446" s="184"/>
      <c r="M1446" s="184"/>
      <c r="N1446" s="184"/>
      <c r="O1446" s="184"/>
      <c r="P1446" s="184"/>
      <c r="Q1446" s="184"/>
      <c r="R1446" s="184"/>
      <c r="S1446" s="186"/>
      <c r="T1446" s="184">
        <v>0.0</v>
      </c>
    </row>
    <row r="1447">
      <c r="A1447" s="184"/>
      <c r="B1447" s="184"/>
      <c r="C1447" s="184"/>
      <c r="D1447" s="184"/>
      <c r="E1447" s="184"/>
      <c r="F1447" s="184"/>
      <c r="G1447" s="184"/>
      <c r="H1447" s="184"/>
      <c r="I1447" s="184"/>
      <c r="J1447" s="184"/>
      <c r="K1447" s="184"/>
      <c r="L1447" s="184"/>
      <c r="M1447" s="184"/>
      <c r="N1447" s="184"/>
      <c r="O1447" s="184"/>
      <c r="P1447" s="184"/>
      <c r="Q1447" s="184"/>
      <c r="R1447" s="184"/>
      <c r="S1447" s="186"/>
      <c r="T1447" s="184">
        <v>0.0</v>
      </c>
    </row>
    <row r="1448">
      <c r="A1448" s="184"/>
      <c r="B1448" s="184"/>
      <c r="C1448" s="184"/>
      <c r="D1448" s="184"/>
      <c r="E1448" s="184"/>
      <c r="F1448" s="184"/>
      <c r="G1448" s="184"/>
      <c r="H1448" s="184"/>
      <c r="I1448" s="184"/>
      <c r="J1448" s="184"/>
      <c r="K1448" s="184"/>
      <c r="L1448" s="184"/>
      <c r="M1448" s="184"/>
      <c r="N1448" s="184"/>
      <c r="O1448" s="184"/>
      <c r="P1448" s="184"/>
      <c r="Q1448" s="184"/>
      <c r="R1448" s="184"/>
      <c r="S1448" s="186"/>
      <c r="T1448" s="184">
        <v>0.0</v>
      </c>
    </row>
    <row r="1449">
      <c r="A1449" s="184"/>
      <c r="B1449" s="184"/>
      <c r="C1449" s="184"/>
      <c r="D1449" s="184"/>
      <c r="E1449" s="184"/>
      <c r="F1449" s="184"/>
      <c r="G1449" s="184"/>
      <c r="H1449" s="184"/>
      <c r="I1449" s="184"/>
      <c r="J1449" s="184"/>
      <c r="K1449" s="184"/>
      <c r="L1449" s="184"/>
      <c r="M1449" s="184"/>
      <c r="N1449" s="184"/>
      <c r="O1449" s="184"/>
      <c r="P1449" s="184"/>
      <c r="Q1449" s="184"/>
      <c r="R1449" s="184"/>
      <c r="S1449" s="186"/>
      <c r="T1449" s="184">
        <v>0.0</v>
      </c>
    </row>
    <row r="1450">
      <c r="A1450" s="184"/>
      <c r="B1450" s="184"/>
      <c r="C1450" s="184"/>
      <c r="D1450" s="184"/>
      <c r="E1450" s="184"/>
      <c r="F1450" s="184"/>
      <c r="G1450" s="184"/>
      <c r="H1450" s="184"/>
      <c r="I1450" s="184"/>
      <c r="J1450" s="184"/>
      <c r="K1450" s="184"/>
      <c r="L1450" s="184"/>
      <c r="M1450" s="184"/>
      <c r="N1450" s="184"/>
      <c r="O1450" s="184"/>
      <c r="P1450" s="184"/>
      <c r="Q1450" s="184"/>
      <c r="R1450" s="184"/>
      <c r="S1450" s="186"/>
      <c r="T1450" s="184">
        <v>0.0</v>
      </c>
    </row>
    <row r="1451">
      <c r="A1451" s="184"/>
      <c r="B1451" s="184"/>
      <c r="C1451" s="184"/>
      <c r="D1451" s="184"/>
      <c r="E1451" s="184"/>
      <c r="F1451" s="184"/>
      <c r="G1451" s="184"/>
      <c r="H1451" s="184"/>
      <c r="I1451" s="184"/>
      <c r="J1451" s="184"/>
      <c r="K1451" s="184"/>
      <c r="L1451" s="184"/>
      <c r="M1451" s="184"/>
      <c r="N1451" s="184"/>
      <c r="O1451" s="184"/>
      <c r="P1451" s="184"/>
      <c r="Q1451" s="184"/>
      <c r="R1451" s="184"/>
      <c r="S1451" s="186"/>
      <c r="T1451" s="184">
        <v>0.0</v>
      </c>
    </row>
    <row r="1452">
      <c r="A1452" s="184"/>
      <c r="B1452" s="184"/>
      <c r="C1452" s="184"/>
      <c r="D1452" s="184"/>
      <c r="E1452" s="184"/>
      <c r="F1452" s="184"/>
      <c r="G1452" s="184"/>
      <c r="H1452" s="184"/>
      <c r="I1452" s="184"/>
      <c r="J1452" s="184"/>
      <c r="K1452" s="184"/>
      <c r="L1452" s="184"/>
      <c r="M1452" s="184"/>
      <c r="N1452" s="184"/>
      <c r="O1452" s="184"/>
      <c r="P1452" s="184"/>
      <c r="Q1452" s="184"/>
      <c r="R1452" s="184"/>
      <c r="S1452" s="186"/>
      <c r="T1452" s="184">
        <v>0.0</v>
      </c>
    </row>
    <row r="1453">
      <c r="A1453" s="184"/>
      <c r="B1453" s="184"/>
      <c r="C1453" s="184"/>
      <c r="D1453" s="184"/>
      <c r="E1453" s="184"/>
      <c r="F1453" s="184"/>
      <c r="G1453" s="184"/>
      <c r="H1453" s="184"/>
      <c r="I1453" s="184"/>
      <c r="J1453" s="184"/>
      <c r="K1453" s="184"/>
      <c r="L1453" s="184"/>
      <c r="M1453" s="184"/>
      <c r="N1453" s="184"/>
      <c r="O1453" s="184"/>
      <c r="P1453" s="184"/>
      <c r="Q1453" s="184"/>
      <c r="R1453" s="184"/>
      <c r="S1453" s="186"/>
      <c r="T1453" s="184">
        <v>0.0</v>
      </c>
    </row>
    <row r="1454">
      <c r="A1454" s="184"/>
      <c r="B1454" s="184"/>
      <c r="C1454" s="184"/>
      <c r="D1454" s="184"/>
      <c r="E1454" s="184"/>
      <c r="F1454" s="184"/>
      <c r="G1454" s="184"/>
      <c r="H1454" s="184"/>
      <c r="I1454" s="184"/>
      <c r="J1454" s="184"/>
      <c r="K1454" s="184"/>
      <c r="L1454" s="184"/>
      <c r="M1454" s="184"/>
      <c r="N1454" s="184"/>
      <c r="O1454" s="184"/>
      <c r="P1454" s="184"/>
      <c r="Q1454" s="184"/>
      <c r="R1454" s="184"/>
      <c r="S1454" s="186"/>
      <c r="T1454" s="184">
        <v>0.0</v>
      </c>
    </row>
    <row r="1455">
      <c r="A1455" s="184"/>
      <c r="B1455" s="184"/>
      <c r="C1455" s="184"/>
      <c r="D1455" s="184"/>
      <c r="E1455" s="184"/>
      <c r="F1455" s="184"/>
      <c r="G1455" s="184"/>
      <c r="H1455" s="184"/>
      <c r="I1455" s="184"/>
      <c r="J1455" s="184"/>
      <c r="K1455" s="184"/>
      <c r="L1455" s="184"/>
      <c r="M1455" s="184"/>
      <c r="N1455" s="184"/>
      <c r="O1455" s="184"/>
      <c r="P1455" s="184"/>
      <c r="Q1455" s="184"/>
      <c r="R1455" s="184"/>
      <c r="S1455" s="186"/>
      <c r="T1455" s="184">
        <v>0.0</v>
      </c>
    </row>
    <row r="1456">
      <c r="A1456" s="184"/>
      <c r="B1456" s="184"/>
      <c r="C1456" s="184"/>
      <c r="D1456" s="184"/>
      <c r="E1456" s="184"/>
      <c r="F1456" s="184"/>
      <c r="G1456" s="184"/>
      <c r="H1456" s="184"/>
      <c r="I1456" s="184"/>
      <c r="J1456" s="184"/>
      <c r="K1456" s="184"/>
      <c r="L1456" s="184"/>
      <c r="M1456" s="184"/>
      <c r="N1456" s="184"/>
      <c r="O1456" s="184"/>
      <c r="P1456" s="184"/>
      <c r="Q1456" s="184"/>
      <c r="R1456" s="184"/>
      <c r="S1456" s="186"/>
      <c r="T1456" s="184">
        <v>0.0</v>
      </c>
    </row>
    <row r="1457">
      <c r="A1457" s="184"/>
      <c r="B1457" s="184"/>
      <c r="C1457" s="184"/>
      <c r="D1457" s="184"/>
      <c r="E1457" s="184"/>
      <c r="F1457" s="184"/>
      <c r="G1457" s="184"/>
      <c r="H1457" s="184"/>
      <c r="I1457" s="184"/>
      <c r="J1457" s="184"/>
      <c r="K1457" s="184"/>
      <c r="L1457" s="184"/>
      <c r="M1457" s="184"/>
      <c r="N1457" s="184"/>
      <c r="O1457" s="184"/>
      <c r="P1457" s="184"/>
      <c r="Q1457" s="184"/>
      <c r="R1457" s="184"/>
      <c r="S1457" s="186"/>
      <c r="T1457" s="184">
        <v>0.0</v>
      </c>
    </row>
    <row r="1458">
      <c r="A1458" s="184"/>
      <c r="B1458" s="184"/>
      <c r="C1458" s="184"/>
      <c r="D1458" s="184"/>
      <c r="E1458" s="184"/>
      <c r="F1458" s="184"/>
      <c r="G1458" s="184"/>
      <c r="H1458" s="184"/>
      <c r="I1458" s="184"/>
      <c r="J1458" s="184"/>
      <c r="K1458" s="184"/>
      <c r="L1458" s="184"/>
      <c r="M1458" s="184"/>
      <c r="N1458" s="184"/>
      <c r="O1458" s="184"/>
      <c r="P1458" s="184"/>
      <c r="Q1458" s="184"/>
      <c r="R1458" s="184"/>
      <c r="S1458" s="186"/>
      <c r="T1458" s="184">
        <v>0.0</v>
      </c>
    </row>
    <row r="1459">
      <c r="A1459" s="184"/>
      <c r="B1459" s="184"/>
      <c r="C1459" s="184"/>
      <c r="D1459" s="184"/>
      <c r="E1459" s="184"/>
      <c r="F1459" s="184"/>
      <c r="G1459" s="184"/>
      <c r="H1459" s="184"/>
      <c r="I1459" s="184"/>
      <c r="J1459" s="184"/>
      <c r="K1459" s="184"/>
      <c r="L1459" s="184"/>
      <c r="M1459" s="184"/>
      <c r="N1459" s="184"/>
      <c r="O1459" s="184"/>
      <c r="P1459" s="184"/>
      <c r="Q1459" s="184"/>
      <c r="R1459" s="184"/>
      <c r="S1459" s="186"/>
      <c r="T1459" s="184">
        <v>0.0</v>
      </c>
    </row>
    <row r="1460">
      <c r="A1460" s="184"/>
      <c r="B1460" s="184"/>
      <c r="C1460" s="184"/>
      <c r="D1460" s="184"/>
      <c r="E1460" s="184"/>
      <c r="F1460" s="184"/>
      <c r="G1460" s="184"/>
      <c r="H1460" s="184"/>
      <c r="I1460" s="184"/>
      <c r="J1460" s="184"/>
      <c r="K1460" s="184"/>
      <c r="L1460" s="184"/>
      <c r="M1460" s="184"/>
      <c r="N1460" s="184"/>
      <c r="O1460" s="184"/>
      <c r="P1460" s="184"/>
      <c r="Q1460" s="184"/>
      <c r="R1460" s="184"/>
      <c r="S1460" s="186"/>
      <c r="T1460" s="184">
        <v>0.0</v>
      </c>
    </row>
    <row r="1461">
      <c r="A1461" s="184"/>
      <c r="B1461" s="184"/>
      <c r="C1461" s="184"/>
      <c r="D1461" s="184"/>
      <c r="E1461" s="184"/>
      <c r="F1461" s="184"/>
      <c r="G1461" s="184"/>
      <c r="H1461" s="184"/>
      <c r="I1461" s="184"/>
      <c r="J1461" s="184"/>
      <c r="K1461" s="184"/>
      <c r="L1461" s="184"/>
      <c r="M1461" s="184"/>
      <c r="N1461" s="184"/>
      <c r="O1461" s="184"/>
      <c r="P1461" s="184"/>
      <c r="Q1461" s="184"/>
      <c r="R1461" s="184"/>
      <c r="S1461" s="186"/>
      <c r="T1461" s="184">
        <v>0.0</v>
      </c>
    </row>
    <row r="1462">
      <c r="A1462" s="184"/>
      <c r="B1462" s="184"/>
      <c r="C1462" s="184"/>
      <c r="D1462" s="184"/>
      <c r="E1462" s="184"/>
      <c r="F1462" s="184"/>
      <c r="G1462" s="184"/>
      <c r="H1462" s="184"/>
      <c r="I1462" s="184"/>
      <c r="J1462" s="184"/>
      <c r="K1462" s="184"/>
      <c r="L1462" s="184"/>
      <c r="M1462" s="184"/>
      <c r="N1462" s="184"/>
      <c r="O1462" s="184"/>
      <c r="P1462" s="184"/>
      <c r="Q1462" s="184"/>
      <c r="R1462" s="184"/>
      <c r="S1462" s="186"/>
      <c r="T1462" s="184">
        <v>0.0</v>
      </c>
    </row>
    <row r="1463">
      <c r="A1463" s="184"/>
      <c r="B1463" s="184"/>
      <c r="C1463" s="184"/>
      <c r="D1463" s="184"/>
      <c r="E1463" s="184"/>
      <c r="F1463" s="184"/>
      <c r="G1463" s="184"/>
      <c r="H1463" s="184"/>
      <c r="I1463" s="184"/>
      <c r="J1463" s="184"/>
      <c r="K1463" s="184"/>
      <c r="L1463" s="184"/>
      <c r="M1463" s="184"/>
      <c r="N1463" s="184"/>
      <c r="O1463" s="184"/>
      <c r="P1463" s="184"/>
      <c r="Q1463" s="184"/>
      <c r="R1463" s="184"/>
      <c r="S1463" s="186"/>
      <c r="T1463" s="184">
        <v>0.0</v>
      </c>
    </row>
    <row r="1464">
      <c r="A1464" s="184"/>
      <c r="B1464" s="184"/>
      <c r="C1464" s="184"/>
      <c r="D1464" s="184"/>
      <c r="E1464" s="184"/>
      <c r="F1464" s="184"/>
      <c r="G1464" s="184"/>
      <c r="H1464" s="184"/>
      <c r="I1464" s="184"/>
      <c r="J1464" s="184"/>
      <c r="K1464" s="184"/>
      <c r="L1464" s="184"/>
      <c r="M1464" s="184"/>
      <c r="N1464" s="184"/>
      <c r="O1464" s="184"/>
      <c r="P1464" s="184"/>
      <c r="Q1464" s="184"/>
      <c r="R1464" s="184"/>
      <c r="S1464" s="186"/>
      <c r="T1464" s="184">
        <v>0.0</v>
      </c>
    </row>
    <row r="1465">
      <c r="A1465" s="184"/>
      <c r="B1465" s="184"/>
      <c r="C1465" s="184"/>
      <c r="D1465" s="184"/>
      <c r="E1465" s="184"/>
      <c r="F1465" s="184"/>
      <c r="G1465" s="184"/>
      <c r="H1465" s="184"/>
      <c r="I1465" s="184"/>
      <c r="J1465" s="184"/>
      <c r="K1465" s="184"/>
      <c r="L1465" s="184"/>
      <c r="M1465" s="184"/>
      <c r="N1465" s="184"/>
      <c r="O1465" s="184"/>
      <c r="P1465" s="184"/>
      <c r="Q1465" s="184"/>
      <c r="R1465" s="184"/>
      <c r="S1465" s="186"/>
      <c r="T1465" s="184">
        <v>0.0</v>
      </c>
    </row>
    <row r="1466">
      <c r="A1466" s="184"/>
      <c r="B1466" s="184"/>
      <c r="C1466" s="184"/>
      <c r="D1466" s="184"/>
      <c r="E1466" s="184"/>
      <c r="F1466" s="184"/>
      <c r="G1466" s="184"/>
      <c r="H1466" s="184"/>
      <c r="I1466" s="184"/>
      <c r="J1466" s="184"/>
      <c r="K1466" s="184"/>
      <c r="L1466" s="184"/>
      <c r="M1466" s="184"/>
      <c r="N1466" s="184"/>
      <c r="O1466" s="184"/>
      <c r="P1466" s="184"/>
      <c r="Q1466" s="184"/>
      <c r="R1466" s="184"/>
      <c r="S1466" s="186"/>
      <c r="T1466" s="184">
        <v>0.0</v>
      </c>
    </row>
    <row r="1467">
      <c r="A1467" s="184"/>
      <c r="B1467" s="184"/>
      <c r="C1467" s="184"/>
      <c r="D1467" s="184"/>
      <c r="E1467" s="184"/>
      <c r="F1467" s="184"/>
      <c r="G1467" s="184"/>
      <c r="H1467" s="184"/>
      <c r="I1467" s="184"/>
      <c r="J1467" s="184"/>
      <c r="K1467" s="184"/>
      <c r="L1467" s="184"/>
      <c r="M1467" s="184"/>
      <c r="N1467" s="184"/>
      <c r="O1467" s="184"/>
      <c r="P1467" s="184"/>
      <c r="Q1467" s="184"/>
      <c r="R1467" s="184"/>
      <c r="S1467" s="186"/>
      <c r="T1467" s="184">
        <v>0.0</v>
      </c>
    </row>
    <row r="1468">
      <c r="A1468" s="184"/>
      <c r="B1468" s="184"/>
      <c r="C1468" s="184"/>
      <c r="D1468" s="184"/>
      <c r="E1468" s="184"/>
      <c r="F1468" s="184"/>
      <c r="G1468" s="184"/>
      <c r="H1468" s="184"/>
      <c r="I1468" s="184"/>
      <c r="J1468" s="184"/>
      <c r="K1468" s="184"/>
      <c r="L1468" s="184"/>
      <c r="M1468" s="184"/>
      <c r="N1468" s="184"/>
      <c r="O1468" s="184"/>
      <c r="P1468" s="184"/>
      <c r="Q1468" s="184"/>
      <c r="R1468" s="184"/>
      <c r="S1468" s="186"/>
      <c r="T1468" s="184">
        <v>0.0</v>
      </c>
    </row>
    <row r="1469">
      <c r="A1469" s="184"/>
      <c r="B1469" s="184"/>
      <c r="C1469" s="184"/>
      <c r="D1469" s="184"/>
      <c r="E1469" s="184"/>
      <c r="F1469" s="184"/>
      <c r="G1469" s="184"/>
      <c r="H1469" s="184"/>
      <c r="I1469" s="184"/>
      <c r="J1469" s="184"/>
      <c r="K1469" s="184"/>
      <c r="L1469" s="184"/>
      <c r="M1469" s="184"/>
      <c r="N1469" s="184"/>
      <c r="O1469" s="184"/>
      <c r="P1469" s="184"/>
      <c r="Q1469" s="184"/>
      <c r="R1469" s="184"/>
      <c r="S1469" s="186"/>
      <c r="T1469" s="184">
        <v>0.0</v>
      </c>
    </row>
    <row r="1470">
      <c r="A1470" s="184"/>
      <c r="B1470" s="184"/>
      <c r="C1470" s="184"/>
      <c r="D1470" s="184"/>
      <c r="E1470" s="184"/>
      <c r="F1470" s="184"/>
      <c r="G1470" s="184"/>
      <c r="H1470" s="184"/>
      <c r="I1470" s="184"/>
      <c r="J1470" s="184"/>
      <c r="K1470" s="184"/>
      <c r="L1470" s="184"/>
      <c r="M1470" s="184"/>
      <c r="N1470" s="184"/>
      <c r="O1470" s="184"/>
      <c r="P1470" s="184"/>
      <c r="Q1470" s="184"/>
      <c r="R1470" s="184"/>
      <c r="S1470" s="186"/>
      <c r="T1470" s="184">
        <v>0.0</v>
      </c>
    </row>
    <row r="1471">
      <c r="A1471" s="184"/>
      <c r="B1471" s="184"/>
      <c r="C1471" s="184"/>
      <c r="D1471" s="184"/>
      <c r="E1471" s="184"/>
      <c r="F1471" s="184"/>
      <c r="G1471" s="184"/>
      <c r="H1471" s="184"/>
      <c r="I1471" s="184"/>
      <c r="J1471" s="184"/>
      <c r="K1471" s="184"/>
      <c r="L1471" s="184"/>
      <c r="M1471" s="184"/>
      <c r="N1471" s="184"/>
      <c r="O1471" s="184"/>
      <c r="P1471" s="184"/>
      <c r="Q1471" s="184"/>
      <c r="R1471" s="184"/>
      <c r="S1471" s="186"/>
      <c r="T1471" s="184">
        <v>0.0</v>
      </c>
    </row>
    <row r="1472">
      <c r="A1472" s="184"/>
      <c r="B1472" s="184"/>
      <c r="C1472" s="184"/>
      <c r="D1472" s="184"/>
      <c r="E1472" s="184"/>
      <c r="F1472" s="184"/>
      <c r="G1472" s="184"/>
      <c r="H1472" s="184"/>
      <c r="I1472" s="184"/>
      <c r="J1472" s="184"/>
      <c r="K1472" s="184"/>
      <c r="L1472" s="184"/>
      <c r="M1472" s="184"/>
      <c r="N1472" s="184"/>
      <c r="O1472" s="184"/>
      <c r="P1472" s="184"/>
      <c r="Q1472" s="184"/>
      <c r="R1472" s="184"/>
      <c r="S1472" s="186"/>
      <c r="T1472" s="184">
        <v>0.0</v>
      </c>
    </row>
    <row r="1473">
      <c r="A1473" s="184"/>
      <c r="B1473" s="184"/>
      <c r="C1473" s="184"/>
      <c r="D1473" s="184"/>
      <c r="E1473" s="184"/>
      <c r="F1473" s="184"/>
      <c r="G1473" s="184"/>
      <c r="H1473" s="184"/>
      <c r="I1473" s="184"/>
      <c r="J1473" s="184"/>
      <c r="K1473" s="184"/>
      <c r="L1473" s="184"/>
      <c r="M1473" s="184"/>
      <c r="N1473" s="184"/>
      <c r="O1473" s="184"/>
      <c r="P1473" s="184"/>
      <c r="Q1473" s="184"/>
      <c r="R1473" s="184"/>
      <c r="S1473" s="186"/>
      <c r="T1473" s="184">
        <v>0.0</v>
      </c>
    </row>
    <row r="1474">
      <c r="A1474" s="184"/>
      <c r="B1474" s="184"/>
      <c r="C1474" s="184"/>
      <c r="D1474" s="184"/>
      <c r="E1474" s="184"/>
      <c r="F1474" s="184"/>
      <c r="G1474" s="184"/>
      <c r="H1474" s="184"/>
      <c r="I1474" s="184"/>
      <c r="J1474" s="184"/>
      <c r="K1474" s="184"/>
      <c r="L1474" s="184"/>
      <c r="M1474" s="184"/>
      <c r="N1474" s="184"/>
      <c r="O1474" s="184"/>
      <c r="P1474" s="184"/>
      <c r="Q1474" s="184"/>
      <c r="R1474" s="184"/>
      <c r="S1474" s="186"/>
      <c r="T1474" s="184">
        <v>0.0</v>
      </c>
    </row>
    <row r="1475">
      <c r="A1475" s="184"/>
      <c r="B1475" s="184"/>
      <c r="C1475" s="184"/>
      <c r="D1475" s="184"/>
      <c r="E1475" s="184"/>
      <c r="F1475" s="184"/>
      <c r="G1475" s="184"/>
      <c r="H1475" s="184"/>
      <c r="I1475" s="184"/>
      <c r="J1475" s="184"/>
      <c r="K1475" s="184"/>
      <c r="L1475" s="184"/>
      <c r="M1475" s="184"/>
      <c r="N1475" s="184"/>
      <c r="O1475" s="184"/>
      <c r="P1475" s="184"/>
      <c r="Q1475" s="184"/>
      <c r="R1475" s="184"/>
      <c r="S1475" s="186"/>
      <c r="T1475" s="184">
        <v>0.0</v>
      </c>
    </row>
    <row r="1476">
      <c r="A1476" s="184"/>
      <c r="B1476" s="184"/>
      <c r="C1476" s="184"/>
      <c r="D1476" s="184"/>
      <c r="E1476" s="184"/>
      <c r="F1476" s="184"/>
      <c r="G1476" s="184"/>
      <c r="H1476" s="184"/>
      <c r="I1476" s="184"/>
      <c r="J1476" s="184"/>
      <c r="K1476" s="184"/>
      <c r="L1476" s="184"/>
      <c r="M1476" s="184"/>
      <c r="N1476" s="184"/>
      <c r="O1476" s="184"/>
      <c r="P1476" s="184"/>
      <c r="Q1476" s="184"/>
      <c r="R1476" s="184"/>
      <c r="S1476" s="186"/>
      <c r="T1476" s="184">
        <v>0.0</v>
      </c>
    </row>
    <row r="1477">
      <c r="A1477" s="184"/>
      <c r="B1477" s="184"/>
      <c r="C1477" s="184"/>
      <c r="D1477" s="184"/>
      <c r="E1477" s="184"/>
      <c r="F1477" s="184"/>
      <c r="G1477" s="184"/>
      <c r="H1477" s="184"/>
      <c r="I1477" s="184"/>
      <c r="J1477" s="184"/>
      <c r="K1477" s="184"/>
      <c r="L1477" s="184"/>
      <c r="M1477" s="184"/>
      <c r="N1477" s="184"/>
      <c r="O1477" s="184"/>
      <c r="P1477" s="184"/>
      <c r="Q1477" s="184"/>
      <c r="R1477" s="184"/>
      <c r="S1477" s="186"/>
      <c r="T1477" s="184">
        <v>0.0</v>
      </c>
    </row>
    <row r="1478">
      <c r="A1478" s="184"/>
      <c r="B1478" s="184"/>
      <c r="C1478" s="184"/>
      <c r="D1478" s="184"/>
      <c r="E1478" s="184"/>
      <c r="F1478" s="184"/>
      <c r="G1478" s="184"/>
      <c r="H1478" s="184"/>
      <c r="I1478" s="184"/>
      <c r="J1478" s="184"/>
      <c r="K1478" s="184"/>
      <c r="L1478" s="184"/>
      <c r="M1478" s="184"/>
      <c r="N1478" s="184"/>
      <c r="O1478" s="184"/>
      <c r="P1478" s="184"/>
      <c r="Q1478" s="184"/>
      <c r="R1478" s="184"/>
      <c r="S1478" s="186"/>
      <c r="T1478" s="184">
        <v>0.0</v>
      </c>
    </row>
    <row r="1479">
      <c r="A1479" s="184"/>
      <c r="B1479" s="184"/>
      <c r="C1479" s="184"/>
      <c r="D1479" s="184"/>
      <c r="E1479" s="184"/>
      <c r="F1479" s="184"/>
      <c r="G1479" s="184"/>
      <c r="H1479" s="184"/>
      <c r="I1479" s="184"/>
      <c r="J1479" s="184"/>
      <c r="K1479" s="184"/>
      <c r="L1479" s="184"/>
      <c r="M1479" s="184"/>
      <c r="N1479" s="184"/>
      <c r="O1479" s="184"/>
      <c r="P1479" s="184"/>
      <c r="Q1479" s="184"/>
      <c r="R1479" s="184"/>
      <c r="S1479" s="186"/>
      <c r="T1479" s="184">
        <v>0.0</v>
      </c>
    </row>
    <row r="1480">
      <c r="A1480" s="184"/>
      <c r="B1480" s="184"/>
      <c r="C1480" s="184"/>
      <c r="D1480" s="184"/>
      <c r="E1480" s="184"/>
      <c r="F1480" s="184"/>
      <c r="G1480" s="184"/>
      <c r="H1480" s="184"/>
      <c r="I1480" s="184"/>
      <c r="J1480" s="184"/>
      <c r="K1480" s="184"/>
      <c r="L1480" s="184"/>
      <c r="M1480" s="184"/>
      <c r="N1480" s="184"/>
      <c r="O1480" s="184"/>
      <c r="P1480" s="184"/>
      <c r="Q1480" s="184"/>
      <c r="R1480" s="184"/>
      <c r="S1480" s="186"/>
      <c r="T1480" s="184">
        <v>0.0</v>
      </c>
    </row>
    <row r="1481">
      <c r="A1481" s="184"/>
      <c r="B1481" s="184"/>
      <c r="C1481" s="184"/>
      <c r="D1481" s="184"/>
      <c r="E1481" s="184"/>
      <c r="F1481" s="184"/>
      <c r="G1481" s="184"/>
      <c r="H1481" s="184"/>
      <c r="I1481" s="184"/>
      <c r="J1481" s="184"/>
      <c r="K1481" s="184"/>
      <c r="L1481" s="184"/>
      <c r="M1481" s="184"/>
      <c r="N1481" s="184"/>
      <c r="O1481" s="184"/>
      <c r="P1481" s="184"/>
      <c r="Q1481" s="184"/>
      <c r="R1481" s="184"/>
      <c r="S1481" s="186"/>
      <c r="T1481" s="184">
        <v>0.0</v>
      </c>
    </row>
    <row r="1482">
      <c r="A1482" s="184"/>
      <c r="B1482" s="184"/>
      <c r="C1482" s="184"/>
      <c r="D1482" s="184"/>
      <c r="E1482" s="184"/>
      <c r="F1482" s="184"/>
      <c r="G1482" s="184"/>
      <c r="H1482" s="184"/>
      <c r="I1482" s="184"/>
      <c r="J1482" s="184"/>
      <c r="K1482" s="184"/>
      <c r="L1482" s="184"/>
      <c r="M1482" s="184"/>
      <c r="N1482" s="184"/>
      <c r="O1482" s="184"/>
      <c r="P1482" s="184"/>
      <c r="Q1482" s="184"/>
      <c r="R1482" s="184"/>
      <c r="S1482" s="186"/>
      <c r="T1482" s="184">
        <v>0.0</v>
      </c>
    </row>
    <row r="1483">
      <c r="A1483" s="184"/>
      <c r="B1483" s="184"/>
      <c r="C1483" s="184"/>
      <c r="D1483" s="184"/>
      <c r="E1483" s="184"/>
      <c r="F1483" s="184"/>
      <c r="G1483" s="184"/>
      <c r="H1483" s="184"/>
      <c r="I1483" s="184"/>
      <c r="J1483" s="184"/>
      <c r="K1483" s="184"/>
      <c r="L1483" s="184"/>
      <c r="M1483" s="184"/>
      <c r="N1483" s="184"/>
      <c r="O1483" s="184"/>
      <c r="P1483" s="184"/>
      <c r="Q1483" s="184"/>
      <c r="R1483" s="184"/>
      <c r="S1483" s="186"/>
      <c r="T1483" s="184">
        <v>0.0</v>
      </c>
    </row>
    <row r="1484">
      <c r="A1484" s="184"/>
      <c r="B1484" s="184"/>
      <c r="C1484" s="184"/>
      <c r="D1484" s="184"/>
      <c r="E1484" s="184"/>
      <c r="F1484" s="184"/>
      <c r="G1484" s="184"/>
      <c r="H1484" s="184"/>
      <c r="I1484" s="184"/>
      <c r="J1484" s="184"/>
      <c r="K1484" s="184"/>
      <c r="L1484" s="184"/>
      <c r="M1484" s="184"/>
      <c r="N1484" s="184"/>
      <c r="O1484" s="184"/>
      <c r="P1484" s="184"/>
      <c r="Q1484" s="184"/>
      <c r="R1484" s="184"/>
      <c r="S1484" s="186"/>
      <c r="T1484" s="184">
        <v>0.0</v>
      </c>
    </row>
    <row r="1485">
      <c r="A1485" s="184"/>
      <c r="B1485" s="184"/>
      <c r="C1485" s="184"/>
      <c r="D1485" s="184"/>
      <c r="E1485" s="184"/>
      <c r="F1485" s="184"/>
      <c r="G1485" s="184"/>
      <c r="H1485" s="184"/>
      <c r="I1485" s="184"/>
      <c r="J1485" s="184"/>
      <c r="K1485" s="184"/>
      <c r="L1485" s="184"/>
      <c r="M1485" s="184"/>
      <c r="N1485" s="184"/>
      <c r="O1485" s="184"/>
      <c r="P1485" s="184"/>
      <c r="Q1485" s="184"/>
      <c r="R1485" s="184"/>
      <c r="S1485" s="186"/>
      <c r="T1485" s="184">
        <v>0.0</v>
      </c>
    </row>
    <row r="1486">
      <c r="A1486" s="184"/>
      <c r="B1486" s="184"/>
      <c r="C1486" s="184"/>
      <c r="D1486" s="184"/>
      <c r="E1486" s="184"/>
      <c r="F1486" s="184"/>
      <c r="G1486" s="184"/>
      <c r="H1486" s="184"/>
      <c r="I1486" s="184"/>
      <c r="J1486" s="184"/>
      <c r="K1486" s="184"/>
      <c r="L1486" s="184"/>
      <c r="M1486" s="184"/>
      <c r="N1486" s="184"/>
      <c r="O1486" s="184"/>
      <c r="P1486" s="184"/>
      <c r="Q1486" s="184"/>
      <c r="R1486" s="184"/>
      <c r="S1486" s="186"/>
      <c r="T1486" s="184">
        <v>0.0</v>
      </c>
    </row>
    <row r="1487">
      <c r="A1487" s="184"/>
      <c r="B1487" s="184"/>
      <c r="C1487" s="184"/>
      <c r="D1487" s="184"/>
      <c r="E1487" s="184"/>
      <c r="F1487" s="184"/>
      <c r="G1487" s="184"/>
      <c r="H1487" s="184"/>
      <c r="I1487" s="184"/>
      <c r="J1487" s="184"/>
      <c r="K1487" s="184"/>
      <c r="L1487" s="184"/>
      <c r="M1487" s="184"/>
      <c r="N1487" s="184"/>
      <c r="O1487" s="184"/>
      <c r="P1487" s="184"/>
      <c r="Q1487" s="184"/>
      <c r="R1487" s="184"/>
      <c r="S1487" s="186"/>
      <c r="T1487" s="184">
        <v>0.0</v>
      </c>
    </row>
    <row r="1488">
      <c r="A1488" s="184"/>
      <c r="B1488" s="184"/>
      <c r="C1488" s="184"/>
      <c r="D1488" s="184"/>
      <c r="E1488" s="184"/>
      <c r="F1488" s="184"/>
      <c r="G1488" s="184"/>
      <c r="H1488" s="184"/>
      <c r="I1488" s="184"/>
      <c r="J1488" s="184"/>
      <c r="K1488" s="184"/>
      <c r="L1488" s="184"/>
      <c r="M1488" s="184"/>
      <c r="N1488" s="184"/>
      <c r="O1488" s="184"/>
      <c r="P1488" s="184"/>
      <c r="Q1488" s="184"/>
      <c r="R1488" s="184"/>
      <c r="S1488" s="186"/>
      <c r="T1488" s="184">
        <v>0.0</v>
      </c>
    </row>
    <row r="1489">
      <c r="A1489" s="184"/>
      <c r="B1489" s="184"/>
      <c r="C1489" s="184"/>
      <c r="D1489" s="184"/>
      <c r="E1489" s="184"/>
      <c r="F1489" s="184"/>
      <c r="G1489" s="184"/>
      <c r="H1489" s="184"/>
      <c r="I1489" s="184"/>
      <c r="J1489" s="184"/>
      <c r="K1489" s="184"/>
      <c r="L1489" s="184"/>
      <c r="M1489" s="184"/>
      <c r="N1489" s="184"/>
      <c r="O1489" s="184"/>
      <c r="P1489" s="184"/>
      <c r="Q1489" s="184"/>
      <c r="R1489" s="184"/>
      <c r="S1489" s="186"/>
      <c r="T1489" s="184">
        <v>0.0</v>
      </c>
    </row>
    <row r="1490">
      <c r="A1490" s="184"/>
      <c r="B1490" s="184"/>
      <c r="C1490" s="184"/>
      <c r="D1490" s="184"/>
      <c r="E1490" s="184"/>
      <c r="F1490" s="184"/>
      <c r="G1490" s="184"/>
      <c r="H1490" s="184"/>
      <c r="I1490" s="184"/>
      <c r="J1490" s="184"/>
      <c r="K1490" s="184"/>
      <c r="L1490" s="184"/>
      <c r="M1490" s="184"/>
      <c r="N1490" s="184"/>
      <c r="O1490" s="184"/>
      <c r="P1490" s="184"/>
      <c r="Q1490" s="184"/>
      <c r="R1490" s="184"/>
      <c r="S1490" s="186"/>
      <c r="T1490" s="184">
        <v>0.0</v>
      </c>
    </row>
    <row r="1491">
      <c r="A1491" s="184"/>
      <c r="B1491" s="184"/>
      <c r="C1491" s="184"/>
      <c r="D1491" s="184"/>
      <c r="E1491" s="184"/>
      <c r="F1491" s="184"/>
      <c r="G1491" s="184"/>
      <c r="H1491" s="184"/>
      <c r="I1491" s="184"/>
      <c r="J1491" s="184"/>
      <c r="K1491" s="184"/>
      <c r="L1491" s="184"/>
      <c r="M1491" s="184"/>
      <c r="N1491" s="184"/>
      <c r="O1491" s="184"/>
      <c r="P1491" s="184"/>
      <c r="Q1491" s="184"/>
      <c r="R1491" s="184"/>
      <c r="S1491" s="186"/>
      <c r="T1491" s="184">
        <v>0.0</v>
      </c>
    </row>
    <row r="1492">
      <c r="A1492" s="184"/>
      <c r="B1492" s="184"/>
      <c r="C1492" s="184"/>
      <c r="D1492" s="184"/>
      <c r="E1492" s="184"/>
      <c r="F1492" s="184"/>
      <c r="G1492" s="184"/>
      <c r="H1492" s="184"/>
      <c r="I1492" s="184"/>
      <c r="J1492" s="184"/>
      <c r="K1492" s="184"/>
      <c r="L1492" s="184"/>
      <c r="M1492" s="184"/>
      <c r="N1492" s="184"/>
      <c r="O1492" s="184"/>
      <c r="P1492" s="184"/>
      <c r="Q1492" s="184"/>
      <c r="R1492" s="184"/>
      <c r="S1492" s="186"/>
      <c r="T1492" s="184">
        <v>0.0</v>
      </c>
    </row>
    <row r="1493">
      <c r="A1493" s="184"/>
      <c r="B1493" s="184"/>
      <c r="C1493" s="184"/>
      <c r="D1493" s="184"/>
      <c r="E1493" s="184"/>
      <c r="F1493" s="184"/>
      <c r="G1493" s="184"/>
      <c r="H1493" s="184"/>
      <c r="I1493" s="184"/>
      <c r="J1493" s="184"/>
      <c r="K1493" s="184"/>
      <c r="L1493" s="184"/>
      <c r="M1493" s="184"/>
      <c r="N1493" s="184"/>
      <c r="O1493" s="184"/>
      <c r="P1493" s="184"/>
      <c r="Q1493" s="184"/>
      <c r="R1493" s="184"/>
      <c r="S1493" s="186"/>
      <c r="T1493" s="184">
        <v>0.0</v>
      </c>
    </row>
    <row r="1494">
      <c r="A1494" s="184"/>
      <c r="B1494" s="184"/>
      <c r="C1494" s="184"/>
      <c r="D1494" s="184"/>
      <c r="E1494" s="184"/>
      <c r="F1494" s="184"/>
      <c r="G1494" s="184"/>
      <c r="H1494" s="184"/>
      <c r="I1494" s="184"/>
      <c r="J1494" s="184"/>
      <c r="K1494" s="184"/>
      <c r="L1494" s="184"/>
      <c r="M1494" s="184"/>
      <c r="N1494" s="184"/>
      <c r="O1494" s="184"/>
      <c r="P1494" s="184"/>
      <c r="Q1494" s="184"/>
      <c r="R1494" s="184"/>
      <c r="S1494" s="186"/>
      <c r="T1494" s="184">
        <v>0.0</v>
      </c>
    </row>
    <row r="1495">
      <c r="A1495" s="184"/>
      <c r="B1495" s="184"/>
      <c r="C1495" s="184"/>
      <c r="D1495" s="184"/>
      <c r="E1495" s="184"/>
      <c r="F1495" s="184"/>
      <c r="G1495" s="184"/>
      <c r="H1495" s="184"/>
      <c r="I1495" s="184"/>
      <c r="J1495" s="184"/>
      <c r="K1495" s="184"/>
      <c r="L1495" s="184"/>
      <c r="M1495" s="184"/>
      <c r="N1495" s="184"/>
      <c r="O1495" s="184"/>
      <c r="P1495" s="184"/>
      <c r="Q1495" s="184"/>
      <c r="R1495" s="184"/>
      <c r="S1495" s="186"/>
      <c r="T1495" s="184">
        <v>0.0</v>
      </c>
    </row>
    <row r="1496">
      <c r="A1496" s="184"/>
      <c r="B1496" s="184"/>
      <c r="C1496" s="184"/>
      <c r="D1496" s="184"/>
      <c r="E1496" s="184"/>
      <c r="F1496" s="184"/>
      <c r="G1496" s="184"/>
      <c r="H1496" s="184"/>
      <c r="I1496" s="184"/>
      <c r="J1496" s="184"/>
      <c r="K1496" s="184"/>
      <c r="L1496" s="184"/>
      <c r="M1496" s="184"/>
      <c r="N1496" s="184"/>
      <c r="O1496" s="184"/>
      <c r="P1496" s="184"/>
      <c r="Q1496" s="184"/>
      <c r="R1496" s="184"/>
      <c r="S1496" s="186"/>
      <c r="T1496" s="184">
        <v>0.0</v>
      </c>
    </row>
    <row r="1497">
      <c r="A1497" s="184"/>
      <c r="B1497" s="184"/>
      <c r="C1497" s="184"/>
      <c r="D1497" s="184"/>
      <c r="E1497" s="184"/>
      <c r="F1497" s="184"/>
      <c r="G1497" s="184"/>
      <c r="H1497" s="184"/>
      <c r="I1497" s="184"/>
      <c r="J1497" s="184"/>
      <c r="K1497" s="184"/>
      <c r="L1497" s="184"/>
      <c r="M1497" s="184"/>
      <c r="N1497" s="184"/>
      <c r="O1497" s="184"/>
      <c r="P1497" s="184"/>
      <c r="Q1497" s="184"/>
      <c r="R1497" s="184"/>
      <c r="S1497" s="186"/>
      <c r="T1497" s="184">
        <v>0.0</v>
      </c>
    </row>
    <row r="1498">
      <c r="A1498" s="184"/>
      <c r="B1498" s="184"/>
      <c r="C1498" s="184"/>
      <c r="D1498" s="184"/>
      <c r="E1498" s="184"/>
      <c r="F1498" s="184"/>
      <c r="G1498" s="184"/>
      <c r="H1498" s="184"/>
      <c r="I1498" s="184"/>
      <c r="J1498" s="184"/>
      <c r="K1498" s="184"/>
      <c r="L1498" s="184"/>
      <c r="M1498" s="184"/>
      <c r="N1498" s="184"/>
      <c r="O1498" s="184"/>
      <c r="P1498" s="184"/>
      <c r="Q1498" s="184"/>
      <c r="R1498" s="184"/>
      <c r="S1498" s="186"/>
      <c r="T1498" s="184">
        <v>0.0</v>
      </c>
    </row>
    <row r="1499">
      <c r="A1499" s="184"/>
      <c r="B1499" s="184"/>
      <c r="C1499" s="184"/>
      <c r="D1499" s="184"/>
      <c r="E1499" s="184"/>
      <c r="F1499" s="184"/>
      <c r="G1499" s="184"/>
      <c r="H1499" s="184"/>
      <c r="I1499" s="184"/>
      <c r="J1499" s="184"/>
      <c r="K1499" s="184"/>
      <c r="L1499" s="184"/>
      <c r="M1499" s="184"/>
      <c r="N1499" s="184"/>
      <c r="O1499" s="184"/>
      <c r="P1499" s="184"/>
      <c r="Q1499" s="184"/>
      <c r="R1499" s="184"/>
      <c r="S1499" s="186"/>
      <c r="T1499" s="184">
        <v>0.0</v>
      </c>
    </row>
    <row r="1500">
      <c r="A1500" s="184"/>
      <c r="B1500" s="184"/>
      <c r="C1500" s="184"/>
      <c r="D1500" s="184"/>
      <c r="E1500" s="184"/>
      <c r="F1500" s="184"/>
      <c r="G1500" s="184"/>
      <c r="H1500" s="184"/>
      <c r="I1500" s="184"/>
      <c r="J1500" s="184"/>
      <c r="K1500" s="184"/>
      <c r="L1500" s="184"/>
      <c r="M1500" s="184"/>
      <c r="N1500" s="184"/>
      <c r="O1500" s="184"/>
      <c r="P1500" s="184"/>
      <c r="Q1500" s="184"/>
      <c r="R1500" s="184"/>
      <c r="S1500" s="186"/>
      <c r="T1500" s="184">
        <v>0.0</v>
      </c>
    </row>
    <row r="1501">
      <c r="A1501" s="184"/>
      <c r="B1501" s="184"/>
      <c r="C1501" s="184"/>
      <c r="D1501" s="184"/>
      <c r="E1501" s="184"/>
      <c r="F1501" s="184"/>
      <c r="G1501" s="184"/>
      <c r="H1501" s="184"/>
      <c r="I1501" s="184"/>
      <c r="J1501" s="184"/>
      <c r="K1501" s="184"/>
      <c r="L1501" s="184"/>
      <c r="M1501" s="184"/>
      <c r="N1501" s="184"/>
      <c r="O1501" s="184"/>
      <c r="P1501" s="184"/>
      <c r="Q1501" s="184"/>
      <c r="R1501" s="184"/>
      <c r="S1501" s="186"/>
      <c r="T1501" s="184">
        <v>0.0</v>
      </c>
    </row>
    <row r="1502">
      <c r="A1502" s="184"/>
      <c r="B1502" s="184"/>
      <c r="C1502" s="184"/>
      <c r="D1502" s="184"/>
      <c r="E1502" s="184"/>
      <c r="F1502" s="184"/>
      <c r="G1502" s="184"/>
      <c r="H1502" s="184"/>
      <c r="I1502" s="184"/>
      <c r="J1502" s="184"/>
      <c r="K1502" s="184"/>
      <c r="L1502" s="184"/>
      <c r="M1502" s="184"/>
      <c r="N1502" s="184"/>
      <c r="O1502" s="184"/>
      <c r="P1502" s="184"/>
      <c r="Q1502" s="184"/>
      <c r="R1502" s="184"/>
      <c r="S1502" s="186"/>
      <c r="T1502" s="184">
        <v>0.0</v>
      </c>
    </row>
    <row r="1503">
      <c r="A1503" s="184"/>
      <c r="B1503" s="184"/>
      <c r="C1503" s="184"/>
      <c r="D1503" s="184"/>
      <c r="E1503" s="184"/>
      <c r="F1503" s="184"/>
      <c r="G1503" s="184"/>
      <c r="H1503" s="184"/>
      <c r="I1503" s="184"/>
      <c r="J1503" s="184"/>
      <c r="K1503" s="184"/>
      <c r="L1503" s="184"/>
      <c r="M1503" s="184"/>
      <c r="N1503" s="184"/>
      <c r="O1503" s="184"/>
      <c r="P1503" s="184"/>
      <c r="Q1503" s="184"/>
      <c r="R1503" s="184"/>
      <c r="S1503" s="186"/>
      <c r="T1503" s="184">
        <v>0.0</v>
      </c>
    </row>
    <row r="1504">
      <c r="A1504" s="184"/>
      <c r="B1504" s="184"/>
      <c r="C1504" s="184"/>
      <c r="D1504" s="184"/>
      <c r="E1504" s="184"/>
      <c r="F1504" s="184"/>
      <c r="G1504" s="184"/>
      <c r="H1504" s="184"/>
      <c r="I1504" s="184"/>
      <c r="J1504" s="184"/>
      <c r="K1504" s="184"/>
      <c r="L1504" s="184"/>
      <c r="M1504" s="184"/>
      <c r="N1504" s="184"/>
      <c r="O1504" s="184"/>
      <c r="P1504" s="184"/>
      <c r="Q1504" s="184"/>
      <c r="R1504" s="184"/>
      <c r="S1504" s="186"/>
      <c r="T1504" s="184">
        <v>0.0</v>
      </c>
    </row>
    <row r="1505">
      <c r="A1505" s="184"/>
      <c r="B1505" s="184"/>
      <c r="C1505" s="184"/>
      <c r="D1505" s="184"/>
      <c r="E1505" s="184"/>
      <c r="F1505" s="184"/>
      <c r="G1505" s="184"/>
      <c r="H1505" s="184"/>
      <c r="I1505" s="184"/>
      <c r="J1505" s="184"/>
      <c r="K1505" s="184"/>
      <c r="L1505" s="184"/>
      <c r="M1505" s="184"/>
      <c r="N1505" s="184"/>
      <c r="O1505" s="184"/>
      <c r="P1505" s="184"/>
      <c r="Q1505" s="184"/>
      <c r="R1505" s="184"/>
      <c r="S1505" s="186"/>
      <c r="T1505" s="184">
        <v>0.0</v>
      </c>
    </row>
    <row r="1506">
      <c r="A1506" s="184"/>
      <c r="B1506" s="184"/>
      <c r="C1506" s="184"/>
      <c r="D1506" s="184"/>
      <c r="E1506" s="184"/>
      <c r="F1506" s="184"/>
      <c r="G1506" s="184"/>
      <c r="H1506" s="184"/>
      <c r="I1506" s="184"/>
      <c r="J1506" s="184"/>
      <c r="K1506" s="184"/>
      <c r="L1506" s="184"/>
      <c r="M1506" s="184"/>
      <c r="N1506" s="184"/>
      <c r="O1506" s="184"/>
      <c r="P1506" s="184"/>
      <c r="Q1506" s="184"/>
      <c r="R1506" s="184"/>
      <c r="S1506" s="186"/>
      <c r="T1506" s="184">
        <v>0.0</v>
      </c>
    </row>
    <row r="1507">
      <c r="A1507" s="184"/>
      <c r="B1507" s="184"/>
      <c r="C1507" s="184"/>
      <c r="D1507" s="184"/>
      <c r="E1507" s="184"/>
      <c r="F1507" s="184"/>
      <c r="G1507" s="184"/>
      <c r="H1507" s="184"/>
      <c r="I1507" s="184"/>
      <c r="J1507" s="184"/>
      <c r="K1507" s="184"/>
      <c r="L1507" s="184"/>
      <c r="M1507" s="184"/>
      <c r="N1507" s="184"/>
      <c r="O1507" s="184"/>
      <c r="P1507" s="184"/>
      <c r="Q1507" s="184"/>
      <c r="R1507" s="184"/>
      <c r="S1507" s="186"/>
      <c r="T1507" s="184">
        <v>0.0</v>
      </c>
    </row>
    <row r="1508">
      <c r="A1508" s="184"/>
      <c r="B1508" s="184"/>
      <c r="C1508" s="184"/>
      <c r="D1508" s="184"/>
      <c r="E1508" s="184"/>
      <c r="F1508" s="184"/>
      <c r="G1508" s="184"/>
      <c r="H1508" s="184"/>
      <c r="I1508" s="184"/>
      <c r="J1508" s="184"/>
      <c r="K1508" s="184"/>
      <c r="L1508" s="184"/>
      <c r="M1508" s="184"/>
      <c r="N1508" s="184"/>
      <c r="O1508" s="184"/>
      <c r="P1508" s="184"/>
      <c r="Q1508" s="184"/>
      <c r="R1508" s="184"/>
      <c r="S1508" s="186"/>
      <c r="T1508" s="184">
        <v>0.0</v>
      </c>
    </row>
    <row r="1509">
      <c r="A1509" s="184"/>
      <c r="B1509" s="184"/>
      <c r="C1509" s="184"/>
      <c r="D1509" s="184"/>
      <c r="E1509" s="184"/>
      <c r="F1509" s="184"/>
      <c r="G1509" s="184"/>
      <c r="H1509" s="184"/>
      <c r="I1509" s="184"/>
      <c r="J1509" s="184"/>
      <c r="K1509" s="184"/>
      <c r="L1509" s="184"/>
      <c r="M1509" s="184"/>
      <c r="N1509" s="184"/>
      <c r="O1509" s="184"/>
      <c r="P1509" s="184"/>
      <c r="Q1509" s="184"/>
      <c r="R1509" s="184"/>
      <c r="S1509" s="186"/>
      <c r="T1509" s="184">
        <v>0.0</v>
      </c>
    </row>
    <row r="1510">
      <c r="A1510" s="184"/>
      <c r="B1510" s="184"/>
      <c r="C1510" s="184"/>
      <c r="D1510" s="184"/>
      <c r="E1510" s="184"/>
      <c r="F1510" s="184"/>
      <c r="G1510" s="184"/>
      <c r="H1510" s="184"/>
      <c r="I1510" s="184"/>
      <c r="J1510" s="184"/>
      <c r="K1510" s="184"/>
      <c r="L1510" s="184"/>
      <c r="M1510" s="184"/>
      <c r="N1510" s="184"/>
      <c r="O1510" s="184"/>
      <c r="P1510" s="184"/>
      <c r="Q1510" s="184"/>
      <c r="R1510" s="184"/>
      <c r="S1510" s="186"/>
      <c r="T1510" s="184">
        <v>0.0</v>
      </c>
    </row>
    <row r="1511">
      <c r="A1511" s="184"/>
      <c r="B1511" s="184"/>
      <c r="C1511" s="184"/>
      <c r="D1511" s="184"/>
      <c r="E1511" s="184"/>
      <c r="F1511" s="184"/>
      <c r="G1511" s="184"/>
      <c r="H1511" s="184"/>
      <c r="I1511" s="184"/>
      <c r="J1511" s="184"/>
      <c r="K1511" s="184"/>
      <c r="L1511" s="184"/>
      <c r="M1511" s="184"/>
      <c r="N1511" s="184"/>
      <c r="O1511" s="184"/>
      <c r="P1511" s="184"/>
      <c r="Q1511" s="184"/>
      <c r="R1511" s="184"/>
      <c r="S1511" s="186"/>
      <c r="T1511" s="184">
        <v>0.0</v>
      </c>
    </row>
    <row r="1512">
      <c r="A1512" s="184"/>
      <c r="B1512" s="184"/>
      <c r="C1512" s="184"/>
      <c r="D1512" s="184"/>
      <c r="E1512" s="184"/>
      <c r="F1512" s="184"/>
      <c r="G1512" s="184"/>
      <c r="H1512" s="184"/>
      <c r="I1512" s="184"/>
      <c r="J1512" s="184"/>
      <c r="K1512" s="184"/>
      <c r="L1512" s="184"/>
      <c r="M1512" s="184"/>
      <c r="N1512" s="184"/>
      <c r="O1512" s="184"/>
      <c r="P1512" s="184"/>
      <c r="Q1512" s="184"/>
      <c r="R1512" s="184"/>
      <c r="S1512" s="186"/>
      <c r="T1512" s="184">
        <v>0.0</v>
      </c>
    </row>
    <row r="1513">
      <c r="A1513" s="184"/>
      <c r="B1513" s="184"/>
      <c r="C1513" s="184"/>
      <c r="D1513" s="184"/>
      <c r="E1513" s="184"/>
      <c r="F1513" s="184"/>
      <c r="G1513" s="184"/>
      <c r="H1513" s="184"/>
      <c r="I1513" s="184"/>
      <c r="J1513" s="184"/>
      <c r="K1513" s="184"/>
      <c r="L1513" s="184"/>
      <c r="M1513" s="184"/>
      <c r="N1513" s="184"/>
      <c r="O1513" s="184"/>
      <c r="P1513" s="184"/>
      <c r="Q1513" s="184"/>
      <c r="R1513" s="184"/>
      <c r="S1513" s="186"/>
      <c r="T1513" s="184">
        <v>0.0</v>
      </c>
    </row>
    <row r="1514">
      <c r="A1514" s="184"/>
      <c r="B1514" s="184"/>
      <c r="C1514" s="184"/>
      <c r="D1514" s="184"/>
      <c r="E1514" s="184"/>
      <c r="F1514" s="184"/>
      <c r="G1514" s="184"/>
      <c r="H1514" s="184"/>
      <c r="I1514" s="184"/>
      <c r="J1514" s="184"/>
      <c r="K1514" s="184"/>
      <c r="L1514" s="184"/>
      <c r="M1514" s="184"/>
      <c r="N1514" s="184"/>
      <c r="O1514" s="184"/>
      <c r="P1514" s="184"/>
      <c r="Q1514" s="184"/>
      <c r="R1514" s="184"/>
      <c r="S1514" s="186"/>
      <c r="T1514" s="184">
        <v>0.0</v>
      </c>
    </row>
    <row r="1515">
      <c r="A1515" s="184"/>
      <c r="B1515" s="184"/>
      <c r="C1515" s="184"/>
      <c r="D1515" s="184"/>
      <c r="E1515" s="184"/>
      <c r="F1515" s="184"/>
      <c r="G1515" s="184"/>
      <c r="H1515" s="184"/>
      <c r="I1515" s="184"/>
      <c r="J1515" s="184"/>
      <c r="K1515" s="184"/>
      <c r="L1515" s="184"/>
      <c r="M1515" s="184"/>
      <c r="N1515" s="184"/>
      <c r="O1515" s="184"/>
      <c r="P1515" s="184"/>
      <c r="Q1515" s="184"/>
      <c r="R1515" s="184"/>
      <c r="S1515" s="186"/>
      <c r="T1515" s="184">
        <v>0.0</v>
      </c>
    </row>
    <row r="1516">
      <c r="A1516" s="184"/>
      <c r="B1516" s="184"/>
      <c r="C1516" s="184"/>
      <c r="D1516" s="184"/>
      <c r="E1516" s="184"/>
      <c r="F1516" s="184"/>
      <c r="G1516" s="184"/>
      <c r="H1516" s="184"/>
      <c r="I1516" s="184"/>
      <c r="J1516" s="184"/>
      <c r="K1516" s="184"/>
      <c r="L1516" s="184"/>
      <c r="M1516" s="184"/>
      <c r="N1516" s="184"/>
      <c r="O1516" s="184"/>
      <c r="P1516" s="184"/>
      <c r="Q1516" s="184"/>
      <c r="R1516" s="184"/>
      <c r="S1516" s="186"/>
      <c r="T1516" s="184">
        <v>0.0</v>
      </c>
    </row>
    <row r="1517">
      <c r="A1517" s="184"/>
      <c r="B1517" s="184"/>
      <c r="C1517" s="184"/>
      <c r="D1517" s="184"/>
      <c r="E1517" s="184"/>
      <c r="F1517" s="184"/>
      <c r="G1517" s="184"/>
      <c r="H1517" s="184"/>
      <c r="I1517" s="184"/>
      <c r="J1517" s="184"/>
      <c r="K1517" s="184"/>
      <c r="L1517" s="184"/>
      <c r="M1517" s="184"/>
      <c r="N1517" s="184"/>
      <c r="O1517" s="184"/>
      <c r="P1517" s="184"/>
      <c r="Q1517" s="184"/>
      <c r="R1517" s="184"/>
      <c r="S1517" s="186"/>
      <c r="T1517" s="184">
        <v>0.0</v>
      </c>
    </row>
    <row r="1518">
      <c r="A1518" s="184"/>
      <c r="B1518" s="184"/>
      <c r="C1518" s="184"/>
      <c r="D1518" s="184"/>
      <c r="E1518" s="184"/>
      <c r="F1518" s="184"/>
      <c r="G1518" s="184"/>
      <c r="H1518" s="184"/>
      <c r="I1518" s="184"/>
      <c r="J1518" s="184"/>
      <c r="K1518" s="184"/>
      <c r="L1518" s="184"/>
      <c r="M1518" s="184"/>
      <c r="N1518" s="184"/>
      <c r="O1518" s="184"/>
      <c r="P1518" s="184"/>
      <c r="Q1518" s="184"/>
      <c r="R1518" s="184"/>
      <c r="S1518" s="186"/>
      <c r="T1518" s="184">
        <v>0.0</v>
      </c>
    </row>
    <row r="1519">
      <c r="A1519" s="184"/>
      <c r="B1519" s="184"/>
      <c r="C1519" s="184"/>
      <c r="D1519" s="184"/>
      <c r="E1519" s="184"/>
      <c r="F1519" s="184"/>
      <c r="G1519" s="184"/>
      <c r="H1519" s="184"/>
      <c r="I1519" s="184"/>
      <c r="J1519" s="184"/>
      <c r="K1519" s="184"/>
      <c r="L1519" s="184"/>
      <c r="M1519" s="184"/>
      <c r="N1519" s="184"/>
      <c r="O1519" s="184"/>
      <c r="P1519" s="184"/>
      <c r="Q1519" s="184"/>
      <c r="R1519" s="184"/>
      <c r="S1519" s="186"/>
      <c r="T1519" s="184">
        <v>0.0</v>
      </c>
    </row>
    <row r="1520">
      <c r="A1520" s="184"/>
      <c r="B1520" s="184"/>
      <c r="C1520" s="184"/>
      <c r="D1520" s="184"/>
      <c r="E1520" s="184"/>
      <c r="F1520" s="184"/>
      <c r="G1520" s="184"/>
      <c r="H1520" s="184"/>
      <c r="I1520" s="184"/>
      <c r="J1520" s="184"/>
      <c r="K1520" s="184"/>
      <c r="L1520" s="184"/>
      <c r="M1520" s="184"/>
      <c r="N1520" s="184"/>
      <c r="O1520" s="184"/>
      <c r="P1520" s="184"/>
      <c r="Q1520" s="184"/>
      <c r="R1520" s="184"/>
      <c r="S1520" s="186"/>
      <c r="T1520" s="184">
        <v>0.0</v>
      </c>
    </row>
    <row r="1521">
      <c r="A1521" s="184"/>
      <c r="B1521" s="184"/>
      <c r="C1521" s="184"/>
      <c r="D1521" s="184"/>
      <c r="E1521" s="184"/>
      <c r="F1521" s="184"/>
      <c r="G1521" s="184"/>
      <c r="H1521" s="184"/>
      <c r="I1521" s="184"/>
      <c r="J1521" s="184"/>
      <c r="K1521" s="184"/>
      <c r="L1521" s="184"/>
      <c r="M1521" s="184"/>
      <c r="N1521" s="184"/>
      <c r="O1521" s="184"/>
      <c r="P1521" s="184"/>
      <c r="Q1521" s="184"/>
      <c r="R1521" s="184"/>
      <c r="S1521" s="186"/>
      <c r="T1521" s="184">
        <v>0.0</v>
      </c>
    </row>
    <row r="1522">
      <c r="A1522" s="184"/>
      <c r="B1522" s="184"/>
      <c r="C1522" s="184"/>
      <c r="D1522" s="184"/>
      <c r="E1522" s="184"/>
      <c r="F1522" s="184"/>
      <c r="G1522" s="184"/>
      <c r="H1522" s="184"/>
      <c r="I1522" s="184"/>
      <c r="J1522" s="184"/>
      <c r="K1522" s="184"/>
      <c r="L1522" s="184"/>
      <c r="M1522" s="184"/>
      <c r="N1522" s="184"/>
      <c r="O1522" s="184"/>
      <c r="P1522" s="184"/>
      <c r="Q1522" s="184"/>
      <c r="R1522" s="184"/>
      <c r="S1522" s="186"/>
      <c r="T1522" s="184">
        <v>0.0</v>
      </c>
    </row>
    <row r="1523">
      <c r="A1523" s="184"/>
      <c r="B1523" s="184"/>
      <c r="C1523" s="184"/>
      <c r="D1523" s="184"/>
      <c r="E1523" s="184"/>
      <c r="F1523" s="184"/>
      <c r="G1523" s="184"/>
      <c r="H1523" s="184"/>
      <c r="I1523" s="184"/>
      <c r="J1523" s="184"/>
      <c r="K1523" s="184"/>
      <c r="L1523" s="184"/>
      <c r="M1523" s="184"/>
      <c r="N1523" s="184"/>
      <c r="O1523" s="184"/>
      <c r="P1523" s="184"/>
      <c r="Q1523" s="184"/>
      <c r="R1523" s="184"/>
      <c r="S1523" s="186"/>
      <c r="T1523" s="184">
        <v>0.0</v>
      </c>
    </row>
    <row r="1524">
      <c r="A1524" s="184"/>
      <c r="B1524" s="184"/>
      <c r="C1524" s="184"/>
      <c r="D1524" s="184"/>
      <c r="E1524" s="184"/>
      <c r="F1524" s="184"/>
      <c r="G1524" s="184"/>
      <c r="H1524" s="184"/>
      <c r="I1524" s="184"/>
      <c r="J1524" s="184"/>
      <c r="K1524" s="184"/>
      <c r="L1524" s="184"/>
      <c r="M1524" s="184"/>
      <c r="N1524" s="184"/>
      <c r="O1524" s="184"/>
      <c r="P1524" s="184"/>
      <c r="Q1524" s="184"/>
      <c r="R1524" s="184"/>
      <c r="S1524" s="186"/>
      <c r="T1524" s="184">
        <v>0.0</v>
      </c>
    </row>
    <row r="1525">
      <c r="A1525" s="184"/>
      <c r="B1525" s="184"/>
      <c r="C1525" s="184"/>
      <c r="D1525" s="184"/>
      <c r="E1525" s="184"/>
      <c r="F1525" s="184"/>
      <c r="G1525" s="184"/>
      <c r="H1525" s="184"/>
      <c r="I1525" s="184"/>
      <c r="J1525" s="184"/>
      <c r="K1525" s="184"/>
      <c r="L1525" s="184"/>
      <c r="M1525" s="184"/>
      <c r="N1525" s="184"/>
      <c r="O1525" s="184"/>
      <c r="P1525" s="184"/>
      <c r="Q1525" s="184"/>
      <c r="R1525" s="184"/>
      <c r="S1525" s="186"/>
      <c r="T1525" s="184">
        <v>0.0</v>
      </c>
    </row>
    <row r="1526">
      <c r="A1526" s="184"/>
      <c r="B1526" s="184"/>
      <c r="C1526" s="184"/>
      <c r="D1526" s="184"/>
      <c r="E1526" s="184"/>
      <c r="F1526" s="184"/>
      <c r="G1526" s="184"/>
      <c r="H1526" s="184"/>
      <c r="I1526" s="184"/>
      <c r="J1526" s="184"/>
      <c r="K1526" s="184"/>
      <c r="L1526" s="184"/>
      <c r="M1526" s="184"/>
      <c r="N1526" s="184"/>
      <c r="O1526" s="184"/>
      <c r="P1526" s="184"/>
      <c r="Q1526" s="184"/>
      <c r="R1526" s="184"/>
      <c r="S1526" s="186"/>
      <c r="T1526" s="184">
        <v>0.0</v>
      </c>
    </row>
    <row r="1527">
      <c r="A1527" s="184"/>
      <c r="B1527" s="184"/>
      <c r="C1527" s="184"/>
      <c r="D1527" s="184"/>
      <c r="E1527" s="184"/>
      <c r="F1527" s="184"/>
      <c r="G1527" s="184"/>
      <c r="H1527" s="184"/>
      <c r="I1527" s="184"/>
      <c r="J1527" s="184"/>
      <c r="K1527" s="184"/>
      <c r="L1527" s="184"/>
      <c r="M1527" s="184"/>
      <c r="N1527" s="184"/>
      <c r="O1527" s="184"/>
      <c r="P1527" s="184"/>
      <c r="Q1527" s="184"/>
      <c r="R1527" s="184"/>
      <c r="S1527" s="186"/>
      <c r="T1527" s="184">
        <v>0.0</v>
      </c>
    </row>
    <row r="1528">
      <c r="A1528" s="184"/>
      <c r="B1528" s="184"/>
      <c r="C1528" s="184"/>
      <c r="D1528" s="184"/>
      <c r="E1528" s="184"/>
      <c r="F1528" s="184"/>
      <c r="G1528" s="184"/>
      <c r="H1528" s="184"/>
      <c r="I1528" s="184"/>
      <c r="J1528" s="184"/>
      <c r="K1528" s="184"/>
      <c r="L1528" s="184"/>
      <c r="M1528" s="184"/>
      <c r="N1528" s="184"/>
      <c r="O1528" s="184"/>
      <c r="P1528" s="184"/>
      <c r="Q1528" s="184"/>
      <c r="R1528" s="184"/>
      <c r="S1528" s="186"/>
      <c r="T1528" s="184">
        <v>0.0</v>
      </c>
    </row>
    <row r="1529">
      <c r="A1529" s="184"/>
      <c r="B1529" s="184"/>
      <c r="C1529" s="184"/>
      <c r="D1529" s="184"/>
      <c r="E1529" s="184"/>
      <c r="F1529" s="184"/>
      <c r="G1529" s="184"/>
      <c r="H1529" s="184"/>
      <c r="I1529" s="184"/>
      <c r="J1529" s="184"/>
      <c r="K1529" s="184"/>
      <c r="L1529" s="184"/>
      <c r="M1529" s="184"/>
      <c r="N1529" s="184"/>
      <c r="O1529" s="184"/>
      <c r="P1529" s="184"/>
      <c r="Q1529" s="184"/>
      <c r="R1529" s="184"/>
      <c r="S1529" s="186"/>
      <c r="T1529" s="184">
        <v>0.0</v>
      </c>
    </row>
    <row r="1530">
      <c r="A1530" s="184"/>
      <c r="B1530" s="184"/>
      <c r="C1530" s="184"/>
      <c r="D1530" s="184"/>
      <c r="E1530" s="184"/>
      <c r="F1530" s="184"/>
      <c r="G1530" s="184"/>
      <c r="H1530" s="184"/>
      <c r="I1530" s="184"/>
      <c r="J1530" s="184"/>
      <c r="K1530" s="184"/>
      <c r="L1530" s="184"/>
      <c r="M1530" s="184"/>
      <c r="N1530" s="184"/>
      <c r="O1530" s="184"/>
      <c r="P1530" s="184"/>
      <c r="Q1530" s="184"/>
      <c r="R1530" s="184"/>
      <c r="S1530" s="186"/>
      <c r="T1530" s="184">
        <v>0.0</v>
      </c>
    </row>
    <row r="1531">
      <c r="A1531" s="184"/>
      <c r="B1531" s="184"/>
      <c r="C1531" s="184"/>
      <c r="D1531" s="184"/>
      <c r="E1531" s="184"/>
      <c r="F1531" s="184"/>
      <c r="G1531" s="184"/>
      <c r="H1531" s="184"/>
      <c r="I1531" s="184"/>
      <c r="J1531" s="184"/>
      <c r="K1531" s="184"/>
      <c r="L1531" s="184"/>
      <c r="M1531" s="184"/>
      <c r="N1531" s="184"/>
      <c r="O1531" s="184"/>
      <c r="P1531" s="184"/>
      <c r="Q1531" s="184"/>
      <c r="R1531" s="184"/>
      <c r="S1531" s="186"/>
      <c r="T1531" s="184">
        <v>0.0</v>
      </c>
    </row>
    <row r="1532">
      <c r="A1532" s="184"/>
      <c r="B1532" s="184"/>
      <c r="C1532" s="184"/>
      <c r="D1532" s="184"/>
      <c r="E1532" s="184"/>
      <c r="F1532" s="184"/>
      <c r="G1532" s="184"/>
      <c r="H1532" s="184"/>
      <c r="I1532" s="184"/>
      <c r="J1532" s="184"/>
      <c r="K1532" s="184"/>
      <c r="L1532" s="184"/>
      <c r="M1532" s="184"/>
      <c r="N1532" s="184"/>
      <c r="O1532" s="184"/>
      <c r="P1532" s="184"/>
      <c r="Q1532" s="184"/>
      <c r="R1532" s="184"/>
      <c r="S1532" s="186"/>
      <c r="T1532" s="184">
        <v>0.0</v>
      </c>
    </row>
    <row r="1533">
      <c r="A1533" s="184"/>
      <c r="B1533" s="184"/>
      <c r="C1533" s="184"/>
      <c r="D1533" s="184"/>
      <c r="E1533" s="184"/>
      <c r="F1533" s="184"/>
      <c r="G1533" s="184"/>
      <c r="H1533" s="184"/>
      <c r="I1533" s="184"/>
      <c r="J1533" s="184"/>
      <c r="K1533" s="184"/>
      <c r="L1533" s="184"/>
      <c r="M1533" s="184"/>
      <c r="N1533" s="184"/>
      <c r="O1533" s="184"/>
      <c r="P1533" s="184"/>
      <c r="Q1533" s="184"/>
      <c r="R1533" s="184"/>
      <c r="S1533" s="186"/>
      <c r="T1533" s="184">
        <v>0.0</v>
      </c>
    </row>
    <row r="1534">
      <c r="A1534" s="184"/>
      <c r="B1534" s="184"/>
      <c r="C1534" s="184"/>
      <c r="D1534" s="184"/>
      <c r="E1534" s="184"/>
      <c r="F1534" s="184"/>
      <c r="G1534" s="184"/>
      <c r="H1534" s="184"/>
      <c r="I1534" s="184"/>
      <c r="J1534" s="184"/>
      <c r="K1534" s="184"/>
      <c r="L1534" s="184"/>
      <c r="M1534" s="184"/>
      <c r="N1534" s="184"/>
      <c r="O1534" s="184"/>
      <c r="P1534" s="184"/>
      <c r="Q1534" s="184"/>
      <c r="R1534" s="184"/>
      <c r="S1534" s="186"/>
      <c r="T1534" s="184">
        <v>0.0</v>
      </c>
    </row>
    <row r="1535">
      <c r="A1535" s="184"/>
      <c r="B1535" s="184"/>
      <c r="C1535" s="184"/>
      <c r="D1535" s="184"/>
      <c r="E1535" s="184"/>
      <c r="F1535" s="184"/>
      <c r="G1535" s="184"/>
      <c r="H1535" s="184"/>
      <c r="I1535" s="184"/>
      <c r="J1535" s="184"/>
      <c r="K1535" s="184"/>
      <c r="L1535" s="184"/>
      <c r="M1535" s="184"/>
      <c r="N1535" s="184"/>
      <c r="O1535" s="184"/>
      <c r="P1535" s="184"/>
      <c r="Q1535" s="184"/>
      <c r="R1535" s="184"/>
      <c r="S1535" s="186"/>
      <c r="T1535" s="184">
        <v>0.0</v>
      </c>
    </row>
    <row r="1536">
      <c r="A1536" s="184"/>
      <c r="B1536" s="184"/>
      <c r="C1536" s="184"/>
      <c r="D1536" s="184"/>
      <c r="E1536" s="184"/>
      <c r="F1536" s="184"/>
      <c r="G1536" s="184"/>
      <c r="H1536" s="184"/>
      <c r="I1536" s="184"/>
      <c r="J1536" s="184"/>
      <c r="K1536" s="184"/>
      <c r="L1536" s="184"/>
      <c r="M1536" s="184"/>
      <c r="N1536" s="184"/>
      <c r="O1536" s="184"/>
      <c r="P1536" s="184"/>
      <c r="Q1536" s="184"/>
      <c r="R1536" s="184"/>
      <c r="S1536" s="186"/>
      <c r="T1536" s="184">
        <v>0.0</v>
      </c>
    </row>
    <row r="1537">
      <c r="A1537" s="184"/>
      <c r="B1537" s="184"/>
      <c r="C1537" s="184"/>
      <c r="D1537" s="184"/>
      <c r="E1537" s="184"/>
      <c r="F1537" s="184"/>
      <c r="G1537" s="184"/>
      <c r="H1537" s="184"/>
      <c r="I1537" s="184"/>
      <c r="J1537" s="184"/>
      <c r="K1537" s="184"/>
      <c r="L1537" s="184"/>
      <c r="M1537" s="184"/>
      <c r="N1537" s="184"/>
      <c r="O1537" s="184"/>
      <c r="P1537" s="184"/>
      <c r="Q1537" s="184"/>
      <c r="R1537" s="184"/>
      <c r="S1537" s="186"/>
      <c r="T1537" s="184">
        <v>0.0</v>
      </c>
    </row>
    <row r="1538">
      <c r="A1538" s="184"/>
      <c r="B1538" s="184"/>
      <c r="C1538" s="184"/>
      <c r="D1538" s="184"/>
      <c r="E1538" s="184"/>
      <c r="F1538" s="184"/>
      <c r="G1538" s="184"/>
      <c r="H1538" s="184"/>
      <c r="I1538" s="184"/>
      <c r="J1538" s="184"/>
      <c r="K1538" s="184"/>
      <c r="L1538" s="184"/>
      <c r="M1538" s="184"/>
      <c r="N1538" s="184"/>
      <c r="O1538" s="184"/>
      <c r="P1538" s="184"/>
      <c r="Q1538" s="184"/>
      <c r="R1538" s="184"/>
      <c r="S1538" s="186"/>
      <c r="T1538" s="184">
        <v>0.0</v>
      </c>
    </row>
    <row r="1539">
      <c r="A1539" s="184"/>
      <c r="B1539" s="184"/>
      <c r="C1539" s="184"/>
      <c r="D1539" s="184"/>
      <c r="E1539" s="184"/>
      <c r="F1539" s="184"/>
      <c r="G1539" s="184"/>
      <c r="H1539" s="184"/>
      <c r="I1539" s="184"/>
      <c r="J1539" s="184"/>
      <c r="K1539" s="184"/>
      <c r="L1539" s="184"/>
      <c r="M1539" s="184"/>
      <c r="N1539" s="184"/>
      <c r="O1539" s="184"/>
      <c r="P1539" s="184"/>
      <c r="Q1539" s="184"/>
      <c r="R1539" s="184"/>
      <c r="S1539" s="186"/>
      <c r="T1539" s="184">
        <v>0.0</v>
      </c>
    </row>
    <row r="1540">
      <c r="A1540" s="184"/>
      <c r="B1540" s="184"/>
      <c r="C1540" s="184"/>
      <c r="D1540" s="184"/>
      <c r="E1540" s="184"/>
      <c r="F1540" s="184"/>
      <c r="G1540" s="184"/>
      <c r="H1540" s="184"/>
      <c r="I1540" s="184"/>
      <c r="J1540" s="184"/>
      <c r="K1540" s="184"/>
      <c r="L1540" s="184"/>
      <c r="M1540" s="184"/>
      <c r="N1540" s="184"/>
      <c r="O1540" s="184"/>
      <c r="P1540" s="184"/>
      <c r="Q1540" s="184"/>
      <c r="R1540" s="184"/>
      <c r="S1540" s="186"/>
      <c r="T1540" s="184">
        <v>0.0</v>
      </c>
    </row>
    <row r="1541">
      <c r="A1541" s="184"/>
      <c r="B1541" s="184"/>
      <c r="C1541" s="184"/>
      <c r="D1541" s="184"/>
      <c r="E1541" s="184"/>
      <c r="F1541" s="184"/>
      <c r="G1541" s="184"/>
      <c r="H1541" s="184"/>
      <c r="I1541" s="184"/>
      <c r="J1541" s="184"/>
      <c r="K1541" s="184"/>
      <c r="L1541" s="184"/>
      <c r="M1541" s="184"/>
      <c r="N1541" s="184"/>
      <c r="O1541" s="184"/>
      <c r="P1541" s="184"/>
      <c r="Q1541" s="184"/>
      <c r="R1541" s="184"/>
      <c r="S1541" s="186"/>
      <c r="T1541" s="184">
        <v>0.0</v>
      </c>
    </row>
    <row r="1542">
      <c r="A1542" s="184"/>
      <c r="B1542" s="184"/>
      <c r="C1542" s="184"/>
      <c r="D1542" s="184"/>
      <c r="E1542" s="184"/>
      <c r="F1542" s="184"/>
      <c r="G1542" s="184"/>
      <c r="H1542" s="184"/>
      <c r="I1542" s="184"/>
      <c r="J1542" s="184"/>
      <c r="K1542" s="184"/>
      <c r="L1542" s="184"/>
      <c r="M1542" s="184"/>
      <c r="N1542" s="184"/>
      <c r="O1542" s="184"/>
      <c r="P1542" s="184"/>
      <c r="Q1542" s="184"/>
      <c r="R1542" s="184"/>
      <c r="S1542" s="186"/>
      <c r="T1542" s="184">
        <v>0.0</v>
      </c>
    </row>
    <row r="1543">
      <c r="A1543" s="184"/>
      <c r="B1543" s="184"/>
      <c r="C1543" s="184"/>
      <c r="D1543" s="184"/>
      <c r="E1543" s="184"/>
      <c r="F1543" s="184"/>
      <c r="G1543" s="184"/>
      <c r="H1543" s="184"/>
      <c r="I1543" s="184"/>
      <c r="J1543" s="184"/>
      <c r="K1543" s="184"/>
      <c r="L1543" s="184"/>
      <c r="M1543" s="184"/>
      <c r="N1543" s="184"/>
      <c r="O1543" s="184"/>
      <c r="P1543" s="184"/>
      <c r="Q1543" s="184"/>
      <c r="R1543" s="184"/>
      <c r="S1543" s="186"/>
      <c r="T1543" s="184">
        <v>0.0</v>
      </c>
    </row>
    <row r="1544">
      <c r="A1544" s="184"/>
      <c r="B1544" s="184"/>
      <c r="C1544" s="184"/>
      <c r="D1544" s="184"/>
      <c r="E1544" s="184"/>
      <c r="F1544" s="184"/>
      <c r="G1544" s="184"/>
      <c r="H1544" s="184"/>
      <c r="I1544" s="184"/>
      <c r="J1544" s="184"/>
      <c r="K1544" s="184"/>
      <c r="L1544" s="184"/>
      <c r="M1544" s="184"/>
      <c r="N1544" s="184"/>
      <c r="O1544" s="184"/>
      <c r="P1544" s="184"/>
      <c r="Q1544" s="184"/>
      <c r="R1544" s="184"/>
      <c r="S1544" s="186"/>
      <c r="T1544" s="184">
        <v>0.0</v>
      </c>
    </row>
    <row r="1545">
      <c r="A1545" s="184"/>
      <c r="B1545" s="184"/>
      <c r="C1545" s="184"/>
      <c r="D1545" s="184"/>
      <c r="E1545" s="184"/>
      <c r="F1545" s="184"/>
      <c r="G1545" s="184"/>
      <c r="H1545" s="184"/>
      <c r="I1545" s="184"/>
      <c r="J1545" s="184"/>
      <c r="K1545" s="184"/>
      <c r="L1545" s="184"/>
      <c r="M1545" s="184"/>
      <c r="N1545" s="184"/>
      <c r="O1545" s="184"/>
      <c r="P1545" s="184"/>
      <c r="Q1545" s="184"/>
      <c r="R1545" s="184"/>
      <c r="S1545" s="186"/>
      <c r="T1545" s="184">
        <v>0.0</v>
      </c>
    </row>
    <row r="1546">
      <c r="A1546" s="184"/>
      <c r="B1546" s="184"/>
      <c r="C1546" s="184"/>
      <c r="D1546" s="184"/>
      <c r="E1546" s="184"/>
      <c r="F1546" s="184"/>
      <c r="G1546" s="184"/>
      <c r="H1546" s="184"/>
      <c r="I1546" s="184"/>
      <c r="J1546" s="184"/>
      <c r="K1546" s="184"/>
      <c r="L1546" s="184"/>
      <c r="M1546" s="184"/>
      <c r="N1546" s="184"/>
      <c r="O1546" s="184"/>
      <c r="P1546" s="184"/>
      <c r="Q1546" s="184"/>
      <c r="R1546" s="184"/>
      <c r="S1546" s="186"/>
      <c r="T1546" s="184">
        <v>0.0</v>
      </c>
    </row>
    <row r="1547">
      <c r="A1547" s="184"/>
      <c r="B1547" s="184"/>
      <c r="C1547" s="184"/>
      <c r="D1547" s="184"/>
      <c r="E1547" s="184"/>
      <c r="F1547" s="184"/>
      <c r="G1547" s="184"/>
      <c r="H1547" s="184"/>
      <c r="I1547" s="184"/>
      <c r="J1547" s="184"/>
      <c r="K1547" s="184"/>
      <c r="L1547" s="184"/>
      <c r="M1547" s="184"/>
      <c r="N1547" s="184"/>
      <c r="O1547" s="184"/>
      <c r="P1547" s="184"/>
      <c r="Q1547" s="184"/>
      <c r="R1547" s="184"/>
      <c r="S1547" s="186"/>
      <c r="T1547" s="184">
        <v>0.0</v>
      </c>
    </row>
    <row r="1548">
      <c r="A1548" s="184"/>
      <c r="B1548" s="184"/>
      <c r="C1548" s="184"/>
      <c r="D1548" s="184"/>
      <c r="E1548" s="184"/>
      <c r="F1548" s="184"/>
      <c r="G1548" s="184"/>
      <c r="H1548" s="184"/>
      <c r="I1548" s="184"/>
      <c r="J1548" s="184"/>
      <c r="K1548" s="184"/>
      <c r="L1548" s="184"/>
      <c r="M1548" s="184"/>
      <c r="N1548" s="184"/>
      <c r="O1548" s="184"/>
      <c r="P1548" s="184"/>
      <c r="Q1548" s="184"/>
      <c r="R1548" s="184"/>
      <c r="S1548" s="186"/>
      <c r="T1548" s="184">
        <v>0.0</v>
      </c>
    </row>
    <row r="1549">
      <c r="A1549" s="184"/>
      <c r="B1549" s="184"/>
      <c r="C1549" s="184"/>
      <c r="D1549" s="184"/>
      <c r="E1549" s="184"/>
      <c r="F1549" s="184"/>
      <c r="G1549" s="184"/>
      <c r="H1549" s="184"/>
      <c r="I1549" s="184"/>
      <c r="J1549" s="184"/>
      <c r="K1549" s="184"/>
      <c r="L1549" s="184"/>
      <c r="M1549" s="184"/>
      <c r="N1549" s="184"/>
      <c r="O1549" s="184"/>
      <c r="P1549" s="184"/>
      <c r="Q1549" s="184"/>
      <c r="R1549" s="184"/>
      <c r="S1549" s="186"/>
      <c r="T1549" s="184">
        <v>0.0</v>
      </c>
    </row>
    <row r="1550">
      <c r="A1550" s="184"/>
      <c r="B1550" s="184"/>
      <c r="C1550" s="184"/>
      <c r="D1550" s="184"/>
      <c r="E1550" s="184"/>
      <c r="F1550" s="184"/>
      <c r="G1550" s="184"/>
      <c r="H1550" s="184"/>
      <c r="I1550" s="184"/>
      <c r="J1550" s="184"/>
      <c r="K1550" s="184"/>
      <c r="L1550" s="184"/>
      <c r="M1550" s="184"/>
      <c r="N1550" s="184"/>
      <c r="O1550" s="184"/>
      <c r="P1550" s="184"/>
      <c r="Q1550" s="184"/>
      <c r="R1550" s="184"/>
      <c r="S1550" s="186"/>
      <c r="T1550" s="184">
        <v>0.0</v>
      </c>
    </row>
    <row r="1551">
      <c r="A1551" s="184"/>
      <c r="B1551" s="184"/>
      <c r="C1551" s="184"/>
      <c r="D1551" s="184"/>
      <c r="E1551" s="184"/>
      <c r="F1551" s="184"/>
      <c r="G1551" s="184"/>
      <c r="H1551" s="184"/>
      <c r="I1551" s="184"/>
      <c r="J1551" s="184"/>
      <c r="K1551" s="184"/>
      <c r="L1551" s="184"/>
      <c r="M1551" s="184"/>
      <c r="N1551" s="184"/>
      <c r="O1551" s="184"/>
      <c r="P1551" s="184"/>
      <c r="Q1551" s="184"/>
      <c r="R1551" s="184"/>
      <c r="S1551" s="186"/>
      <c r="T1551" s="184">
        <v>0.0</v>
      </c>
    </row>
    <row r="1552">
      <c r="A1552" s="184"/>
      <c r="B1552" s="184"/>
      <c r="C1552" s="184"/>
      <c r="D1552" s="184"/>
      <c r="E1552" s="184"/>
      <c r="F1552" s="184"/>
      <c r="G1552" s="184"/>
      <c r="H1552" s="184"/>
      <c r="I1552" s="184"/>
      <c r="J1552" s="184"/>
      <c r="K1552" s="184"/>
      <c r="L1552" s="184"/>
      <c r="M1552" s="184"/>
      <c r="N1552" s="184"/>
      <c r="O1552" s="184"/>
      <c r="P1552" s="184"/>
      <c r="Q1552" s="184"/>
      <c r="R1552" s="184"/>
      <c r="S1552" s="186"/>
      <c r="T1552" s="184">
        <v>0.0</v>
      </c>
    </row>
    <row r="1553">
      <c r="A1553" s="184"/>
      <c r="B1553" s="184"/>
      <c r="C1553" s="184"/>
      <c r="D1553" s="184"/>
      <c r="E1553" s="184"/>
      <c r="F1553" s="184"/>
      <c r="G1553" s="184"/>
      <c r="H1553" s="184"/>
      <c r="I1553" s="184"/>
      <c r="J1553" s="184"/>
      <c r="K1553" s="184"/>
      <c r="L1553" s="184"/>
      <c r="M1553" s="184"/>
      <c r="N1553" s="184"/>
      <c r="O1553" s="184"/>
      <c r="P1553" s="184"/>
      <c r="Q1553" s="184"/>
      <c r="R1553" s="184"/>
      <c r="S1553" s="186"/>
      <c r="T1553" s="184">
        <v>0.0</v>
      </c>
    </row>
    <row r="1554">
      <c r="A1554" s="184"/>
      <c r="B1554" s="184"/>
      <c r="C1554" s="184"/>
      <c r="D1554" s="184"/>
      <c r="E1554" s="184"/>
      <c r="F1554" s="184"/>
      <c r="G1554" s="184"/>
      <c r="H1554" s="184"/>
      <c r="I1554" s="184"/>
      <c r="J1554" s="184"/>
      <c r="K1554" s="184"/>
      <c r="L1554" s="184"/>
      <c r="M1554" s="184"/>
      <c r="N1554" s="184"/>
      <c r="O1554" s="184"/>
      <c r="P1554" s="184"/>
      <c r="Q1554" s="184"/>
      <c r="R1554" s="184"/>
      <c r="S1554" s="186"/>
      <c r="T1554" s="184">
        <v>0.0</v>
      </c>
    </row>
    <row r="1555">
      <c r="A1555" s="184"/>
      <c r="B1555" s="184"/>
      <c r="C1555" s="184"/>
      <c r="D1555" s="184"/>
      <c r="E1555" s="184"/>
      <c r="F1555" s="184"/>
      <c r="G1555" s="184"/>
      <c r="H1555" s="184"/>
      <c r="I1555" s="184"/>
      <c r="J1555" s="184"/>
      <c r="K1555" s="184"/>
      <c r="L1555" s="184"/>
      <c r="M1555" s="184"/>
      <c r="N1555" s="184"/>
      <c r="O1555" s="184"/>
      <c r="P1555" s="184"/>
      <c r="Q1555" s="184"/>
      <c r="R1555" s="184"/>
      <c r="S1555" s="186"/>
      <c r="T1555" s="184">
        <v>0.0</v>
      </c>
    </row>
    <row r="1556">
      <c r="A1556" s="184"/>
      <c r="B1556" s="184"/>
      <c r="C1556" s="184"/>
      <c r="D1556" s="184"/>
      <c r="E1556" s="184"/>
      <c r="F1556" s="184"/>
      <c r="G1556" s="184"/>
      <c r="H1556" s="184"/>
      <c r="I1556" s="184"/>
      <c r="J1556" s="184"/>
      <c r="K1556" s="184"/>
      <c r="L1556" s="184"/>
      <c r="M1556" s="184"/>
      <c r="N1556" s="184"/>
      <c r="O1556" s="184"/>
      <c r="P1556" s="184"/>
      <c r="Q1556" s="184"/>
      <c r="R1556" s="184"/>
      <c r="S1556" s="186"/>
      <c r="T1556" s="184">
        <v>0.0</v>
      </c>
    </row>
    <row r="1557">
      <c r="A1557" s="184"/>
      <c r="B1557" s="184"/>
      <c r="C1557" s="184"/>
      <c r="D1557" s="184"/>
      <c r="E1557" s="184"/>
      <c r="F1557" s="184"/>
      <c r="G1557" s="184"/>
      <c r="H1557" s="184"/>
      <c r="I1557" s="184"/>
      <c r="J1557" s="184"/>
      <c r="K1557" s="184"/>
      <c r="L1557" s="184"/>
      <c r="M1557" s="184"/>
      <c r="N1557" s="184"/>
      <c r="O1557" s="184"/>
      <c r="P1557" s="184"/>
      <c r="Q1557" s="184"/>
      <c r="R1557" s="184"/>
      <c r="S1557" s="186"/>
      <c r="T1557" s="184">
        <v>0.0</v>
      </c>
    </row>
    <row r="1558">
      <c r="A1558" s="184"/>
      <c r="B1558" s="184"/>
      <c r="C1558" s="184"/>
      <c r="D1558" s="184"/>
      <c r="E1558" s="184"/>
      <c r="F1558" s="184"/>
      <c r="G1558" s="184"/>
      <c r="H1558" s="184"/>
      <c r="I1558" s="184"/>
      <c r="J1558" s="184"/>
      <c r="K1558" s="184"/>
      <c r="L1558" s="184"/>
      <c r="M1558" s="184"/>
      <c r="N1558" s="184"/>
      <c r="O1558" s="184"/>
      <c r="P1558" s="184"/>
      <c r="Q1558" s="184"/>
      <c r="R1558" s="184"/>
      <c r="S1558" s="186"/>
      <c r="T1558" s="184">
        <v>0.0</v>
      </c>
    </row>
    <row r="1559">
      <c r="A1559" s="184"/>
      <c r="B1559" s="184"/>
      <c r="C1559" s="184"/>
      <c r="D1559" s="184"/>
      <c r="E1559" s="184"/>
      <c r="F1559" s="184"/>
      <c r="G1559" s="184"/>
      <c r="H1559" s="184"/>
      <c r="I1559" s="184"/>
      <c r="J1559" s="184"/>
      <c r="K1559" s="184"/>
      <c r="L1559" s="184"/>
      <c r="M1559" s="184"/>
      <c r="N1559" s="184"/>
      <c r="O1559" s="184"/>
      <c r="P1559" s="184"/>
      <c r="Q1559" s="184"/>
      <c r="R1559" s="184"/>
      <c r="S1559" s="186"/>
      <c r="T1559" s="184">
        <v>0.0</v>
      </c>
    </row>
    <row r="1560">
      <c r="A1560" s="184"/>
      <c r="B1560" s="184"/>
      <c r="C1560" s="184"/>
      <c r="D1560" s="184"/>
      <c r="E1560" s="184"/>
      <c r="F1560" s="184"/>
      <c r="G1560" s="184"/>
      <c r="H1560" s="184"/>
      <c r="I1560" s="184"/>
      <c r="J1560" s="184"/>
      <c r="K1560" s="184"/>
      <c r="L1560" s="184"/>
      <c r="M1560" s="184"/>
      <c r="N1560" s="184"/>
      <c r="O1560" s="184"/>
      <c r="P1560" s="184"/>
      <c r="Q1560" s="184"/>
      <c r="R1560" s="184"/>
      <c r="S1560" s="186"/>
      <c r="T1560" s="184">
        <v>0.0</v>
      </c>
    </row>
    <row r="1561">
      <c r="A1561" s="184"/>
      <c r="B1561" s="184"/>
      <c r="C1561" s="184"/>
      <c r="D1561" s="184"/>
      <c r="E1561" s="184"/>
      <c r="F1561" s="184"/>
      <c r="G1561" s="184"/>
      <c r="H1561" s="184"/>
      <c r="I1561" s="184"/>
      <c r="J1561" s="184"/>
      <c r="K1561" s="184"/>
      <c r="L1561" s="184"/>
      <c r="M1561" s="184"/>
      <c r="N1561" s="184"/>
      <c r="O1561" s="184"/>
      <c r="P1561" s="184"/>
      <c r="Q1561" s="184"/>
      <c r="R1561" s="184"/>
      <c r="S1561" s="186"/>
      <c r="T1561" s="184">
        <v>0.0</v>
      </c>
    </row>
    <row r="1562">
      <c r="A1562" s="184"/>
      <c r="B1562" s="184"/>
      <c r="C1562" s="184"/>
      <c r="D1562" s="184"/>
      <c r="E1562" s="184"/>
      <c r="F1562" s="184"/>
      <c r="G1562" s="184"/>
      <c r="H1562" s="184"/>
      <c r="I1562" s="184"/>
      <c r="J1562" s="184"/>
      <c r="K1562" s="184"/>
      <c r="L1562" s="184"/>
      <c r="M1562" s="184"/>
      <c r="N1562" s="184"/>
      <c r="O1562" s="184"/>
      <c r="P1562" s="184"/>
      <c r="Q1562" s="184"/>
      <c r="R1562" s="184"/>
      <c r="S1562" s="186"/>
      <c r="T1562" s="184">
        <v>0.0</v>
      </c>
    </row>
    <row r="1563">
      <c r="A1563" s="184"/>
      <c r="B1563" s="184"/>
      <c r="C1563" s="184"/>
      <c r="D1563" s="184"/>
      <c r="E1563" s="184"/>
      <c r="F1563" s="184"/>
      <c r="G1563" s="184"/>
      <c r="H1563" s="184"/>
      <c r="I1563" s="184"/>
      <c r="J1563" s="184"/>
      <c r="K1563" s="184"/>
      <c r="L1563" s="184"/>
      <c r="M1563" s="184"/>
      <c r="N1563" s="184"/>
      <c r="O1563" s="184"/>
      <c r="P1563" s="184"/>
      <c r="Q1563" s="184"/>
      <c r="R1563" s="184"/>
      <c r="S1563" s="186"/>
      <c r="T1563" s="184">
        <v>0.0</v>
      </c>
    </row>
    <row r="1564">
      <c r="A1564" s="184"/>
      <c r="B1564" s="184"/>
      <c r="C1564" s="184"/>
      <c r="D1564" s="184"/>
      <c r="E1564" s="184"/>
      <c r="F1564" s="184"/>
      <c r="G1564" s="184"/>
      <c r="H1564" s="184"/>
      <c r="I1564" s="184"/>
      <c r="J1564" s="184"/>
      <c r="K1564" s="184"/>
      <c r="L1564" s="184"/>
      <c r="M1564" s="184"/>
      <c r="N1564" s="184"/>
      <c r="O1564" s="184"/>
      <c r="P1564" s="184"/>
      <c r="Q1564" s="184"/>
      <c r="R1564" s="184"/>
      <c r="S1564" s="186"/>
      <c r="T1564" s="184">
        <v>0.0</v>
      </c>
    </row>
    <row r="1565">
      <c r="A1565" s="184"/>
      <c r="B1565" s="184"/>
      <c r="C1565" s="184"/>
      <c r="D1565" s="184"/>
      <c r="E1565" s="184"/>
      <c r="F1565" s="184"/>
      <c r="G1565" s="184"/>
      <c r="H1565" s="184"/>
      <c r="I1565" s="184"/>
      <c r="J1565" s="184"/>
      <c r="K1565" s="184"/>
      <c r="L1565" s="184"/>
      <c r="M1565" s="184"/>
      <c r="N1565" s="184"/>
      <c r="O1565" s="184"/>
      <c r="P1565" s="184"/>
      <c r="Q1565" s="184"/>
      <c r="R1565" s="184"/>
      <c r="S1565" s="186"/>
      <c r="T1565" s="184">
        <v>0.0</v>
      </c>
    </row>
    <row r="1566">
      <c r="A1566" s="184"/>
      <c r="B1566" s="184"/>
      <c r="C1566" s="184"/>
      <c r="D1566" s="184"/>
      <c r="E1566" s="184"/>
      <c r="F1566" s="184"/>
      <c r="G1566" s="184"/>
      <c r="H1566" s="184"/>
      <c r="I1566" s="184"/>
      <c r="J1566" s="184"/>
      <c r="K1566" s="184"/>
      <c r="L1566" s="184"/>
      <c r="M1566" s="184"/>
      <c r="N1566" s="184"/>
      <c r="O1566" s="184"/>
      <c r="P1566" s="184"/>
      <c r="Q1566" s="184"/>
      <c r="R1566" s="184"/>
      <c r="S1566" s="186"/>
      <c r="T1566" s="184">
        <v>0.0</v>
      </c>
    </row>
    <row r="1567">
      <c r="A1567" s="184"/>
      <c r="B1567" s="184"/>
      <c r="C1567" s="184"/>
      <c r="D1567" s="184"/>
      <c r="E1567" s="184"/>
      <c r="F1567" s="184"/>
      <c r="G1567" s="184"/>
      <c r="H1567" s="184"/>
      <c r="I1567" s="184"/>
      <c r="J1567" s="184"/>
      <c r="K1567" s="184"/>
      <c r="L1567" s="184"/>
      <c r="M1567" s="184"/>
      <c r="N1567" s="184"/>
      <c r="O1567" s="184"/>
      <c r="P1567" s="184"/>
      <c r="Q1567" s="184"/>
      <c r="R1567" s="184"/>
      <c r="S1567" s="186"/>
      <c r="T1567" s="184">
        <v>0.0</v>
      </c>
    </row>
    <row r="1568">
      <c r="A1568" s="184"/>
      <c r="B1568" s="184"/>
      <c r="C1568" s="184"/>
      <c r="D1568" s="184"/>
      <c r="E1568" s="184"/>
      <c r="F1568" s="184"/>
      <c r="G1568" s="184"/>
      <c r="H1568" s="184"/>
      <c r="I1568" s="184"/>
      <c r="J1568" s="184"/>
      <c r="K1568" s="184"/>
      <c r="L1568" s="184"/>
      <c r="M1568" s="184"/>
      <c r="N1568" s="184"/>
      <c r="O1568" s="184"/>
      <c r="P1568" s="184"/>
      <c r="Q1568" s="184"/>
      <c r="R1568" s="184"/>
      <c r="S1568" s="186"/>
      <c r="T1568" s="184">
        <v>0.0</v>
      </c>
    </row>
    <row r="1569">
      <c r="A1569" s="184"/>
      <c r="B1569" s="184"/>
      <c r="C1569" s="184"/>
      <c r="D1569" s="184"/>
      <c r="E1569" s="184"/>
      <c r="F1569" s="184"/>
      <c r="G1569" s="184"/>
      <c r="H1569" s="184"/>
      <c r="I1569" s="184"/>
      <c r="J1569" s="184"/>
      <c r="K1569" s="184"/>
      <c r="L1569" s="184"/>
      <c r="M1569" s="184"/>
      <c r="N1569" s="184"/>
      <c r="O1569" s="184"/>
      <c r="P1569" s="184"/>
      <c r="Q1569" s="184"/>
      <c r="R1569" s="184"/>
      <c r="S1569" s="186"/>
      <c r="T1569" s="184">
        <v>0.0</v>
      </c>
    </row>
    <row r="1570">
      <c r="A1570" s="184"/>
      <c r="B1570" s="184"/>
      <c r="C1570" s="184"/>
      <c r="D1570" s="184"/>
      <c r="E1570" s="184"/>
      <c r="F1570" s="184"/>
      <c r="G1570" s="184"/>
      <c r="H1570" s="184"/>
      <c r="I1570" s="184"/>
      <c r="J1570" s="184"/>
      <c r="K1570" s="184"/>
      <c r="L1570" s="184"/>
      <c r="M1570" s="184"/>
      <c r="N1570" s="184"/>
      <c r="O1570" s="184"/>
      <c r="P1570" s="184"/>
      <c r="Q1570" s="184"/>
      <c r="R1570" s="184"/>
      <c r="S1570" s="186"/>
      <c r="T1570" s="184">
        <v>0.0</v>
      </c>
    </row>
    <row r="1571">
      <c r="A1571" s="184"/>
      <c r="B1571" s="184"/>
      <c r="C1571" s="184"/>
      <c r="D1571" s="184"/>
      <c r="E1571" s="184"/>
      <c r="F1571" s="184"/>
      <c r="G1571" s="184"/>
      <c r="H1571" s="184"/>
      <c r="I1571" s="184"/>
      <c r="J1571" s="184"/>
      <c r="K1571" s="184"/>
      <c r="L1571" s="184"/>
      <c r="M1571" s="184"/>
      <c r="N1571" s="184"/>
      <c r="O1571" s="184"/>
      <c r="P1571" s="184"/>
      <c r="Q1571" s="184"/>
      <c r="R1571" s="184"/>
      <c r="S1571" s="186"/>
      <c r="T1571" s="184">
        <v>0.0</v>
      </c>
    </row>
    <row r="1572">
      <c r="A1572" s="184"/>
      <c r="B1572" s="184"/>
      <c r="C1572" s="184"/>
      <c r="D1572" s="184"/>
      <c r="E1572" s="184"/>
      <c r="F1572" s="184"/>
      <c r="G1572" s="184"/>
      <c r="H1572" s="184"/>
      <c r="I1572" s="184"/>
      <c r="J1572" s="184"/>
      <c r="K1572" s="184"/>
      <c r="L1572" s="184"/>
      <c r="M1572" s="184"/>
      <c r="N1572" s="184"/>
      <c r="O1572" s="184"/>
      <c r="P1572" s="184"/>
      <c r="Q1572" s="184"/>
      <c r="R1572" s="184"/>
      <c r="S1572" s="186"/>
      <c r="T1572" s="184">
        <v>0.0</v>
      </c>
    </row>
    <row r="1573">
      <c r="A1573" s="184"/>
      <c r="B1573" s="184"/>
      <c r="C1573" s="184"/>
      <c r="D1573" s="184"/>
      <c r="E1573" s="184"/>
      <c r="F1573" s="184"/>
      <c r="G1573" s="184"/>
      <c r="H1573" s="184"/>
      <c r="I1573" s="184"/>
      <c r="J1573" s="184"/>
      <c r="K1573" s="184"/>
      <c r="L1573" s="184"/>
      <c r="M1573" s="184"/>
      <c r="N1573" s="184"/>
      <c r="O1573" s="184"/>
      <c r="P1573" s="184"/>
      <c r="Q1573" s="184"/>
      <c r="R1573" s="184"/>
      <c r="S1573" s="186"/>
      <c r="T1573" s="184">
        <v>0.0</v>
      </c>
    </row>
    <row r="1574">
      <c r="A1574" s="184"/>
      <c r="B1574" s="184"/>
      <c r="C1574" s="184"/>
      <c r="D1574" s="184"/>
      <c r="E1574" s="184"/>
      <c r="F1574" s="184"/>
      <c r="G1574" s="184"/>
      <c r="H1574" s="184"/>
      <c r="I1574" s="184"/>
      <c r="J1574" s="184"/>
      <c r="K1574" s="184"/>
      <c r="L1574" s="184"/>
      <c r="M1574" s="184"/>
      <c r="N1574" s="184"/>
      <c r="O1574" s="184"/>
      <c r="P1574" s="184"/>
      <c r="Q1574" s="184"/>
      <c r="R1574" s="184"/>
      <c r="S1574" s="186"/>
      <c r="T1574" s="184">
        <v>0.0</v>
      </c>
    </row>
    <row r="1575">
      <c r="A1575" s="184"/>
      <c r="B1575" s="184"/>
      <c r="C1575" s="184"/>
      <c r="D1575" s="184"/>
      <c r="E1575" s="184"/>
      <c r="F1575" s="184"/>
      <c r="G1575" s="184"/>
      <c r="H1575" s="184"/>
      <c r="I1575" s="184"/>
      <c r="J1575" s="184"/>
      <c r="K1575" s="184"/>
      <c r="L1575" s="184"/>
      <c r="M1575" s="184"/>
      <c r="N1575" s="184"/>
      <c r="O1575" s="184"/>
      <c r="P1575" s="184"/>
      <c r="Q1575" s="184"/>
      <c r="R1575" s="184"/>
      <c r="S1575" s="186"/>
      <c r="T1575" s="184">
        <v>0.0</v>
      </c>
    </row>
    <row r="1576">
      <c r="A1576" s="184"/>
      <c r="B1576" s="184"/>
      <c r="C1576" s="184"/>
      <c r="D1576" s="184"/>
      <c r="E1576" s="184"/>
      <c r="F1576" s="184"/>
      <c r="G1576" s="184"/>
      <c r="H1576" s="184"/>
      <c r="I1576" s="184"/>
      <c r="J1576" s="184"/>
      <c r="K1576" s="184"/>
      <c r="L1576" s="184"/>
      <c r="M1576" s="184"/>
      <c r="N1576" s="184"/>
      <c r="O1576" s="184"/>
      <c r="P1576" s="184"/>
      <c r="Q1576" s="184"/>
      <c r="R1576" s="184"/>
      <c r="S1576" s="186"/>
      <c r="T1576" s="184">
        <v>0.0</v>
      </c>
    </row>
    <row r="1577">
      <c r="A1577" s="184"/>
      <c r="B1577" s="184"/>
      <c r="C1577" s="184"/>
      <c r="D1577" s="184"/>
      <c r="E1577" s="184"/>
      <c r="F1577" s="184"/>
      <c r="G1577" s="184"/>
      <c r="H1577" s="184"/>
      <c r="I1577" s="184"/>
      <c r="J1577" s="184"/>
      <c r="K1577" s="184"/>
      <c r="L1577" s="184"/>
      <c r="M1577" s="184"/>
      <c r="N1577" s="184"/>
      <c r="O1577" s="184"/>
      <c r="P1577" s="184"/>
      <c r="Q1577" s="184"/>
      <c r="R1577" s="184"/>
      <c r="S1577" s="186"/>
      <c r="T1577" s="184">
        <v>0.0</v>
      </c>
    </row>
    <row r="1578">
      <c r="A1578" s="184"/>
      <c r="B1578" s="184"/>
      <c r="C1578" s="184"/>
      <c r="D1578" s="184"/>
      <c r="E1578" s="184"/>
      <c r="F1578" s="184"/>
      <c r="G1578" s="184"/>
      <c r="H1578" s="184"/>
      <c r="I1578" s="184"/>
      <c r="J1578" s="184"/>
      <c r="K1578" s="184"/>
      <c r="L1578" s="184"/>
      <c r="M1578" s="184"/>
      <c r="N1578" s="184"/>
      <c r="O1578" s="184"/>
      <c r="P1578" s="184"/>
      <c r="Q1578" s="184"/>
      <c r="R1578" s="184"/>
      <c r="S1578" s="186"/>
      <c r="T1578" s="184">
        <v>0.0</v>
      </c>
    </row>
    <row r="1579">
      <c r="A1579" s="184"/>
      <c r="B1579" s="184"/>
      <c r="C1579" s="184"/>
      <c r="D1579" s="184"/>
      <c r="E1579" s="184"/>
      <c r="F1579" s="184"/>
      <c r="G1579" s="184"/>
      <c r="H1579" s="184"/>
      <c r="I1579" s="184"/>
      <c r="J1579" s="184"/>
      <c r="K1579" s="184"/>
      <c r="L1579" s="184"/>
      <c r="M1579" s="184"/>
      <c r="N1579" s="184"/>
      <c r="O1579" s="184"/>
      <c r="P1579" s="184"/>
      <c r="Q1579" s="184"/>
      <c r="R1579" s="184"/>
      <c r="S1579" s="186"/>
      <c r="T1579" s="184">
        <v>0.0</v>
      </c>
    </row>
    <row r="1580">
      <c r="A1580" s="184"/>
      <c r="B1580" s="184"/>
      <c r="C1580" s="184"/>
      <c r="D1580" s="184"/>
      <c r="E1580" s="184"/>
      <c r="F1580" s="184"/>
      <c r="G1580" s="184"/>
      <c r="H1580" s="184"/>
      <c r="I1580" s="184"/>
      <c r="J1580" s="184"/>
      <c r="K1580" s="184"/>
      <c r="L1580" s="184"/>
      <c r="M1580" s="184"/>
      <c r="N1580" s="184"/>
      <c r="O1580" s="184"/>
      <c r="P1580" s="184"/>
      <c r="Q1580" s="184"/>
      <c r="R1580" s="184"/>
      <c r="S1580" s="186"/>
      <c r="T1580" s="184">
        <v>0.0</v>
      </c>
    </row>
    <row r="1581">
      <c r="A1581" s="184"/>
      <c r="B1581" s="184"/>
      <c r="C1581" s="184"/>
      <c r="D1581" s="184"/>
      <c r="E1581" s="184"/>
      <c r="F1581" s="184"/>
      <c r="G1581" s="184"/>
      <c r="H1581" s="184"/>
      <c r="I1581" s="184"/>
      <c r="J1581" s="184"/>
      <c r="K1581" s="184"/>
      <c r="L1581" s="184"/>
      <c r="M1581" s="184"/>
      <c r="N1581" s="184"/>
      <c r="O1581" s="184"/>
      <c r="P1581" s="184"/>
      <c r="Q1581" s="184"/>
      <c r="R1581" s="184"/>
      <c r="S1581" s="186"/>
      <c r="T1581" s="184">
        <v>0.0</v>
      </c>
    </row>
    <row r="1582">
      <c r="A1582" s="184"/>
      <c r="B1582" s="184"/>
      <c r="C1582" s="184"/>
      <c r="D1582" s="184"/>
      <c r="E1582" s="184"/>
      <c r="F1582" s="184"/>
      <c r="G1582" s="184"/>
      <c r="H1582" s="184"/>
      <c r="I1582" s="184"/>
      <c r="J1582" s="184"/>
      <c r="K1582" s="184"/>
      <c r="L1582" s="184"/>
      <c r="M1582" s="184"/>
      <c r="N1582" s="184"/>
      <c r="O1582" s="184"/>
      <c r="P1582" s="184"/>
      <c r="Q1582" s="184"/>
      <c r="R1582" s="184"/>
      <c r="S1582" s="186"/>
      <c r="T1582" s="184">
        <v>0.0</v>
      </c>
    </row>
    <row r="1583">
      <c r="A1583" s="184"/>
      <c r="B1583" s="184"/>
      <c r="C1583" s="184"/>
      <c r="D1583" s="184"/>
      <c r="E1583" s="184"/>
      <c r="F1583" s="184"/>
      <c r="G1583" s="184"/>
      <c r="H1583" s="184"/>
      <c r="I1583" s="184"/>
      <c r="J1583" s="184"/>
      <c r="K1583" s="184"/>
      <c r="L1583" s="184"/>
      <c r="M1583" s="184"/>
      <c r="N1583" s="184"/>
      <c r="O1583" s="184"/>
      <c r="P1583" s="184"/>
      <c r="Q1583" s="184"/>
      <c r="R1583" s="184"/>
      <c r="S1583" s="186"/>
      <c r="T1583" s="184">
        <v>0.0</v>
      </c>
    </row>
    <row r="1584">
      <c r="A1584" s="184"/>
      <c r="B1584" s="184"/>
      <c r="C1584" s="184"/>
      <c r="D1584" s="184"/>
      <c r="E1584" s="184"/>
      <c r="F1584" s="184"/>
      <c r="G1584" s="184"/>
      <c r="H1584" s="184"/>
      <c r="I1584" s="184"/>
      <c r="J1584" s="184"/>
      <c r="K1584" s="184"/>
      <c r="L1584" s="184"/>
      <c r="M1584" s="184"/>
      <c r="N1584" s="184"/>
      <c r="O1584" s="184"/>
      <c r="P1584" s="184"/>
      <c r="Q1584" s="184"/>
      <c r="R1584" s="184"/>
      <c r="S1584" s="186"/>
      <c r="T1584" s="184">
        <v>0.0</v>
      </c>
    </row>
    <row r="1585">
      <c r="A1585" s="184"/>
      <c r="B1585" s="184"/>
      <c r="C1585" s="184"/>
      <c r="D1585" s="184"/>
      <c r="E1585" s="184"/>
      <c r="F1585" s="184"/>
      <c r="G1585" s="184"/>
      <c r="H1585" s="184"/>
      <c r="I1585" s="184"/>
      <c r="J1585" s="184"/>
      <c r="K1585" s="184"/>
      <c r="L1585" s="184"/>
      <c r="M1585" s="184"/>
      <c r="N1585" s="184"/>
      <c r="O1585" s="184"/>
      <c r="P1585" s="184"/>
      <c r="Q1585" s="184"/>
      <c r="R1585" s="184"/>
      <c r="S1585" s="186"/>
      <c r="T1585" s="184">
        <v>0.0</v>
      </c>
    </row>
    <row r="1586">
      <c r="A1586" s="184"/>
      <c r="B1586" s="184"/>
      <c r="C1586" s="184"/>
      <c r="D1586" s="184"/>
      <c r="E1586" s="184"/>
      <c r="F1586" s="184"/>
      <c r="G1586" s="184"/>
      <c r="H1586" s="184"/>
      <c r="I1586" s="184"/>
      <c r="J1586" s="184"/>
      <c r="K1586" s="184"/>
      <c r="L1586" s="184"/>
      <c r="M1586" s="184"/>
      <c r="N1586" s="184"/>
      <c r="O1586" s="184"/>
      <c r="P1586" s="184"/>
      <c r="Q1586" s="184"/>
      <c r="R1586" s="184"/>
      <c r="S1586" s="186"/>
      <c r="T1586" s="184">
        <v>0.0</v>
      </c>
    </row>
    <row r="1587">
      <c r="A1587" s="184"/>
      <c r="B1587" s="184"/>
      <c r="C1587" s="184"/>
      <c r="D1587" s="184"/>
      <c r="E1587" s="184"/>
      <c r="F1587" s="184"/>
      <c r="G1587" s="184"/>
      <c r="H1587" s="184"/>
      <c r="I1587" s="184"/>
      <c r="J1587" s="184"/>
      <c r="K1587" s="184"/>
      <c r="L1587" s="184"/>
      <c r="M1587" s="184"/>
      <c r="N1587" s="184"/>
      <c r="O1587" s="184"/>
      <c r="P1587" s="184"/>
      <c r="Q1587" s="184"/>
      <c r="R1587" s="184"/>
      <c r="S1587" s="186"/>
      <c r="T1587" s="184">
        <v>0.0</v>
      </c>
    </row>
    <row r="1588">
      <c r="A1588" s="184"/>
      <c r="B1588" s="184"/>
      <c r="C1588" s="184"/>
      <c r="D1588" s="184"/>
      <c r="E1588" s="184"/>
      <c r="F1588" s="184"/>
      <c r="G1588" s="184"/>
      <c r="H1588" s="184"/>
      <c r="I1588" s="184"/>
      <c r="J1588" s="184"/>
      <c r="K1588" s="184"/>
      <c r="L1588" s="184"/>
      <c r="M1588" s="184"/>
      <c r="N1588" s="184"/>
      <c r="O1588" s="184"/>
      <c r="P1588" s="184"/>
      <c r="Q1588" s="184"/>
      <c r="R1588" s="184"/>
      <c r="S1588" s="186"/>
      <c r="T1588" s="184">
        <v>0.0</v>
      </c>
    </row>
    <row r="1589">
      <c r="A1589" s="184"/>
      <c r="B1589" s="184"/>
      <c r="C1589" s="184"/>
      <c r="D1589" s="184"/>
      <c r="E1589" s="184"/>
      <c r="F1589" s="184"/>
      <c r="G1589" s="184"/>
      <c r="H1589" s="184"/>
      <c r="I1589" s="184"/>
      <c r="J1589" s="184"/>
      <c r="K1589" s="184"/>
      <c r="L1589" s="184"/>
      <c r="M1589" s="184"/>
      <c r="N1589" s="184"/>
      <c r="O1589" s="184"/>
      <c r="P1589" s="184"/>
      <c r="Q1589" s="184"/>
      <c r="R1589" s="184"/>
      <c r="S1589" s="186"/>
      <c r="T1589" s="184">
        <v>0.0</v>
      </c>
    </row>
    <row r="1590">
      <c r="A1590" s="184"/>
      <c r="B1590" s="184"/>
      <c r="C1590" s="184"/>
      <c r="D1590" s="184"/>
      <c r="E1590" s="184"/>
      <c r="F1590" s="184"/>
      <c r="G1590" s="184"/>
      <c r="H1590" s="184"/>
      <c r="I1590" s="184"/>
      <c r="J1590" s="184"/>
      <c r="K1590" s="184"/>
      <c r="L1590" s="184"/>
      <c r="M1590" s="184"/>
      <c r="N1590" s="184"/>
      <c r="O1590" s="184"/>
      <c r="P1590" s="184"/>
      <c r="Q1590" s="184"/>
      <c r="R1590" s="184"/>
      <c r="S1590" s="186"/>
      <c r="T1590" s="184">
        <v>0.0</v>
      </c>
    </row>
    <row r="1591">
      <c r="A1591" s="184"/>
      <c r="B1591" s="184"/>
      <c r="C1591" s="184"/>
      <c r="D1591" s="184"/>
      <c r="E1591" s="184"/>
      <c r="F1591" s="184"/>
      <c r="G1591" s="184"/>
      <c r="H1591" s="184"/>
      <c r="I1591" s="184"/>
      <c r="J1591" s="184"/>
      <c r="K1591" s="184"/>
      <c r="L1591" s="184"/>
      <c r="M1591" s="184"/>
      <c r="N1591" s="184"/>
      <c r="O1591" s="184"/>
      <c r="P1591" s="184"/>
      <c r="Q1591" s="184"/>
      <c r="R1591" s="184"/>
      <c r="S1591" s="186"/>
      <c r="T1591" s="184">
        <v>0.0</v>
      </c>
    </row>
    <row r="1592">
      <c r="A1592" s="184"/>
      <c r="B1592" s="184"/>
      <c r="C1592" s="184"/>
      <c r="D1592" s="184"/>
      <c r="E1592" s="184"/>
      <c r="F1592" s="184"/>
      <c r="G1592" s="184"/>
      <c r="H1592" s="184"/>
      <c r="I1592" s="184"/>
      <c r="J1592" s="184"/>
      <c r="K1592" s="184"/>
      <c r="L1592" s="184"/>
      <c r="M1592" s="184"/>
      <c r="N1592" s="184"/>
      <c r="O1592" s="184"/>
      <c r="P1592" s="184"/>
      <c r="Q1592" s="184"/>
      <c r="R1592" s="184"/>
      <c r="S1592" s="186"/>
      <c r="T1592" s="184">
        <v>0.0</v>
      </c>
    </row>
    <row r="1593">
      <c r="A1593" s="184"/>
      <c r="B1593" s="184"/>
      <c r="C1593" s="184"/>
      <c r="D1593" s="184"/>
      <c r="E1593" s="184"/>
      <c r="F1593" s="184"/>
      <c r="G1593" s="184"/>
      <c r="H1593" s="184"/>
      <c r="I1593" s="184"/>
      <c r="J1593" s="184"/>
      <c r="K1593" s="184"/>
      <c r="L1593" s="184"/>
      <c r="M1593" s="184"/>
      <c r="N1593" s="184"/>
      <c r="O1593" s="184"/>
      <c r="P1593" s="184"/>
      <c r="Q1593" s="184"/>
      <c r="R1593" s="184"/>
      <c r="S1593" s="186"/>
      <c r="T1593" s="184">
        <v>0.0</v>
      </c>
    </row>
    <row r="1594">
      <c r="A1594" s="184"/>
      <c r="B1594" s="184"/>
      <c r="C1594" s="184"/>
      <c r="D1594" s="184"/>
      <c r="E1594" s="184"/>
      <c r="F1594" s="184"/>
      <c r="G1594" s="184"/>
      <c r="H1594" s="184"/>
      <c r="I1594" s="184"/>
      <c r="J1594" s="184"/>
      <c r="K1594" s="184"/>
      <c r="L1594" s="184"/>
      <c r="M1594" s="184"/>
      <c r="N1594" s="184"/>
      <c r="O1594" s="184"/>
      <c r="P1594" s="184"/>
      <c r="Q1594" s="184"/>
      <c r="R1594" s="184"/>
      <c r="S1594" s="186"/>
      <c r="T1594" s="184">
        <v>0.0</v>
      </c>
    </row>
    <row r="1595">
      <c r="A1595" s="184"/>
      <c r="B1595" s="184"/>
      <c r="C1595" s="184"/>
      <c r="D1595" s="184"/>
      <c r="E1595" s="184"/>
      <c r="F1595" s="184"/>
      <c r="G1595" s="184"/>
      <c r="H1595" s="184"/>
      <c r="I1595" s="184"/>
      <c r="J1595" s="184"/>
      <c r="K1595" s="184"/>
      <c r="L1595" s="184"/>
      <c r="M1595" s="184"/>
      <c r="N1595" s="184"/>
      <c r="O1595" s="184"/>
      <c r="P1595" s="184"/>
      <c r="Q1595" s="184"/>
      <c r="R1595" s="184"/>
      <c r="S1595" s="186"/>
      <c r="T1595" s="184">
        <v>0.0</v>
      </c>
    </row>
    <row r="1596">
      <c r="A1596" s="184"/>
      <c r="B1596" s="184"/>
      <c r="C1596" s="184"/>
      <c r="D1596" s="184"/>
      <c r="E1596" s="184"/>
      <c r="F1596" s="184"/>
      <c r="G1596" s="184"/>
      <c r="H1596" s="184"/>
      <c r="I1596" s="184"/>
      <c r="J1596" s="184"/>
      <c r="K1596" s="184"/>
      <c r="L1596" s="184"/>
      <c r="M1596" s="184"/>
      <c r="N1596" s="184"/>
      <c r="O1596" s="184"/>
      <c r="P1596" s="184"/>
      <c r="Q1596" s="184"/>
      <c r="R1596" s="184"/>
      <c r="S1596" s="186"/>
      <c r="T1596" s="184">
        <v>0.0</v>
      </c>
    </row>
    <row r="1597">
      <c r="A1597" s="184"/>
      <c r="B1597" s="184"/>
      <c r="C1597" s="184"/>
      <c r="D1597" s="184"/>
      <c r="E1597" s="184"/>
      <c r="F1597" s="184"/>
      <c r="G1597" s="184"/>
      <c r="H1597" s="184"/>
      <c r="I1597" s="184"/>
      <c r="J1597" s="184"/>
      <c r="K1597" s="184"/>
      <c r="L1597" s="184"/>
      <c r="M1597" s="184"/>
      <c r="N1597" s="184"/>
      <c r="O1597" s="184"/>
      <c r="P1597" s="184"/>
      <c r="Q1597" s="184"/>
      <c r="R1597" s="184"/>
      <c r="S1597" s="186"/>
      <c r="T1597" s="184">
        <v>0.0</v>
      </c>
    </row>
    <row r="1598">
      <c r="A1598" s="184"/>
      <c r="B1598" s="184"/>
      <c r="C1598" s="184"/>
      <c r="D1598" s="184"/>
      <c r="E1598" s="184"/>
      <c r="F1598" s="184"/>
      <c r="G1598" s="184"/>
      <c r="H1598" s="184"/>
      <c r="I1598" s="184"/>
      <c r="J1598" s="184"/>
      <c r="K1598" s="184"/>
      <c r="L1598" s="184"/>
      <c r="M1598" s="184"/>
      <c r="N1598" s="184"/>
      <c r="O1598" s="184"/>
      <c r="P1598" s="184"/>
      <c r="Q1598" s="184"/>
      <c r="R1598" s="184"/>
      <c r="S1598" s="186"/>
      <c r="T1598" s="184">
        <v>0.0</v>
      </c>
    </row>
    <row r="1599">
      <c r="A1599" s="184"/>
      <c r="B1599" s="184"/>
      <c r="C1599" s="184"/>
      <c r="D1599" s="184"/>
      <c r="E1599" s="184"/>
      <c r="F1599" s="184"/>
      <c r="G1599" s="184"/>
      <c r="H1599" s="184"/>
      <c r="I1599" s="184"/>
      <c r="J1599" s="184"/>
      <c r="K1599" s="184"/>
      <c r="L1599" s="184"/>
      <c r="M1599" s="184"/>
      <c r="N1599" s="184"/>
      <c r="O1599" s="184"/>
      <c r="P1599" s="184"/>
      <c r="Q1599" s="184"/>
      <c r="R1599" s="184"/>
      <c r="S1599" s="186"/>
      <c r="T1599" s="184">
        <v>0.0</v>
      </c>
    </row>
    <row r="1600">
      <c r="A1600" s="184"/>
      <c r="B1600" s="184"/>
      <c r="C1600" s="184"/>
      <c r="D1600" s="184"/>
      <c r="E1600" s="184"/>
      <c r="F1600" s="184"/>
      <c r="G1600" s="184"/>
      <c r="H1600" s="184"/>
      <c r="I1600" s="184"/>
      <c r="J1600" s="184"/>
      <c r="K1600" s="184"/>
      <c r="L1600" s="184"/>
      <c r="M1600" s="184"/>
      <c r="N1600" s="184"/>
      <c r="O1600" s="184"/>
      <c r="P1600" s="184"/>
      <c r="Q1600" s="184"/>
      <c r="R1600" s="184"/>
      <c r="S1600" s="186"/>
      <c r="T1600" s="184">
        <v>0.0</v>
      </c>
    </row>
    <row r="1601">
      <c r="A1601" s="184"/>
      <c r="B1601" s="184"/>
      <c r="C1601" s="184"/>
      <c r="D1601" s="184"/>
      <c r="E1601" s="184"/>
      <c r="F1601" s="184"/>
      <c r="G1601" s="184"/>
      <c r="H1601" s="184"/>
      <c r="I1601" s="184"/>
      <c r="J1601" s="184"/>
      <c r="K1601" s="184"/>
      <c r="L1601" s="184"/>
      <c r="M1601" s="184"/>
      <c r="N1601" s="184"/>
      <c r="O1601" s="184"/>
      <c r="P1601" s="184"/>
      <c r="Q1601" s="184"/>
      <c r="R1601" s="184"/>
      <c r="S1601" s="186"/>
      <c r="T1601" s="184">
        <v>0.0</v>
      </c>
    </row>
    <row r="1602">
      <c r="A1602" s="184"/>
      <c r="B1602" s="184"/>
      <c r="C1602" s="184"/>
      <c r="D1602" s="184"/>
      <c r="E1602" s="184"/>
      <c r="F1602" s="184"/>
      <c r="G1602" s="184"/>
      <c r="H1602" s="184"/>
      <c r="I1602" s="184"/>
      <c r="J1602" s="184"/>
      <c r="K1602" s="184"/>
      <c r="L1602" s="184"/>
      <c r="M1602" s="184"/>
      <c r="N1602" s="184"/>
      <c r="O1602" s="184"/>
      <c r="P1602" s="184"/>
      <c r="Q1602" s="184"/>
      <c r="R1602" s="184"/>
      <c r="S1602" s="186"/>
      <c r="T1602" s="184">
        <v>0.0</v>
      </c>
    </row>
    <row r="1603">
      <c r="A1603" s="184"/>
      <c r="B1603" s="184"/>
      <c r="C1603" s="184"/>
      <c r="D1603" s="184"/>
      <c r="E1603" s="184"/>
      <c r="F1603" s="184"/>
      <c r="G1603" s="184"/>
      <c r="H1603" s="184"/>
      <c r="I1603" s="184"/>
      <c r="J1603" s="184"/>
      <c r="K1603" s="184"/>
      <c r="L1603" s="184"/>
      <c r="M1603" s="184"/>
      <c r="N1603" s="184"/>
      <c r="O1603" s="184"/>
      <c r="P1603" s="184"/>
      <c r="Q1603" s="184"/>
      <c r="R1603" s="184"/>
      <c r="S1603" s="186"/>
      <c r="T1603" s="184">
        <v>0.0</v>
      </c>
    </row>
    <row r="1604">
      <c r="A1604" s="184"/>
      <c r="B1604" s="184"/>
      <c r="C1604" s="184"/>
      <c r="D1604" s="184"/>
      <c r="E1604" s="184"/>
      <c r="F1604" s="184"/>
      <c r="G1604" s="184"/>
      <c r="H1604" s="184"/>
      <c r="I1604" s="184"/>
      <c r="J1604" s="184"/>
      <c r="K1604" s="184"/>
      <c r="L1604" s="184"/>
      <c r="M1604" s="184"/>
      <c r="N1604" s="184"/>
      <c r="O1604" s="184"/>
      <c r="P1604" s="184"/>
      <c r="Q1604" s="184"/>
      <c r="R1604" s="184"/>
      <c r="S1604" s="186"/>
      <c r="T1604" s="184">
        <v>0.0</v>
      </c>
    </row>
    <row r="1605">
      <c r="A1605" s="184"/>
      <c r="B1605" s="184"/>
      <c r="C1605" s="184"/>
      <c r="D1605" s="184"/>
      <c r="E1605" s="184"/>
      <c r="F1605" s="184"/>
      <c r="G1605" s="184"/>
      <c r="H1605" s="184"/>
      <c r="I1605" s="184"/>
      <c r="J1605" s="184"/>
      <c r="K1605" s="184"/>
      <c r="L1605" s="184"/>
      <c r="M1605" s="184"/>
      <c r="N1605" s="184"/>
      <c r="O1605" s="184"/>
      <c r="P1605" s="184"/>
      <c r="Q1605" s="184"/>
      <c r="R1605" s="184"/>
      <c r="S1605" s="186"/>
      <c r="T1605" s="184">
        <v>0.0</v>
      </c>
    </row>
    <row r="1606">
      <c r="A1606" s="184"/>
      <c r="B1606" s="184"/>
      <c r="C1606" s="184"/>
      <c r="D1606" s="184"/>
      <c r="E1606" s="184"/>
      <c r="F1606" s="184"/>
      <c r="G1606" s="184"/>
      <c r="H1606" s="184"/>
      <c r="I1606" s="184"/>
      <c r="J1606" s="184"/>
      <c r="K1606" s="184"/>
      <c r="L1606" s="184"/>
      <c r="M1606" s="184"/>
      <c r="N1606" s="184"/>
      <c r="O1606" s="184"/>
      <c r="P1606" s="184"/>
      <c r="Q1606" s="184"/>
      <c r="R1606" s="184"/>
      <c r="S1606" s="186"/>
      <c r="T1606" s="184">
        <v>0.0</v>
      </c>
    </row>
    <row r="1607">
      <c r="A1607" s="184"/>
      <c r="B1607" s="184"/>
      <c r="C1607" s="184"/>
      <c r="D1607" s="184"/>
      <c r="E1607" s="184"/>
      <c r="F1607" s="184"/>
      <c r="G1607" s="184"/>
      <c r="H1607" s="184"/>
      <c r="I1607" s="184"/>
      <c r="J1607" s="184"/>
      <c r="K1607" s="184"/>
      <c r="L1607" s="184"/>
      <c r="M1607" s="184"/>
      <c r="N1607" s="184"/>
      <c r="O1607" s="184"/>
      <c r="P1607" s="184"/>
      <c r="Q1607" s="184"/>
      <c r="R1607" s="184"/>
      <c r="S1607" s="186"/>
      <c r="T1607" s="184">
        <v>0.0</v>
      </c>
    </row>
    <row r="1608">
      <c r="A1608" s="184"/>
      <c r="B1608" s="184"/>
      <c r="C1608" s="184"/>
      <c r="D1608" s="184"/>
      <c r="E1608" s="184"/>
      <c r="F1608" s="184"/>
      <c r="G1608" s="184"/>
      <c r="H1608" s="184"/>
      <c r="I1608" s="184"/>
      <c r="J1608" s="184"/>
      <c r="K1608" s="184"/>
      <c r="L1608" s="184"/>
      <c r="M1608" s="184"/>
      <c r="N1608" s="184"/>
      <c r="O1608" s="184"/>
      <c r="P1608" s="184"/>
      <c r="Q1608" s="184"/>
      <c r="R1608" s="184"/>
      <c r="S1608" s="186"/>
      <c r="T1608" s="184">
        <v>0.0</v>
      </c>
    </row>
    <row r="1609">
      <c r="A1609" s="184"/>
      <c r="B1609" s="184"/>
      <c r="C1609" s="184"/>
      <c r="D1609" s="184"/>
      <c r="E1609" s="184"/>
      <c r="F1609" s="184"/>
      <c r="G1609" s="184"/>
      <c r="H1609" s="184"/>
      <c r="I1609" s="184"/>
      <c r="J1609" s="184"/>
      <c r="K1609" s="184"/>
      <c r="L1609" s="184"/>
      <c r="M1609" s="184"/>
      <c r="N1609" s="184"/>
      <c r="O1609" s="184"/>
      <c r="P1609" s="184"/>
      <c r="Q1609" s="184"/>
      <c r="R1609" s="184"/>
      <c r="S1609" s="186"/>
      <c r="T1609" s="184">
        <v>0.0</v>
      </c>
    </row>
    <row r="1610">
      <c r="A1610" s="184"/>
      <c r="B1610" s="184"/>
      <c r="C1610" s="184"/>
      <c r="D1610" s="184"/>
      <c r="E1610" s="184"/>
      <c r="F1610" s="184"/>
      <c r="G1610" s="184"/>
      <c r="H1610" s="184"/>
      <c r="I1610" s="184"/>
      <c r="J1610" s="184"/>
      <c r="K1610" s="184"/>
      <c r="L1610" s="184"/>
      <c r="M1610" s="184"/>
      <c r="N1610" s="184"/>
      <c r="O1610" s="184"/>
      <c r="P1610" s="184"/>
      <c r="Q1610" s="184"/>
      <c r="R1610" s="184"/>
      <c r="S1610" s="186"/>
      <c r="T1610" s="184">
        <v>0.0</v>
      </c>
    </row>
    <row r="1611">
      <c r="A1611" s="184"/>
      <c r="B1611" s="184"/>
      <c r="C1611" s="184"/>
      <c r="D1611" s="184"/>
      <c r="E1611" s="184"/>
      <c r="F1611" s="184"/>
      <c r="G1611" s="184"/>
      <c r="H1611" s="184"/>
      <c r="I1611" s="184"/>
      <c r="J1611" s="184"/>
      <c r="K1611" s="184"/>
      <c r="L1611" s="184"/>
      <c r="M1611" s="184"/>
      <c r="N1611" s="184"/>
      <c r="O1611" s="184"/>
      <c r="P1611" s="184"/>
      <c r="Q1611" s="184"/>
      <c r="R1611" s="184"/>
      <c r="S1611" s="186"/>
      <c r="T1611" s="184">
        <v>0.0</v>
      </c>
    </row>
    <row r="1612">
      <c r="A1612" s="184"/>
      <c r="B1612" s="184"/>
      <c r="C1612" s="184"/>
      <c r="D1612" s="184"/>
      <c r="E1612" s="184"/>
      <c r="F1612" s="184"/>
      <c r="G1612" s="184"/>
      <c r="H1612" s="184"/>
      <c r="I1612" s="184"/>
      <c r="J1612" s="184"/>
      <c r="K1612" s="184"/>
      <c r="L1612" s="184"/>
      <c r="M1612" s="184"/>
      <c r="N1612" s="184"/>
      <c r="O1612" s="184"/>
      <c r="P1612" s="184"/>
      <c r="Q1612" s="184"/>
      <c r="R1612" s="184"/>
      <c r="S1612" s="186"/>
      <c r="T1612" s="184">
        <v>0.0</v>
      </c>
    </row>
    <row r="1613">
      <c r="A1613" s="184"/>
      <c r="B1613" s="184"/>
      <c r="C1613" s="184"/>
      <c r="D1613" s="184"/>
      <c r="E1613" s="184"/>
      <c r="F1613" s="184"/>
      <c r="G1613" s="184"/>
      <c r="H1613" s="184"/>
      <c r="I1613" s="184"/>
      <c r="J1613" s="184"/>
      <c r="K1613" s="184"/>
      <c r="L1613" s="184"/>
      <c r="M1613" s="184"/>
      <c r="N1613" s="184"/>
      <c r="O1613" s="184"/>
      <c r="P1613" s="184"/>
      <c r="Q1613" s="184"/>
      <c r="R1613" s="184"/>
      <c r="S1613" s="186"/>
      <c r="T1613" s="184">
        <v>0.0</v>
      </c>
    </row>
    <row r="1614">
      <c r="A1614" s="184"/>
      <c r="B1614" s="184"/>
      <c r="C1614" s="184"/>
      <c r="D1614" s="184"/>
      <c r="E1614" s="184"/>
      <c r="F1614" s="184"/>
      <c r="G1614" s="184"/>
      <c r="H1614" s="184"/>
      <c r="I1614" s="184"/>
      <c r="J1614" s="184"/>
      <c r="K1614" s="184"/>
      <c r="L1614" s="184"/>
      <c r="M1614" s="184"/>
      <c r="N1614" s="184"/>
      <c r="O1614" s="184"/>
      <c r="P1614" s="184"/>
      <c r="Q1614" s="184"/>
      <c r="R1614" s="184"/>
      <c r="S1614" s="186"/>
      <c r="T1614" s="184">
        <v>0.0</v>
      </c>
    </row>
    <row r="1615">
      <c r="A1615" s="184"/>
      <c r="B1615" s="184"/>
      <c r="C1615" s="184"/>
      <c r="D1615" s="184"/>
      <c r="E1615" s="184"/>
      <c r="F1615" s="184"/>
      <c r="G1615" s="184"/>
      <c r="H1615" s="184"/>
      <c r="I1615" s="184"/>
      <c r="J1615" s="184"/>
      <c r="K1615" s="184"/>
      <c r="L1615" s="184"/>
      <c r="M1615" s="184"/>
      <c r="N1615" s="184"/>
      <c r="O1615" s="184"/>
      <c r="P1615" s="184"/>
      <c r="Q1615" s="184"/>
      <c r="R1615" s="184"/>
      <c r="S1615" s="186"/>
      <c r="T1615" s="184">
        <v>0.0</v>
      </c>
    </row>
    <row r="1616">
      <c r="A1616" s="184"/>
      <c r="B1616" s="184"/>
      <c r="C1616" s="184"/>
      <c r="D1616" s="184"/>
      <c r="E1616" s="184"/>
      <c r="F1616" s="184"/>
      <c r="G1616" s="184"/>
      <c r="H1616" s="184"/>
      <c r="I1616" s="184"/>
      <c r="J1616" s="184"/>
      <c r="K1616" s="184"/>
      <c r="L1616" s="184"/>
      <c r="M1616" s="184"/>
      <c r="N1616" s="184"/>
      <c r="O1616" s="184"/>
      <c r="P1616" s="184"/>
      <c r="Q1616" s="184"/>
      <c r="R1616" s="184"/>
      <c r="S1616" s="186"/>
      <c r="T1616" s="184">
        <v>0.0</v>
      </c>
    </row>
    <row r="1617">
      <c r="A1617" s="184"/>
      <c r="B1617" s="184"/>
      <c r="C1617" s="184"/>
      <c r="D1617" s="184"/>
      <c r="E1617" s="184"/>
      <c r="F1617" s="184"/>
      <c r="G1617" s="184"/>
      <c r="H1617" s="184"/>
      <c r="I1617" s="184"/>
      <c r="J1617" s="184"/>
      <c r="K1617" s="184"/>
      <c r="L1617" s="184"/>
      <c r="M1617" s="184"/>
      <c r="N1617" s="184"/>
      <c r="O1617" s="184"/>
      <c r="P1617" s="184"/>
      <c r="Q1617" s="184"/>
      <c r="R1617" s="184"/>
      <c r="S1617" s="186"/>
      <c r="T1617" s="184">
        <v>0.0</v>
      </c>
    </row>
    <row r="1618">
      <c r="A1618" s="184"/>
      <c r="B1618" s="184"/>
      <c r="C1618" s="184"/>
      <c r="D1618" s="184"/>
      <c r="E1618" s="184"/>
      <c r="F1618" s="184"/>
      <c r="G1618" s="184"/>
      <c r="H1618" s="184"/>
      <c r="I1618" s="184"/>
      <c r="J1618" s="184"/>
      <c r="K1618" s="184"/>
      <c r="L1618" s="184"/>
      <c r="M1618" s="184"/>
      <c r="N1618" s="184"/>
      <c r="O1618" s="184"/>
      <c r="P1618" s="184"/>
      <c r="Q1618" s="184"/>
      <c r="R1618" s="184"/>
      <c r="S1618" s="186"/>
      <c r="T1618" s="184">
        <v>0.0</v>
      </c>
    </row>
    <row r="1619">
      <c r="A1619" s="184"/>
      <c r="B1619" s="184"/>
      <c r="C1619" s="184"/>
      <c r="D1619" s="184"/>
      <c r="E1619" s="184"/>
      <c r="F1619" s="184"/>
      <c r="G1619" s="184"/>
      <c r="H1619" s="184"/>
      <c r="I1619" s="184"/>
      <c r="J1619" s="184"/>
      <c r="K1619" s="184"/>
      <c r="L1619" s="184"/>
      <c r="M1619" s="184"/>
      <c r="N1619" s="184"/>
      <c r="O1619" s="184"/>
      <c r="P1619" s="184"/>
      <c r="Q1619" s="184"/>
      <c r="R1619" s="184"/>
      <c r="S1619" s="186"/>
      <c r="T1619" s="184">
        <v>0.0</v>
      </c>
    </row>
    <row r="1620">
      <c r="A1620" s="184"/>
      <c r="B1620" s="184"/>
      <c r="C1620" s="184"/>
      <c r="D1620" s="184"/>
      <c r="E1620" s="184"/>
      <c r="F1620" s="184"/>
      <c r="G1620" s="184"/>
      <c r="H1620" s="184"/>
      <c r="I1620" s="184"/>
      <c r="J1620" s="184"/>
      <c r="K1620" s="184"/>
      <c r="L1620" s="184"/>
      <c r="M1620" s="184"/>
      <c r="N1620" s="184"/>
      <c r="O1620" s="184"/>
      <c r="P1620" s="184"/>
      <c r="Q1620" s="184"/>
      <c r="R1620" s="184"/>
      <c r="S1620" s="186"/>
      <c r="T1620" s="184">
        <v>0.0</v>
      </c>
    </row>
    <row r="1621">
      <c r="A1621" s="184"/>
      <c r="B1621" s="184"/>
      <c r="C1621" s="184"/>
      <c r="D1621" s="184"/>
      <c r="E1621" s="184"/>
      <c r="F1621" s="184"/>
      <c r="G1621" s="184"/>
      <c r="H1621" s="184"/>
      <c r="I1621" s="184"/>
      <c r="J1621" s="184"/>
      <c r="K1621" s="184"/>
      <c r="L1621" s="184"/>
      <c r="M1621" s="184"/>
      <c r="N1621" s="184"/>
      <c r="O1621" s="184"/>
      <c r="P1621" s="184"/>
      <c r="Q1621" s="184"/>
      <c r="R1621" s="184"/>
      <c r="S1621" s="186"/>
      <c r="T1621" s="184">
        <v>0.0</v>
      </c>
    </row>
    <row r="1622">
      <c r="A1622" s="184"/>
      <c r="B1622" s="184"/>
      <c r="C1622" s="184"/>
      <c r="D1622" s="184"/>
      <c r="E1622" s="184"/>
      <c r="F1622" s="184"/>
      <c r="G1622" s="184"/>
      <c r="H1622" s="184"/>
      <c r="I1622" s="184"/>
      <c r="J1622" s="184"/>
      <c r="K1622" s="184"/>
      <c r="L1622" s="184"/>
      <c r="M1622" s="184"/>
      <c r="N1622" s="184"/>
      <c r="O1622" s="184"/>
      <c r="P1622" s="184"/>
      <c r="Q1622" s="184"/>
      <c r="R1622" s="184"/>
      <c r="S1622" s="186"/>
      <c r="T1622" s="184">
        <v>0.0</v>
      </c>
    </row>
    <row r="1623">
      <c r="A1623" s="184"/>
      <c r="B1623" s="184"/>
      <c r="C1623" s="184"/>
      <c r="D1623" s="184"/>
      <c r="E1623" s="184"/>
      <c r="F1623" s="184"/>
      <c r="G1623" s="184"/>
      <c r="H1623" s="184"/>
      <c r="I1623" s="184"/>
      <c r="J1623" s="184"/>
      <c r="K1623" s="184"/>
      <c r="L1623" s="184"/>
      <c r="M1623" s="184"/>
      <c r="N1623" s="184"/>
      <c r="O1623" s="184"/>
      <c r="P1623" s="184"/>
      <c r="Q1623" s="184"/>
      <c r="R1623" s="184"/>
      <c r="S1623" s="186"/>
      <c r="T1623" s="184">
        <v>0.0</v>
      </c>
    </row>
    <row r="1624">
      <c r="A1624" s="184"/>
      <c r="B1624" s="184"/>
      <c r="C1624" s="184"/>
      <c r="D1624" s="184"/>
      <c r="E1624" s="184"/>
      <c r="F1624" s="184"/>
      <c r="G1624" s="184"/>
      <c r="H1624" s="184"/>
      <c r="I1624" s="184"/>
      <c r="J1624" s="184"/>
      <c r="K1624" s="184"/>
      <c r="L1624" s="184"/>
      <c r="M1624" s="184"/>
      <c r="N1624" s="184"/>
      <c r="O1624" s="184"/>
      <c r="P1624" s="184"/>
      <c r="Q1624" s="184"/>
      <c r="R1624" s="184"/>
      <c r="S1624" s="186"/>
      <c r="T1624" s="184">
        <v>0.0</v>
      </c>
    </row>
    <row r="1625">
      <c r="A1625" s="184"/>
      <c r="B1625" s="184"/>
      <c r="C1625" s="184"/>
      <c r="D1625" s="184"/>
      <c r="E1625" s="184"/>
      <c r="F1625" s="184"/>
      <c r="G1625" s="184"/>
      <c r="H1625" s="184"/>
      <c r="I1625" s="184"/>
      <c r="J1625" s="184"/>
      <c r="K1625" s="184"/>
      <c r="L1625" s="184"/>
      <c r="M1625" s="184"/>
      <c r="N1625" s="184"/>
      <c r="O1625" s="184"/>
      <c r="P1625" s="184"/>
      <c r="Q1625" s="184"/>
      <c r="R1625" s="184"/>
      <c r="S1625" s="186"/>
      <c r="T1625" s="184">
        <v>0.0</v>
      </c>
    </row>
    <row r="1626">
      <c r="A1626" s="184"/>
      <c r="B1626" s="184"/>
      <c r="C1626" s="184"/>
      <c r="D1626" s="184"/>
      <c r="E1626" s="184"/>
      <c r="F1626" s="184"/>
      <c r="G1626" s="184"/>
      <c r="H1626" s="184"/>
      <c r="I1626" s="184"/>
      <c r="J1626" s="184"/>
      <c r="K1626" s="184"/>
      <c r="L1626" s="184"/>
      <c r="M1626" s="184"/>
      <c r="N1626" s="184"/>
      <c r="O1626" s="184"/>
      <c r="P1626" s="184"/>
      <c r="Q1626" s="184"/>
      <c r="R1626" s="184"/>
      <c r="S1626" s="186"/>
      <c r="T1626" s="184">
        <v>0.0</v>
      </c>
    </row>
    <row r="1627">
      <c r="A1627" s="184"/>
      <c r="B1627" s="184"/>
      <c r="C1627" s="184"/>
      <c r="D1627" s="184"/>
      <c r="E1627" s="184"/>
      <c r="F1627" s="184"/>
      <c r="G1627" s="184"/>
      <c r="H1627" s="184"/>
      <c r="I1627" s="184"/>
      <c r="J1627" s="184"/>
      <c r="K1627" s="184"/>
      <c r="L1627" s="184"/>
      <c r="M1627" s="184"/>
      <c r="N1627" s="184"/>
      <c r="O1627" s="184"/>
      <c r="P1627" s="184"/>
      <c r="Q1627" s="184"/>
      <c r="R1627" s="184"/>
      <c r="S1627" s="186"/>
      <c r="T1627" s="184">
        <v>0.0</v>
      </c>
    </row>
    <row r="1628">
      <c r="A1628" s="184"/>
      <c r="B1628" s="184"/>
      <c r="C1628" s="184"/>
      <c r="D1628" s="184"/>
      <c r="E1628" s="184"/>
      <c r="F1628" s="184"/>
      <c r="G1628" s="184"/>
      <c r="H1628" s="184"/>
      <c r="I1628" s="184"/>
      <c r="J1628" s="184"/>
      <c r="K1628" s="184"/>
      <c r="L1628" s="184"/>
      <c r="M1628" s="184"/>
      <c r="N1628" s="184"/>
      <c r="O1628" s="184"/>
      <c r="P1628" s="184"/>
      <c r="Q1628" s="184"/>
      <c r="R1628" s="184"/>
      <c r="S1628" s="186"/>
      <c r="T1628" s="184">
        <v>0.0</v>
      </c>
    </row>
    <row r="1629">
      <c r="A1629" s="184"/>
      <c r="B1629" s="184"/>
      <c r="C1629" s="184"/>
      <c r="D1629" s="184"/>
      <c r="E1629" s="184"/>
      <c r="F1629" s="184"/>
      <c r="G1629" s="184"/>
      <c r="H1629" s="184"/>
      <c r="I1629" s="184"/>
      <c r="J1629" s="184"/>
      <c r="K1629" s="184"/>
      <c r="L1629" s="184"/>
      <c r="M1629" s="184"/>
      <c r="N1629" s="184"/>
      <c r="O1629" s="184"/>
      <c r="P1629" s="184"/>
      <c r="Q1629" s="184"/>
      <c r="R1629" s="184"/>
      <c r="S1629" s="186"/>
      <c r="T1629" s="184">
        <v>0.0</v>
      </c>
    </row>
    <row r="1630">
      <c r="A1630" s="184"/>
      <c r="B1630" s="184"/>
      <c r="C1630" s="184"/>
      <c r="D1630" s="184"/>
      <c r="E1630" s="184"/>
      <c r="F1630" s="184"/>
      <c r="G1630" s="184"/>
      <c r="H1630" s="184"/>
      <c r="I1630" s="184"/>
      <c r="J1630" s="184"/>
      <c r="K1630" s="184"/>
      <c r="L1630" s="184"/>
      <c r="M1630" s="184"/>
      <c r="N1630" s="184"/>
      <c r="O1630" s="184"/>
      <c r="P1630" s="184"/>
      <c r="Q1630" s="184"/>
      <c r="R1630" s="184"/>
      <c r="S1630" s="186"/>
      <c r="T1630" s="184">
        <v>0.0</v>
      </c>
    </row>
    <row r="1631">
      <c r="A1631" s="184"/>
      <c r="B1631" s="184"/>
      <c r="C1631" s="184"/>
      <c r="D1631" s="184"/>
      <c r="E1631" s="184"/>
      <c r="F1631" s="184"/>
      <c r="G1631" s="184"/>
      <c r="H1631" s="184"/>
      <c r="I1631" s="184"/>
      <c r="J1631" s="184"/>
      <c r="K1631" s="184"/>
      <c r="L1631" s="184"/>
      <c r="M1631" s="184"/>
      <c r="N1631" s="184"/>
      <c r="O1631" s="184"/>
      <c r="P1631" s="184"/>
      <c r="Q1631" s="184"/>
      <c r="R1631" s="184"/>
      <c r="S1631" s="186"/>
      <c r="T1631" s="184">
        <v>0.0</v>
      </c>
    </row>
    <row r="1632">
      <c r="A1632" s="184"/>
      <c r="B1632" s="184"/>
      <c r="C1632" s="184"/>
      <c r="D1632" s="184"/>
      <c r="E1632" s="184"/>
      <c r="F1632" s="184"/>
      <c r="G1632" s="184"/>
      <c r="H1632" s="184"/>
      <c r="I1632" s="184"/>
      <c r="J1632" s="184"/>
      <c r="K1632" s="184"/>
      <c r="L1632" s="184"/>
      <c r="M1632" s="184"/>
      <c r="N1632" s="184"/>
      <c r="O1632" s="184"/>
      <c r="P1632" s="184"/>
      <c r="Q1632" s="184"/>
      <c r="R1632" s="184"/>
      <c r="S1632" s="186"/>
      <c r="T1632" s="184">
        <v>0.0</v>
      </c>
    </row>
    <row r="1633">
      <c r="A1633" s="184"/>
      <c r="B1633" s="184"/>
      <c r="C1633" s="184"/>
      <c r="D1633" s="184"/>
      <c r="E1633" s="184"/>
      <c r="F1633" s="184"/>
      <c r="G1633" s="184"/>
      <c r="H1633" s="184"/>
      <c r="I1633" s="184"/>
      <c r="J1633" s="184"/>
      <c r="K1633" s="184"/>
      <c r="L1633" s="184"/>
      <c r="M1633" s="184"/>
      <c r="N1633" s="184"/>
      <c r="O1633" s="184"/>
      <c r="P1633" s="184"/>
      <c r="Q1633" s="184"/>
      <c r="R1633" s="184"/>
      <c r="S1633" s="186"/>
      <c r="T1633" s="184">
        <v>0.0</v>
      </c>
    </row>
    <row r="1634">
      <c r="A1634" s="184"/>
      <c r="B1634" s="184"/>
      <c r="C1634" s="184"/>
      <c r="D1634" s="184"/>
      <c r="E1634" s="184"/>
      <c r="F1634" s="184"/>
      <c r="G1634" s="184"/>
      <c r="H1634" s="184"/>
      <c r="I1634" s="184"/>
      <c r="J1634" s="184"/>
      <c r="K1634" s="184"/>
      <c r="L1634" s="184"/>
      <c r="M1634" s="184"/>
      <c r="N1634" s="184"/>
      <c r="O1634" s="184"/>
      <c r="P1634" s="184"/>
      <c r="Q1634" s="184"/>
      <c r="R1634" s="184"/>
      <c r="S1634" s="186"/>
      <c r="T1634" s="184">
        <v>0.0</v>
      </c>
    </row>
    <row r="1635">
      <c r="A1635" s="184"/>
      <c r="B1635" s="184"/>
      <c r="C1635" s="184"/>
      <c r="D1635" s="184"/>
      <c r="E1635" s="184"/>
      <c r="F1635" s="184"/>
      <c r="G1635" s="184"/>
      <c r="H1635" s="184"/>
      <c r="I1635" s="184"/>
      <c r="J1635" s="184"/>
      <c r="K1635" s="184"/>
      <c r="L1635" s="184"/>
      <c r="M1635" s="184"/>
      <c r="N1635" s="184"/>
      <c r="O1635" s="184"/>
      <c r="P1635" s="184"/>
      <c r="Q1635" s="184"/>
      <c r="R1635" s="184"/>
      <c r="S1635" s="186"/>
      <c r="T1635" s="184">
        <v>0.0</v>
      </c>
    </row>
    <row r="1636">
      <c r="A1636" s="184"/>
      <c r="B1636" s="184"/>
      <c r="C1636" s="184"/>
      <c r="D1636" s="184"/>
      <c r="E1636" s="184"/>
      <c r="F1636" s="184"/>
      <c r="G1636" s="184"/>
      <c r="H1636" s="184"/>
      <c r="I1636" s="184"/>
      <c r="J1636" s="184"/>
      <c r="K1636" s="184"/>
      <c r="L1636" s="184"/>
      <c r="M1636" s="184"/>
      <c r="N1636" s="184"/>
      <c r="O1636" s="184"/>
      <c r="P1636" s="184"/>
      <c r="Q1636" s="184"/>
      <c r="R1636" s="184"/>
      <c r="S1636" s="186"/>
      <c r="T1636" s="184">
        <v>0.0</v>
      </c>
    </row>
    <row r="1637">
      <c r="A1637" s="184"/>
      <c r="B1637" s="184"/>
      <c r="C1637" s="184"/>
      <c r="D1637" s="184"/>
      <c r="E1637" s="184"/>
      <c r="F1637" s="184"/>
      <c r="G1637" s="184"/>
      <c r="H1637" s="184"/>
      <c r="I1637" s="184"/>
      <c r="J1637" s="184"/>
      <c r="K1637" s="184"/>
      <c r="L1637" s="184"/>
      <c r="M1637" s="184"/>
      <c r="N1637" s="184"/>
      <c r="O1637" s="184"/>
      <c r="P1637" s="184"/>
      <c r="Q1637" s="184"/>
      <c r="R1637" s="184"/>
      <c r="S1637" s="186"/>
      <c r="T1637" s="184">
        <v>0.0</v>
      </c>
    </row>
    <row r="1638">
      <c r="A1638" s="184"/>
      <c r="B1638" s="184"/>
      <c r="C1638" s="184"/>
      <c r="D1638" s="184"/>
      <c r="E1638" s="184"/>
      <c r="F1638" s="184"/>
      <c r="G1638" s="184"/>
      <c r="H1638" s="184"/>
      <c r="I1638" s="184"/>
      <c r="J1638" s="184"/>
      <c r="K1638" s="184"/>
      <c r="L1638" s="184"/>
      <c r="M1638" s="184"/>
      <c r="N1638" s="184"/>
      <c r="O1638" s="184"/>
      <c r="P1638" s="184"/>
      <c r="Q1638" s="184"/>
      <c r="R1638" s="184"/>
      <c r="S1638" s="186"/>
      <c r="T1638" s="184">
        <v>0.0</v>
      </c>
    </row>
    <row r="1639">
      <c r="A1639" s="184"/>
      <c r="B1639" s="184"/>
      <c r="C1639" s="184"/>
      <c r="D1639" s="184"/>
      <c r="E1639" s="184"/>
      <c r="F1639" s="184"/>
      <c r="G1639" s="184"/>
      <c r="H1639" s="184"/>
      <c r="I1639" s="184"/>
      <c r="J1639" s="184"/>
      <c r="K1639" s="184"/>
      <c r="L1639" s="184"/>
      <c r="M1639" s="184"/>
      <c r="N1639" s="184"/>
      <c r="O1639" s="184"/>
      <c r="P1639" s="184"/>
      <c r="Q1639" s="184"/>
      <c r="R1639" s="184"/>
      <c r="S1639" s="186"/>
      <c r="T1639" s="184">
        <v>0.0</v>
      </c>
    </row>
    <row r="1640">
      <c r="A1640" s="184"/>
      <c r="B1640" s="184"/>
      <c r="C1640" s="184"/>
      <c r="D1640" s="184"/>
      <c r="E1640" s="184"/>
      <c r="F1640" s="184"/>
      <c r="G1640" s="184"/>
      <c r="H1640" s="184"/>
      <c r="I1640" s="184"/>
      <c r="J1640" s="184"/>
      <c r="K1640" s="184"/>
      <c r="L1640" s="184"/>
      <c r="M1640" s="184"/>
      <c r="N1640" s="184"/>
      <c r="O1640" s="184"/>
      <c r="P1640" s="184"/>
      <c r="Q1640" s="184"/>
      <c r="R1640" s="184"/>
      <c r="S1640" s="186"/>
      <c r="T1640" s="184">
        <v>0.0</v>
      </c>
    </row>
    <row r="1641">
      <c r="A1641" s="184"/>
      <c r="B1641" s="184"/>
      <c r="C1641" s="184"/>
      <c r="D1641" s="184"/>
      <c r="E1641" s="184"/>
      <c r="F1641" s="184"/>
      <c r="G1641" s="184"/>
      <c r="H1641" s="184"/>
      <c r="I1641" s="184"/>
      <c r="J1641" s="184"/>
      <c r="K1641" s="184"/>
      <c r="L1641" s="184"/>
      <c r="M1641" s="184"/>
      <c r="N1641" s="184"/>
      <c r="O1641" s="184"/>
      <c r="P1641" s="184"/>
      <c r="Q1641" s="184"/>
      <c r="R1641" s="184"/>
      <c r="S1641" s="186"/>
      <c r="T1641" s="184">
        <v>0.0</v>
      </c>
    </row>
    <row r="1642">
      <c r="A1642" s="184"/>
      <c r="B1642" s="184"/>
      <c r="C1642" s="184"/>
      <c r="D1642" s="184"/>
      <c r="E1642" s="184"/>
      <c r="F1642" s="184"/>
      <c r="G1642" s="184"/>
      <c r="H1642" s="184"/>
      <c r="I1642" s="184"/>
      <c r="J1642" s="184"/>
      <c r="K1642" s="184"/>
      <c r="L1642" s="184"/>
      <c r="M1642" s="184"/>
      <c r="N1642" s="184"/>
      <c r="O1642" s="184"/>
      <c r="P1642" s="184"/>
      <c r="Q1642" s="184"/>
      <c r="R1642" s="184"/>
      <c r="S1642" s="186"/>
      <c r="T1642" s="184">
        <v>0.0</v>
      </c>
    </row>
    <row r="1643">
      <c r="A1643" s="184"/>
      <c r="B1643" s="184"/>
      <c r="C1643" s="184"/>
      <c r="D1643" s="184"/>
      <c r="E1643" s="184"/>
      <c r="F1643" s="184"/>
      <c r="G1643" s="184"/>
      <c r="H1643" s="184"/>
      <c r="I1643" s="184"/>
      <c r="J1643" s="184"/>
      <c r="K1643" s="184"/>
      <c r="L1643" s="184"/>
      <c r="M1643" s="184"/>
      <c r="N1643" s="184"/>
      <c r="O1643" s="184"/>
      <c r="P1643" s="184"/>
      <c r="Q1643" s="184"/>
      <c r="R1643" s="184"/>
      <c r="S1643" s="186"/>
      <c r="T1643" s="184">
        <v>0.0</v>
      </c>
    </row>
    <row r="1644">
      <c r="A1644" s="184"/>
      <c r="B1644" s="184"/>
      <c r="C1644" s="184"/>
      <c r="D1644" s="184"/>
      <c r="E1644" s="184"/>
      <c r="F1644" s="184"/>
      <c r="G1644" s="184"/>
      <c r="H1644" s="184"/>
      <c r="I1644" s="184"/>
      <c r="J1644" s="184"/>
      <c r="K1644" s="184"/>
      <c r="L1644" s="184"/>
      <c r="M1644" s="184"/>
      <c r="N1644" s="184"/>
      <c r="O1644" s="184"/>
      <c r="P1644" s="184"/>
      <c r="Q1644" s="184"/>
      <c r="R1644" s="184"/>
      <c r="S1644" s="186"/>
      <c r="T1644" s="184">
        <v>0.0</v>
      </c>
    </row>
    <row r="1645">
      <c r="A1645" s="184"/>
      <c r="B1645" s="184"/>
      <c r="C1645" s="184"/>
      <c r="D1645" s="184"/>
      <c r="E1645" s="184"/>
      <c r="F1645" s="184"/>
      <c r="G1645" s="184"/>
      <c r="H1645" s="184"/>
      <c r="I1645" s="184"/>
      <c r="J1645" s="184"/>
      <c r="K1645" s="184"/>
      <c r="L1645" s="184"/>
      <c r="M1645" s="184"/>
      <c r="N1645" s="184"/>
      <c r="O1645" s="184"/>
      <c r="P1645" s="184"/>
      <c r="Q1645" s="184"/>
      <c r="R1645" s="184"/>
      <c r="S1645" s="186"/>
      <c r="T1645" s="184">
        <v>0.0</v>
      </c>
    </row>
    <row r="1646">
      <c r="A1646" s="184"/>
      <c r="B1646" s="184"/>
      <c r="C1646" s="184"/>
      <c r="D1646" s="184"/>
      <c r="E1646" s="184"/>
      <c r="F1646" s="184"/>
      <c r="G1646" s="184"/>
      <c r="H1646" s="184"/>
      <c r="I1646" s="184"/>
      <c r="J1646" s="184"/>
      <c r="K1646" s="184"/>
      <c r="L1646" s="184"/>
      <c r="M1646" s="184"/>
      <c r="N1646" s="184"/>
      <c r="O1646" s="184"/>
      <c r="P1646" s="184"/>
      <c r="Q1646" s="184"/>
      <c r="R1646" s="184"/>
      <c r="S1646" s="186"/>
      <c r="T1646" s="184">
        <v>0.0</v>
      </c>
    </row>
    <row r="1647">
      <c r="A1647" s="184"/>
      <c r="B1647" s="184"/>
      <c r="C1647" s="184"/>
      <c r="D1647" s="184"/>
      <c r="E1647" s="184"/>
      <c r="F1647" s="184"/>
      <c r="G1647" s="184"/>
      <c r="H1647" s="184"/>
      <c r="I1647" s="184"/>
      <c r="J1647" s="184"/>
      <c r="K1647" s="184"/>
      <c r="L1647" s="184"/>
      <c r="M1647" s="184"/>
      <c r="N1647" s="184"/>
      <c r="O1647" s="184"/>
      <c r="P1647" s="184"/>
      <c r="Q1647" s="184"/>
      <c r="R1647" s="184"/>
      <c r="S1647" s="186"/>
      <c r="T1647" s="184">
        <v>0.0</v>
      </c>
    </row>
    <row r="1648">
      <c r="A1648" s="184"/>
      <c r="B1648" s="184"/>
      <c r="C1648" s="184"/>
      <c r="D1648" s="184"/>
      <c r="E1648" s="184"/>
      <c r="F1648" s="184"/>
      <c r="G1648" s="184"/>
      <c r="H1648" s="184"/>
      <c r="I1648" s="184"/>
      <c r="J1648" s="184"/>
      <c r="K1648" s="184"/>
      <c r="L1648" s="184"/>
      <c r="M1648" s="184"/>
      <c r="N1648" s="184"/>
      <c r="O1648" s="184"/>
      <c r="P1648" s="184"/>
      <c r="Q1648" s="184"/>
      <c r="R1648" s="184"/>
      <c r="S1648" s="186"/>
      <c r="T1648" s="184">
        <v>0.0</v>
      </c>
    </row>
    <row r="1649">
      <c r="A1649" s="184"/>
      <c r="B1649" s="184"/>
      <c r="C1649" s="184"/>
      <c r="D1649" s="184"/>
      <c r="E1649" s="184"/>
      <c r="F1649" s="184"/>
      <c r="G1649" s="184"/>
      <c r="H1649" s="184"/>
      <c r="I1649" s="184"/>
      <c r="J1649" s="184"/>
      <c r="K1649" s="184"/>
      <c r="L1649" s="184"/>
      <c r="M1649" s="184"/>
      <c r="N1649" s="184"/>
      <c r="O1649" s="184"/>
      <c r="P1649" s="184"/>
      <c r="Q1649" s="184"/>
      <c r="R1649" s="184"/>
      <c r="S1649" s="186"/>
      <c r="T1649" s="184">
        <v>0.0</v>
      </c>
    </row>
    <row r="1650">
      <c r="A1650" s="184"/>
      <c r="B1650" s="184"/>
      <c r="C1650" s="184"/>
      <c r="D1650" s="184"/>
      <c r="E1650" s="184"/>
      <c r="F1650" s="184"/>
      <c r="G1650" s="184"/>
      <c r="H1650" s="184"/>
      <c r="I1650" s="184"/>
      <c r="J1650" s="184"/>
      <c r="K1650" s="184"/>
      <c r="L1650" s="184"/>
      <c r="M1650" s="184"/>
      <c r="N1650" s="184"/>
      <c r="O1650" s="184"/>
      <c r="P1650" s="184"/>
      <c r="Q1650" s="184"/>
      <c r="R1650" s="184"/>
      <c r="S1650" s="186"/>
      <c r="T1650" s="184">
        <v>0.0</v>
      </c>
    </row>
    <row r="1651">
      <c r="A1651" s="184"/>
      <c r="B1651" s="184"/>
      <c r="C1651" s="184"/>
      <c r="D1651" s="184"/>
      <c r="E1651" s="184"/>
      <c r="F1651" s="184"/>
      <c r="G1651" s="184"/>
      <c r="H1651" s="184"/>
      <c r="I1651" s="184"/>
      <c r="J1651" s="184"/>
      <c r="K1651" s="184"/>
      <c r="L1651" s="184"/>
      <c r="M1651" s="184"/>
      <c r="N1651" s="184"/>
      <c r="O1651" s="184"/>
      <c r="P1651" s="184"/>
      <c r="Q1651" s="184"/>
      <c r="R1651" s="184"/>
      <c r="S1651" s="186"/>
      <c r="T1651" s="184">
        <v>0.0</v>
      </c>
    </row>
    <row r="1652">
      <c r="A1652" s="184"/>
      <c r="B1652" s="184"/>
      <c r="C1652" s="184"/>
      <c r="D1652" s="184"/>
      <c r="E1652" s="184"/>
      <c r="F1652" s="184"/>
      <c r="G1652" s="184"/>
      <c r="H1652" s="184"/>
      <c r="I1652" s="184"/>
      <c r="J1652" s="184"/>
      <c r="K1652" s="184"/>
      <c r="L1652" s="184"/>
      <c r="M1652" s="184"/>
      <c r="N1652" s="184"/>
      <c r="O1652" s="184"/>
      <c r="P1652" s="184"/>
      <c r="Q1652" s="184"/>
      <c r="R1652" s="184"/>
      <c r="S1652" s="186"/>
      <c r="T1652" s="184">
        <v>0.0</v>
      </c>
    </row>
    <row r="1653">
      <c r="A1653" s="184"/>
      <c r="B1653" s="184"/>
      <c r="C1653" s="184"/>
      <c r="D1653" s="184"/>
      <c r="E1653" s="184"/>
      <c r="F1653" s="184"/>
      <c r="G1653" s="184"/>
      <c r="H1653" s="184"/>
      <c r="I1653" s="184"/>
      <c r="J1653" s="184"/>
      <c r="K1653" s="184"/>
      <c r="L1653" s="184"/>
      <c r="M1653" s="184"/>
      <c r="N1653" s="184"/>
      <c r="O1653" s="184"/>
      <c r="P1653" s="184"/>
      <c r="Q1653" s="184"/>
      <c r="R1653" s="184"/>
      <c r="S1653" s="186"/>
      <c r="T1653" s="184">
        <v>0.0</v>
      </c>
    </row>
    <row r="1654">
      <c r="A1654" s="184"/>
      <c r="B1654" s="184"/>
      <c r="C1654" s="184"/>
      <c r="D1654" s="184"/>
      <c r="E1654" s="184"/>
      <c r="F1654" s="184"/>
      <c r="G1654" s="184"/>
      <c r="H1654" s="184"/>
      <c r="I1654" s="184"/>
      <c r="J1654" s="184"/>
      <c r="K1654" s="184"/>
      <c r="L1654" s="184"/>
      <c r="M1654" s="184"/>
      <c r="N1654" s="184"/>
      <c r="O1654" s="184"/>
      <c r="P1654" s="184"/>
      <c r="Q1654" s="184"/>
      <c r="R1654" s="184"/>
      <c r="S1654" s="186"/>
      <c r="T1654" s="184">
        <v>0.0</v>
      </c>
    </row>
    <row r="1655">
      <c r="A1655" s="184"/>
      <c r="B1655" s="184"/>
      <c r="C1655" s="184"/>
      <c r="D1655" s="184"/>
      <c r="E1655" s="184"/>
      <c r="F1655" s="184"/>
      <c r="G1655" s="184"/>
      <c r="H1655" s="184"/>
      <c r="I1655" s="184"/>
      <c r="J1655" s="184"/>
      <c r="K1655" s="184"/>
      <c r="L1655" s="184"/>
      <c r="M1655" s="184"/>
      <c r="N1655" s="184"/>
      <c r="O1655" s="184"/>
      <c r="P1655" s="184"/>
      <c r="Q1655" s="184"/>
      <c r="R1655" s="184"/>
      <c r="S1655" s="186"/>
      <c r="T1655" s="184">
        <v>0.0</v>
      </c>
    </row>
    <row r="1656">
      <c r="A1656" s="184"/>
      <c r="B1656" s="184"/>
      <c r="C1656" s="184"/>
      <c r="D1656" s="184"/>
      <c r="E1656" s="184"/>
      <c r="F1656" s="184"/>
      <c r="G1656" s="184"/>
      <c r="H1656" s="184"/>
      <c r="I1656" s="184"/>
      <c r="J1656" s="184"/>
      <c r="K1656" s="184"/>
      <c r="L1656" s="184"/>
      <c r="M1656" s="184"/>
      <c r="N1656" s="184"/>
      <c r="O1656" s="184"/>
      <c r="P1656" s="184"/>
      <c r="Q1656" s="184"/>
      <c r="R1656" s="184"/>
      <c r="S1656" s="186"/>
      <c r="T1656" s="184">
        <v>0.0</v>
      </c>
    </row>
    <row r="1657">
      <c r="A1657" s="184"/>
      <c r="B1657" s="184"/>
      <c r="C1657" s="184"/>
      <c r="D1657" s="184"/>
      <c r="E1657" s="184"/>
      <c r="F1657" s="184"/>
      <c r="G1657" s="184"/>
      <c r="H1657" s="184"/>
      <c r="I1657" s="184"/>
      <c r="J1657" s="184"/>
      <c r="K1657" s="184"/>
      <c r="L1657" s="184"/>
      <c r="M1657" s="184"/>
      <c r="N1657" s="184"/>
      <c r="O1657" s="184"/>
      <c r="P1657" s="184"/>
      <c r="Q1657" s="184"/>
      <c r="R1657" s="184"/>
      <c r="S1657" s="186"/>
      <c r="T1657" s="184">
        <v>0.0</v>
      </c>
    </row>
    <row r="1658">
      <c r="A1658" s="184"/>
      <c r="B1658" s="184"/>
      <c r="C1658" s="184"/>
      <c r="D1658" s="184"/>
      <c r="E1658" s="184"/>
      <c r="F1658" s="184"/>
      <c r="G1658" s="184"/>
      <c r="H1658" s="184"/>
      <c r="I1658" s="184"/>
      <c r="J1658" s="184"/>
      <c r="K1658" s="184"/>
      <c r="L1658" s="184"/>
      <c r="M1658" s="184"/>
      <c r="N1658" s="184"/>
      <c r="O1658" s="184"/>
      <c r="P1658" s="184"/>
      <c r="Q1658" s="184"/>
      <c r="R1658" s="184"/>
      <c r="S1658" s="186"/>
      <c r="T1658" s="184">
        <v>0.0</v>
      </c>
    </row>
    <row r="1659">
      <c r="A1659" s="184"/>
      <c r="B1659" s="184"/>
      <c r="C1659" s="184"/>
      <c r="D1659" s="184"/>
      <c r="E1659" s="184"/>
      <c r="F1659" s="184"/>
      <c r="G1659" s="184"/>
      <c r="H1659" s="184"/>
      <c r="I1659" s="184"/>
      <c r="J1659" s="184"/>
      <c r="K1659" s="184"/>
      <c r="L1659" s="184"/>
      <c r="M1659" s="184"/>
      <c r="N1659" s="184"/>
      <c r="O1659" s="184"/>
      <c r="P1659" s="184"/>
      <c r="Q1659" s="184"/>
      <c r="R1659" s="184"/>
      <c r="S1659" s="186"/>
      <c r="T1659" s="184">
        <v>0.0</v>
      </c>
    </row>
    <row r="1660">
      <c r="A1660" s="184"/>
      <c r="B1660" s="184"/>
      <c r="C1660" s="184"/>
      <c r="D1660" s="184"/>
      <c r="E1660" s="184"/>
      <c r="F1660" s="184"/>
      <c r="G1660" s="184"/>
      <c r="H1660" s="184"/>
      <c r="I1660" s="184"/>
      <c r="J1660" s="184"/>
      <c r="K1660" s="184"/>
      <c r="L1660" s="184"/>
      <c r="M1660" s="184"/>
      <c r="N1660" s="184"/>
      <c r="O1660" s="184"/>
      <c r="P1660" s="184"/>
      <c r="Q1660" s="184"/>
      <c r="R1660" s="184"/>
      <c r="S1660" s="186"/>
      <c r="T1660" s="184">
        <v>0.0</v>
      </c>
    </row>
    <row r="1661">
      <c r="A1661" s="184"/>
      <c r="B1661" s="184"/>
      <c r="C1661" s="184"/>
      <c r="D1661" s="184"/>
      <c r="E1661" s="184"/>
      <c r="F1661" s="184"/>
      <c r="G1661" s="184"/>
      <c r="H1661" s="184"/>
      <c r="I1661" s="184"/>
      <c r="J1661" s="184"/>
      <c r="K1661" s="184"/>
      <c r="L1661" s="184"/>
      <c r="M1661" s="184"/>
      <c r="N1661" s="184"/>
      <c r="O1661" s="184"/>
      <c r="P1661" s="184"/>
      <c r="Q1661" s="184"/>
      <c r="R1661" s="184"/>
      <c r="S1661" s="186"/>
      <c r="T1661" s="184">
        <v>0.0</v>
      </c>
    </row>
    <row r="1662">
      <c r="A1662" s="184"/>
      <c r="B1662" s="184"/>
      <c r="C1662" s="184"/>
      <c r="D1662" s="184"/>
      <c r="E1662" s="184"/>
      <c r="F1662" s="184"/>
      <c r="G1662" s="184"/>
      <c r="H1662" s="184"/>
      <c r="I1662" s="184"/>
      <c r="J1662" s="184"/>
      <c r="K1662" s="184"/>
      <c r="L1662" s="184"/>
      <c r="M1662" s="184"/>
      <c r="N1662" s="184"/>
      <c r="O1662" s="184"/>
      <c r="P1662" s="184"/>
      <c r="Q1662" s="184"/>
      <c r="R1662" s="184"/>
      <c r="S1662" s="186"/>
      <c r="T1662" s="184">
        <v>0.0</v>
      </c>
    </row>
    <row r="1663">
      <c r="A1663" s="184"/>
      <c r="B1663" s="184"/>
      <c r="C1663" s="184"/>
      <c r="D1663" s="184"/>
      <c r="E1663" s="184"/>
      <c r="F1663" s="184"/>
      <c r="G1663" s="184"/>
      <c r="H1663" s="184"/>
      <c r="I1663" s="184"/>
      <c r="J1663" s="184"/>
      <c r="K1663" s="184"/>
      <c r="L1663" s="184"/>
      <c r="M1663" s="184"/>
      <c r="N1663" s="184"/>
      <c r="O1663" s="184"/>
      <c r="P1663" s="184"/>
      <c r="Q1663" s="184"/>
      <c r="R1663" s="184"/>
      <c r="S1663" s="186"/>
      <c r="T1663" s="184">
        <v>0.0</v>
      </c>
    </row>
    <row r="1664">
      <c r="A1664" s="184"/>
      <c r="B1664" s="184"/>
      <c r="C1664" s="184"/>
      <c r="D1664" s="184"/>
      <c r="E1664" s="184"/>
      <c r="F1664" s="184"/>
      <c r="G1664" s="184"/>
      <c r="H1664" s="184"/>
      <c r="I1664" s="184"/>
      <c r="J1664" s="184"/>
      <c r="K1664" s="184"/>
      <c r="L1664" s="184"/>
      <c r="M1664" s="184"/>
      <c r="N1664" s="184"/>
      <c r="O1664" s="184"/>
      <c r="P1664" s="184"/>
      <c r="Q1664" s="184"/>
      <c r="R1664" s="184"/>
      <c r="S1664" s="186"/>
      <c r="T1664" s="184">
        <v>0.0</v>
      </c>
    </row>
    <row r="1665">
      <c r="A1665" s="184"/>
      <c r="B1665" s="184"/>
      <c r="C1665" s="184"/>
      <c r="D1665" s="184"/>
      <c r="E1665" s="184"/>
      <c r="F1665" s="184"/>
      <c r="G1665" s="184"/>
      <c r="H1665" s="184"/>
      <c r="I1665" s="184"/>
      <c r="J1665" s="184"/>
      <c r="K1665" s="184"/>
      <c r="L1665" s="184"/>
      <c r="M1665" s="184"/>
      <c r="N1665" s="184"/>
      <c r="O1665" s="184"/>
      <c r="P1665" s="184"/>
      <c r="Q1665" s="184"/>
      <c r="R1665" s="184"/>
      <c r="S1665" s="186"/>
      <c r="T1665" s="184">
        <v>0.0</v>
      </c>
    </row>
    <row r="1666">
      <c r="A1666" s="184"/>
      <c r="B1666" s="184"/>
      <c r="C1666" s="184"/>
      <c r="D1666" s="184"/>
      <c r="E1666" s="184"/>
      <c r="F1666" s="184"/>
      <c r="G1666" s="184"/>
      <c r="H1666" s="184"/>
      <c r="I1666" s="184"/>
      <c r="J1666" s="184"/>
      <c r="K1666" s="184"/>
      <c r="L1666" s="184"/>
      <c r="M1666" s="184"/>
      <c r="N1666" s="184"/>
      <c r="O1666" s="184"/>
      <c r="P1666" s="184"/>
      <c r="Q1666" s="184"/>
      <c r="R1666" s="184"/>
      <c r="S1666" s="186"/>
      <c r="T1666" s="184">
        <v>0.0</v>
      </c>
    </row>
    <row r="1667">
      <c r="A1667" s="184"/>
      <c r="B1667" s="184"/>
      <c r="C1667" s="184"/>
      <c r="D1667" s="184"/>
      <c r="E1667" s="184"/>
      <c r="F1667" s="184"/>
      <c r="G1667" s="184"/>
      <c r="H1667" s="184"/>
      <c r="I1667" s="184"/>
      <c r="J1667" s="184"/>
      <c r="K1667" s="184"/>
      <c r="L1667" s="184"/>
      <c r="M1667" s="184"/>
      <c r="N1667" s="184"/>
      <c r="O1667" s="184"/>
      <c r="P1667" s="184"/>
      <c r="Q1667" s="184"/>
      <c r="R1667" s="184"/>
      <c r="S1667" s="186"/>
      <c r="T1667" s="184">
        <v>0.0</v>
      </c>
    </row>
    <row r="1668">
      <c r="A1668" s="184"/>
      <c r="B1668" s="184"/>
      <c r="C1668" s="184"/>
      <c r="D1668" s="184"/>
      <c r="E1668" s="184"/>
      <c r="F1668" s="184"/>
      <c r="G1668" s="184"/>
      <c r="H1668" s="184"/>
      <c r="I1668" s="184"/>
      <c r="J1668" s="184"/>
      <c r="K1668" s="184"/>
      <c r="L1668" s="184"/>
      <c r="M1668" s="184"/>
      <c r="N1668" s="184"/>
      <c r="O1668" s="184"/>
      <c r="P1668" s="184"/>
      <c r="Q1668" s="184"/>
      <c r="R1668" s="184"/>
      <c r="S1668" s="186"/>
      <c r="T1668" s="184">
        <v>0.0</v>
      </c>
    </row>
    <row r="1669">
      <c r="A1669" s="184"/>
      <c r="B1669" s="184"/>
      <c r="C1669" s="184"/>
      <c r="D1669" s="184"/>
      <c r="E1669" s="184"/>
      <c r="F1669" s="184"/>
      <c r="G1669" s="184"/>
      <c r="H1669" s="184"/>
      <c r="I1669" s="184"/>
      <c r="J1669" s="184"/>
      <c r="K1669" s="184"/>
      <c r="L1669" s="184"/>
      <c r="M1669" s="184"/>
      <c r="N1669" s="184"/>
      <c r="O1669" s="184"/>
      <c r="P1669" s="184"/>
      <c r="Q1669" s="184"/>
      <c r="R1669" s="184"/>
      <c r="S1669" s="186"/>
      <c r="T1669" s="184">
        <v>0.0</v>
      </c>
    </row>
    <row r="1670">
      <c r="A1670" s="184"/>
      <c r="B1670" s="184"/>
      <c r="C1670" s="184"/>
      <c r="D1670" s="184"/>
      <c r="E1670" s="184"/>
      <c r="F1670" s="184"/>
      <c r="G1670" s="184"/>
      <c r="H1670" s="184"/>
      <c r="I1670" s="184"/>
      <c r="J1670" s="184"/>
      <c r="K1670" s="184"/>
      <c r="L1670" s="184"/>
      <c r="M1670" s="184"/>
      <c r="N1670" s="184"/>
      <c r="O1670" s="184"/>
      <c r="P1670" s="184"/>
      <c r="Q1670" s="184"/>
      <c r="R1670" s="184"/>
      <c r="S1670" s="186"/>
      <c r="T1670" s="184">
        <v>0.0</v>
      </c>
    </row>
    <row r="1671">
      <c r="A1671" s="184"/>
      <c r="B1671" s="184"/>
      <c r="C1671" s="184"/>
      <c r="D1671" s="184"/>
      <c r="E1671" s="184"/>
      <c r="F1671" s="184"/>
      <c r="G1671" s="184"/>
      <c r="H1671" s="184"/>
      <c r="I1671" s="184"/>
      <c r="J1671" s="184"/>
      <c r="K1671" s="184"/>
      <c r="L1671" s="184"/>
      <c r="M1671" s="184"/>
      <c r="N1671" s="184"/>
      <c r="O1671" s="184"/>
      <c r="P1671" s="184"/>
      <c r="Q1671" s="184"/>
      <c r="R1671" s="184"/>
      <c r="S1671" s="186"/>
      <c r="T1671" s="184">
        <v>0.0</v>
      </c>
    </row>
    <row r="1672">
      <c r="A1672" s="184"/>
      <c r="B1672" s="184"/>
      <c r="C1672" s="184"/>
      <c r="D1672" s="184"/>
      <c r="E1672" s="184"/>
      <c r="F1672" s="184"/>
      <c r="G1672" s="184"/>
      <c r="H1672" s="184"/>
      <c r="I1672" s="184"/>
      <c r="J1672" s="184"/>
      <c r="K1672" s="184"/>
      <c r="L1672" s="184"/>
      <c r="M1672" s="184"/>
      <c r="N1672" s="184"/>
      <c r="O1672" s="184"/>
      <c r="P1672" s="184"/>
      <c r="Q1672" s="184"/>
      <c r="R1672" s="184"/>
      <c r="S1672" s="186"/>
      <c r="T1672" s="184">
        <v>0.0</v>
      </c>
    </row>
    <row r="1673">
      <c r="A1673" s="184"/>
      <c r="B1673" s="184"/>
      <c r="C1673" s="184"/>
      <c r="D1673" s="184"/>
      <c r="E1673" s="184"/>
      <c r="F1673" s="184"/>
      <c r="G1673" s="184"/>
      <c r="H1673" s="184"/>
      <c r="I1673" s="184"/>
      <c r="J1673" s="184"/>
      <c r="K1673" s="184"/>
      <c r="L1673" s="184"/>
      <c r="M1673" s="184"/>
      <c r="N1673" s="184"/>
      <c r="O1673" s="184"/>
      <c r="P1673" s="184"/>
      <c r="Q1673" s="184"/>
      <c r="R1673" s="184"/>
      <c r="S1673" s="186"/>
      <c r="T1673" s="184">
        <v>0.0</v>
      </c>
    </row>
    <row r="1674">
      <c r="A1674" s="184"/>
      <c r="B1674" s="184"/>
      <c r="C1674" s="184"/>
      <c r="D1674" s="184"/>
      <c r="E1674" s="184"/>
      <c r="F1674" s="184"/>
      <c r="G1674" s="184"/>
      <c r="H1674" s="184"/>
      <c r="I1674" s="184"/>
      <c r="J1674" s="184"/>
      <c r="K1674" s="184"/>
      <c r="L1674" s="184"/>
      <c r="M1674" s="184"/>
      <c r="N1674" s="184"/>
      <c r="O1674" s="184"/>
      <c r="P1674" s="184"/>
      <c r="Q1674" s="184"/>
      <c r="R1674" s="184"/>
      <c r="S1674" s="186"/>
      <c r="T1674" s="184">
        <v>0.0</v>
      </c>
    </row>
    <row r="1675">
      <c r="A1675" s="184"/>
      <c r="B1675" s="184"/>
      <c r="C1675" s="184"/>
      <c r="D1675" s="184"/>
      <c r="E1675" s="184"/>
      <c r="F1675" s="184"/>
      <c r="G1675" s="184"/>
      <c r="H1675" s="184"/>
      <c r="I1675" s="184"/>
      <c r="J1675" s="184"/>
      <c r="K1675" s="184"/>
      <c r="L1675" s="184"/>
      <c r="M1675" s="184"/>
      <c r="N1675" s="184"/>
      <c r="O1675" s="184"/>
      <c r="P1675" s="184"/>
      <c r="Q1675" s="184"/>
      <c r="R1675" s="184"/>
      <c r="S1675" s="186"/>
      <c r="T1675" s="184">
        <v>0.0</v>
      </c>
    </row>
    <row r="1676">
      <c r="A1676" s="184"/>
      <c r="B1676" s="184"/>
      <c r="C1676" s="184"/>
      <c r="D1676" s="184"/>
      <c r="E1676" s="184"/>
      <c r="F1676" s="184"/>
      <c r="G1676" s="184"/>
      <c r="H1676" s="184"/>
      <c r="I1676" s="184"/>
      <c r="J1676" s="184"/>
      <c r="K1676" s="184"/>
      <c r="L1676" s="184"/>
      <c r="M1676" s="184"/>
      <c r="N1676" s="184"/>
      <c r="O1676" s="184"/>
      <c r="P1676" s="184"/>
      <c r="Q1676" s="184"/>
      <c r="R1676" s="184"/>
      <c r="S1676" s="186"/>
      <c r="T1676" s="184">
        <v>0.0</v>
      </c>
    </row>
    <row r="1677">
      <c r="A1677" s="184"/>
      <c r="B1677" s="184"/>
      <c r="C1677" s="184"/>
      <c r="D1677" s="184"/>
      <c r="E1677" s="184"/>
      <c r="F1677" s="184"/>
      <c r="G1677" s="184"/>
      <c r="H1677" s="184"/>
      <c r="I1677" s="184"/>
      <c r="J1677" s="184"/>
      <c r="K1677" s="184"/>
      <c r="L1677" s="184"/>
      <c r="M1677" s="184"/>
      <c r="N1677" s="184"/>
      <c r="O1677" s="184"/>
      <c r="P1677" s="184"/>
      <c r="Q1677" s="184"/>
      <c r="R1677" s="184"/>
      <c r="S1677" s="186"/>
      <c r="T1677" s="184">
        <v>0.0</v>
      </c>
    </row>
    <row r="1678">
      <c r="A1678" s="184"/>
      <c r="B1678" s="184"/>
      <c r="C1678" s="184"/>
      <c r="D1678" s="184"/>
      <c r="E1678" s="184"/>
      <c r="F1678" s="184"/>
      <c r="G1678" s="184"/>
      <c r="H1678" s="184"/>
      <c r="I1678" s="184"/>
      <c r="J1678" s="184"/>
      <c r="K1678" s="184"/>
      <c r="L1678" s="184"/>
      <c r="M1678" s="184"/>
      <c r="N1678" s="184"/>
      <c r="O1678" s="184"/>
      <c r="P1678" s="184"/>
      <c r="Q1678" s="184"/>
      <c r="R1678" s="184"/>
      <c r="S1678" s="186"/>
      <c r="T1678" s="184">
        <v>0.0</v>
      </c>
    </row>
    <row r="1679">
      <c r="A1679" s="184"/>
      <c r="B1679" s="184"/>
      <c r="C1679" s="184"/>
      <c r="D1679" s="184"/>
      <c r="E1679" s="184"/>
      <c r="F1679" s="184"/>
      <c r="G1679" s="184"/>
      <c r="H1679" s="184"/>
      <c r="I1679" s="184"/>
      <c r="J1679" s="184"/>
      <c r="K1679" s="184"/>
      <c r="L1679" s="184"/>
      <c r="M1679" s="184"/>
      <c r="N1679" s="184"/>
      <c r="O1679" s="184"/>
      <c r="P1679" s="184"/>
      <c r="Q1679" s="184"/>
      <c r="R1679" s="184"/>
      <c r="S1679" s="186"/>
      <c r="T1679" s="184">
        <v>0.0</v>
      </c>
    </row>
    <row r="1680">
      <c r="A1680" s="184"/>
      <c r="B1680" s="184"/>
      <c r="C1680" s="184"/>
      <c r="D1680" s="184"/>
      <c r="E1680" s="184"/>
      <c r="F1680" s="184"/>
      <c r="G1680" s="184"/>
      <c r="H1680" s="184"/>
      <c r="I1680" s="184"/>
      <c r="J1680" s="184"/>
      <c r="K1680" s="184"/>
      <c r="L1680" s="184"/>
      <c r="M1680" s="184"/>
      <c r="N1680" s="184"/>
      <c r="O1680" s="184"/>
      <c r="P1680" s="184"/>
      <c r="Q1680" s="184"/>
      <c r="R1680" s="184"/>
      <c r="S1680" s="186"/>
      <c r="T1680" s="184">
        <v>0.0</v>
      </c>
    </row>
    <row r="1681">
      <c r="A1681" s="184"/>
      <c r="B1681" s="184"/>
      <c r="C1681" s="184"/>
      <c r="D1681" s="184"/>
      <c r="E1681" s="184"/>
      <c r="F1681" s="184"/>
      <c r="G1681" s="184"/>
      <c r="H1681" s="184"/>
      <c r="I1681" s="184"/>
      <c r="J1681" s="184"/>
      <c r="K1681" s="184"/>
      <c r="L1681" s="184"/>
      <c r="M1681" s="184"/>
      <c r="N1681" s="184"/>
      <c r="O1681" s="184"/>
      <c r="P1681" s="184"/>
      <c r="Q1681" s="184"/>
      <c r="R1681" s="184"/>
      <c r="S1681" s="186"/>
      <c r="T1681" s="184">
        <v>0.0</v>
      </c>
    </row>
    <row r="1682">
      <c r="A1682" s="184"/>
      <c r="B1682" s="184"/>
      <c r="C1682" s="184"/>
      <c r="D1682" s="184"/>
      <c r="E1682" s="184"/>
      <c r="F1682" s="184"/>
      <c r="G1682" s="184"/>
      <c r="H1682" s="184"/>
      <c r="I1682" s="184"/>
      <c r="J1682" s="184"/>
      <c r="K1682" s="184"/>
      <c r="L1682" s="184"/>
      <c r="M1682" s="184"/>
      <c r="N1682" s="184"/>
      <c r="O1682" s="184"/>
      <c r="P1682" s="184"/>
      <c r="Q1682" s="184"/>
      <c r="R1682" s="184"/>
      <c r="S1682" s="186"/>
      <c r="T1682" s="184">
        <v>0.0</v>
      </c>
    </row>
    <row r="1683">
      <c r="A1683" s="184"/>
      <c r="B1683" s="184"/>
      <c r="C1683" s="184"/>
      <c r="D1683" s="184"/>
      <c r="E1683" s="184"/>
      <c r="F1683" s="184"/>
      <c r="G1683" s="184"/>
      <c r="H1683" s="184"/>
      <c r="I1683" s="184"/>
      <c r="J1683" s="184"/>
      <c r="K1683" s="184"/>
      <c r="L1683" s="184"/>
      <c r="M1683" s="184"/>
      <c r="N1683" s="184"/>
      <c r="O1683" s="184"/>
      <c r="P1683" s="184"/>
      <c r="Q1683" s="184"/>
      <c r="R1683" s="184"/>
      <c r="S1683" s="186"/>
      <c r="T1683" s="184">
        <v>0.0</v>
      </c>
    </row>
    <row r="1684">
      <c r="A1684" s="184"/>
      <c r="B1684" s="184"/>
      <c r="C1684" s="184"/>
      <c r="D1684" s="184"/>
      <c r="E1684" s="184"/>
      <c r="F1684" s="184"/>
      <c r="G1684" s="184"/>
      <c r="H1684" s="184"/>
      <c r="I1684" s="184"/>
      <c r="J1684" s="184"/>
      <c r="K1684" s="184"/>
      <c r="L1684" s="184"/>
      <c r="M1684" s="184"/>
      <c r="N1684" s="184"/>
      <c r="O1684" s="184"/>
      <c r="P1684" s="184"/>
      <c r="Q1684" s="184"/>
      <c r="R1684" s="184"/>
      <c r="S1684" s="186"/>
      <c r="T1684" s="184">
        <v>0.0</v>
      </c>
    </row>
    <row r="1685">
      <c r="A1685" s="184"/>
      <c r="B1685" s="184"/>
      <c r="C1685" s="184"/>
      <c r="D1685" s="184"/>
      <c r="E1685" s="184"/>
      <c r="F1685" s="184"/>
      <c r="G1685" s="184"/>
      <c r="H1685" s="184"/>
      <c r="I1685" s="184"/>
      <c r="J1685" s="184"/>
      <c r="K1685" s="184"/>
      <c r="L1685" s="184"/>
      <c r="M1685" s="184"/>
      <c r="N1685" s="184"/>
      <c r="O1685" s="184"/>
      <c r="P1685" s="184"/>
      <c r="Q1685" s="184"/>
      <c r="R1685" s="184"/>
      <c r="S1685" s="186"/>
      <c r="T1685" s="184">
        <v>0.0</v>
      </c>
    </row>
    <row r="1686">
      <c r="A1686" s="184"/>
      <c r="B1686" s="184"/>
      <c r="C1686" s="184"/>
      <c r="D1686" s="184"/>
      <c r="E1686" s="184"/>
      <c r="F1686" s="184"/>
      <c r="G1686" s="184"/>
      <c r="H1686" s="184"/>
      <c r="I1686" s="184"/>
      <c r="J1686" s="184"/>
      <c r="K1686" s="184"/>
      <c r="L1686" s="184"/>
      <c r="M1686" s="184"/>
      <c r="N1686" s="184"/>
      <c r="O1686" s="184"/>
      <c r="P1686" s="184"/>
      <c r="Q1686" s="184"/>
      <c r="R1686" s="184"/>
      <c r="S1686" s="186"/>
      <c r="T1686" s="184">
        <v>0.0</v>
      </c>
    </row>
    <row r="1687">
      <c r="A1687" s="184"/>
      <c r="B1687" s="184"/>
      <c r="C1687" s="184"/>
      <c r="D1687" s="184"/>
      <c r="E1687" s="184"/>
      <c r="F1687" s="184"/>
      <c r="G1687" s="184"/>
      <c r="H1687" s="184"/>
      <c r="I1687" s="184"/>
      <c r="J1687" s="184"/>
      <c r="K1687" s="184"/>
      <c r="L1687" s="184"/>
      <c r="M1687" s="184"/>
      <c r="N1687" s="184"/>
      <c r="O1687" s="184"/>
      <c r="P1687" s="184"/>
      <c r="Q1687" s="184"/>
      <c r="R1687" s="184"/>
      <c r="S1687" s="186"/>
      <c r="T1687" s="184">
        <v>0.0</v>
      </c>
    </row>
    <row r="1688">
      <c r="A1688" s="184"/>
      <c r="B1688" s="184"/>
      <c r="C1688" s="184"/>
      <c r="D1688" s="184"/>
      <c r="E1688" s="184"/>
      <c r="F1688" s="184"/>
      <c r="G1688" s="184"/>
      <c r="H1688" s="184"/>
      <c r="I1688" s="184"/>
      <c r="J1688" s="184"/>
      <c r="K1688" s="184"/>
      <c r="L1688" s="184"/>
      <c r="M1688" s="184"/>
      <c r="N1688" s="184"/>
      <c r="O1688" s="184"/>
      <c r="P1688" s="184"/>
      <c r="Q1688" s="184"/>
      <c r="R1688" s="184"/>
      <c r="S1688" s="186"/>
      <c r="T1688" s="184">
        <v>0.0</v>
      </c>
    </row>
    <row r="1689">
      <c r="A1689" s="184"/>
      <c r="B1689" s="184"/>
      <c r="C1689" s="184"/>
      <c r="D1689" s="184"/>
      <c r="E1689" s="184"/>
      <c r="F1689" s="184"/>
      <c r="G1689" s="184"/>
      <c r="H1689" s="184"/>
      <c r="I1689" s="184"/>
      <c r="J1689" s="184"/>
      <c r="K1689" s="184"/>
      <c r="L1689" s="184"/>
      <c r="M1689" s="184"/>
      <c r="N1689" s="184"/>
      <c r="O1689" s="184"/>
      <c r="P1689" s="184"/>
      <c r="Q1689" s="184"/>
      <c r="R1689" s="184"/>
      <c r="S1689" s="186"/>
      <c r="T1689" s="184">
        <v>0.0</v>
      </c>
    </row>
    <row r="1690">
      <c r="A1690" s="184"/>
      <c r="B1690" s="184"/>
      <c r="C1690" s="184"/>
      <c r="D1690" s="184"/>
      <c r="E1690" s="184"/>
      <c r="F1690" s="184"/>
      <c r="G1690" s="184"/>
      <c r="H1690" s="184"/>
      <c r="I1690" s="184"/>
      <c r="J1690" s="184"/>
      <c r="K1690" s="184"/>
      <c r="L1690" s="184"/>
      <c r="M1690" s="184"/>
      <c r="N1690" s="184"/>
      <c r="O1690" s="184"/>
      <c r="P1690" s="184"/>
      <c r="Q1690" s="184"/>
      <c r="R1690" s="184"/>
      <c r="S1690" s="186"/>
      <c r="T1690" s="184">
        <v>0.0</v>
      </c>
    </row>
    <row r="1691">
      <c r="A1691" s="184"/>
      <c r="B1691" s="184"/>
      <c r="C1691" s="184"/>
      <c r="D1691" s="184"/>
      <c r="E1691" s="184"/>
      <c r="F1691" s="184"/>
      <c r="G1691" s="184"/>
      <c r="H1691" s="184"/>
      <c r="I1691" s="184"/>
      <c r="J1691" s="184"/>
      <c r="K1691" s="184"/>
      <c r="L1691" s="184"/>
      <c r="M1691" s="184"/>
      <c r="N1691" s="184"/>
      <c r="O1691" s="184"/>
      <c r="P1691" s="184"/>
      <c r="Q1691" s="184"/>
      <c r="R1691" s="184"/>
      <c r="S1691" s="186"/>
      <c r="T1691" s="184">
        <v>0.0</v>
      </c>
    </row>
    <row r="1692">
      <c r="A1692" s="184"/>
      <c r="B1692" s="184"/>
      <c r="C1692" s="184"/>
      <c r="D1692" s="184"/>
      <c r="E1692" s="184"/>
      <c r="F1692" s="184"/>
      <c r="G1692" s="184"/>
      <c r="H1692" s="184"/>
      <c r="I1692" s="184"/>
      <c r="J1692" s="184"/>
      <c r="K1692" s="184"/>
      <c r="L1692" s="184"/>
      <c r="M1692" s="184"/>
      <c r="N1692" s="184"/>
      <c r="O1692" s="184"/>
      <c r="P1692" s="184"/>
      <c r="Q1692" s="184"/>
      <c r="R1692" s="184"/>
      <c r="S1692" s="186"/>
      <c r="T1692" s="184">
        <v>0.0</v>
      </c>
    </row>
    <row r="1693">
      <c r="A1693" s="184"/>
      <c r="B1693" s="184"/>
      <c r="C1693" s="184"/>
      <c r="D1693" s="184"/>
      <c r="E1693" s="184"/>
      <c r="F1693" s="184"/>
      <c r="G1693" s="184"/>
      <c r="H1693" s="184"/>
      <c r="I1693" s="184"/>
      <c r="J1693" s="184"/>
      <c r="K1693" s="184"/>
      <c r="L1693" s="184"/>
      <c r="M1693" s="184"/>
      <c r="N1693" s="184"/>
      <c r="O1693" s="184"/>
      <c r="P1693" s="184"/>
      <c r="Q1693" s="184"/>
      <c r="R1693" s="184"/>
      <c r="S1693" s="186"/>
      <c r="T1693" s="184">
        <v>0.0</v>
      </c>
    </row>
    <row r="1694">
      <c r="A1694" s="184"/>
      <c r="B1694" s="184"/>
      <c r="C1694" s="184"/>
      <c r="D1694" s="184"/>
      <c r="E1694" s="184"/>
      <c r="F1694" s="184"/>
      <c r="G1694" s="184"/>
      <c r="H1694" s="184"/>
      <c r="I1694" s="184"/>
      <c r="J1694" s="184"/>
      <c r="K1694" s="184"/>
      <c r="L1694" s="184"/>
      <c r="M1694" s="184"/>
      <c r="N1694" s="184"/>
      <c r="O1694" s="184"/>
      <c r="P1694" s="184"/>
      <c r="Q1694" s="184"/>
      <c r="R1694" s="184"/>
      <c r="S1694" s="186"/>
      <c r="T1694" s="184">
        <v>0.0</v>
      </c>
    </row>
    <row r="1695">
      <c r="A1695" s="184"/>
      <c r="B1695" s="184"/>
      <c r="C1695" s="184"/>
      <c r="D1695" s="184"/>
      <c r="E1695" s="184"/>
      <c r="F1695" s="184"/>
      <c r="G1695" s="184"/>
      <c r="H1695" s="184"/>
      <c r="I1695" s="184"/>
      <c r="J1695" s="184"/>
      <c r="K1695" s="184"/>
      <c r="L1695" s="184"/>
      <c r="M1695" s="184"/>
      <c r="N1695" s="184"/>
      <c r="O1695" s="184"/>
      <c r="P1695" s="184"/>
      <c r="Q1695" s="184"/>
      <c r="R1695" s="184"/>
      <c r="S1695" s="186"/>
      <c r="T1695" s="184">
        <v>0.0</v>
      </c>
    </row>
    <row r="1696">
      <c r="A1696" s="184"/>
      <c r="B1696" s="184"/>
      <c r="C1696" s="184"/>
      <c r="D1696" s="184"/>
      <c r="E1696" s="184"/>
      <c r="F1696" s="184"/>
      <c r="G1696" s="184"/>
      <c r="H1696" s="184"/>
      <c r="I1696" s="184"/>
      <c r="J1696" s="184"/>
      <c r="K1696" s="184"/>
      <c r="L1696" s="184"/>
      <c r="M1696" s="184"/>
      <c r="N1696" s="184"/>
      <c r="O1696" s="184"/>
      <c r="P1696" s="184"/>
      <c r="Q1696" s="184"/>
      <c r="R1696" s="184"/>
      <c r="S1696" s="186"/>
      <c r="T1696" s="184">
        <v>0.0</v>
      </c>
    </row>
    <row r="1697">
      <c r="A1697" s="184"/>
      <c r="B1697" s="184"/>
      <c r="C1697" s="184"/>
      <c r="D1697" s="184"/>
      <c r="E1697" s="184"/>
      <c r="F1697" s="184"/>
      <c r="G1697" s="184"/>
      <c r="H1697" s="184"/>
      <c r="I1697" s="184"/>
      <c r="J1697" s="184"/>
      <c r="K1697" s="184"/>
      <c r="L1697" s="184"/>
      <c r="M1697" s="184"/>
      <c r="N1697" s="184"/>
      <c r="O1697" s="184"/>
      <c r="P1697" s="184"/>
      <c r="Q1697" s="184"/>
      <c r="R1697" s="184"/>
      <c r="S1697" s="186"/>
      <c r="T1697" s="184">
        <v>0.0</v>
      </c>
    </row>
    <row r="1698">
      <c r="A1698" s="184"/>
      <c r="B1698" s="184"/>
      <c r="C1698" s="184"/>
      <c r="D1698" s="184"/>
      <c r="E1698" s="184"/>
      <c r="F1698" s="184"/>
      <c r="G1698" s="184"/>
      <c r="H1698" s="184"/>
      <c r="I1698" s="184"/>
      <c r="J1698" s="184"/>
      <c r="K1698" s="184"/>
      <c r="L1698" s="184"/>
      <c r="M1698" s="184"/>
      <c r="N1698" s="184"/>
      <c r="O1698" s="184"/>
      <c r="P1698" s="184"/>
      <c r="Q1698" s="184"/>
      <c r="R1698" s="184"/>
      <c r="S1698" s="186"/>
      <c r="T1698" s="184">
        <v>0.0</v>
      </c>
    </row>
    <row r="1699">
      <c r="A1699" s="184"/>
      <c r="B1699" s="184"/>
      <c r="C1699" s="184"/>
      <c r="D1699" s="184"/>
      <c r="E1699" s="184"/>
      <c r="F1699" s="184"/>
      <c r="G1699" s="184"/>
      <c r="H1699" s="184"/>
      <c r="I1699" s="184"/>
      <c r="J1699" s="184"/>
      <c r="K1699" s="184"/>
      <c r="L1699" s="184"/>
      <c r="M1699" s="184"/>
      <c r="N1699" s="184"/>
      <c r="O1699" s="184"/>
      <c r="P1699" s="184"/>
      <c r="Q1699" s="184"/>
      <c r="R1699" s="184"/>
      <c r="S1699" s="186"/>
      <c r="T1699" s="184">
        <v>0.0</v>
      </c>
    </row>
    <row r="1700">
      <c r="A1700" s="184"/>
      <c r="B1700" s="184"/>
      <c r="C1700" s="184"/>
      <c r="D1700" s="184"/>
      <c r="E1700" s="184"/>
      <c r="F1700" s="184"/>
      <c r="G1700" s="184"/>
      <c r="H1700" s="184"/>
      <c r="I1700" s="184"/>
      <c r="J1700" s="184"/>
      <c r="K1700" s="184"/>
      <c r="L1700" s="184"/>
      <c r="M1700" s="184"/>
      <c r="N1700" s="184"/>
      <c r="O1700" s="184"/>
      <c r="P1700" s="184"/>
      <c r="Q1700" s="184"/>
      <c r="R1700" s="184"/>
      <c r="S1700" s="186"/>
      <c r="T1700" s="184">
        <v>0.0</v>
      </c>
    </row>
    <row r="1701">
      <c r="A1701" s="184"/>
      <c r="B1701" s="184"/>
      <c r="C1701" s="184"/>
      <c r="D1701" s="184"/>
      <c r="E1701" s="184"/>
      <c r="F1701" s="184"/>
      <c r="G1701" s="184"/>
      <c r="H1701" s="184"/>
      <c r="I1701" s="184"/>
      <c r="J1701" s="184"/>
      <c r="K1701" s="184"/>
      <c r="L1701" s="184"/>
      <c r="M1701" s="184"/>
      <c r="N1701" s="184"/>
      <c r="O1701" s="184"/>
      <c r="P1701" s="184"/>
      <c r="Q1701" s="184"/>
      <c r="R1701" s="184"/>
      <c r="S1701" s="186"/>
      <c r="T1701" s="184">
        <v>0.0</v>
      </c>
    </row>
    <row r="1702">
      <c r="A1702" s="184"/>
      <c r="B1702" s="184"/>
      <c r="C1702" s="184"/>
      <c r="D1702" s="184"/>
      <c r="E1702" s="184"/>
      <c r="F1702" s="184"/>
      <c r="G1702" s="184"/>
      <c r="H1702" s="184"/>
      <c r="I1702" s="184"/>
      <c r="J1702" s="184"/>
      <c r="K1702" s="184"/>
      <c r="L1702" s="184"/>
      <c r="M1702" s="184"/>
      <c r="N1702" s="184"/>
      <c r="O1702" s="184"/>
      <c r="P1702" s="184"/>
      <c r="Q1702" s="184"/>
      <c r="R1702" s="184"/>
      <c r="S1702" s="186"/>
      <c r="T1702" s="184">
        <v>0.0</v>
      </c>
    </row>
    <row r="1703">
      <c r="A1703" s="184"/>
      <c r="B1703" s="184"/>
      <c r="C1703" s="184"/>
      <c r="D1703" s="184"/>
      <c r="E1703" s="184"/>
      <c r="F1703" s="184"/>
      <c r="G1703" s="184"/>
      <c r="H1703" s="184"/>
      <c r="I1703" s="184"/>
      <c r="J1703" s="184"/>
      <c r="K1703" s="184"/>
      <c r="L1703" s="184"/>
      <c r="M1703" s="184"/>
      <c r="N1703" s="184"/>
      <c r="O1703" s="184"/>
      <c r="P1703" s="184"/>
      <c r="Q1703" s="184"/>
      <c r="R1703" s="184"/>
      <c r="S1703" s="186"/>
      <c r="T1703" s="184">
        <v>0.0</v>
      </c>
    </row>
    <row r="1704">
      <c r="A1704" s="184"/>
      <c r="B1704" s="184"/>
      <c r="C1704" s="184"/>
      <c r="D1704" s="184"/>
      <c r="E1704" s="184"/>
      <c r="F1704" s="184"/>
      <c r="G1704" s="184"/>
      <c r="H1704" s="184"/>
      <c r="I1704" s="184"/>
      <c r="J1704" s="184"/>
      <c r="K1704" s="184"/>
      <c r="L1704" s="184"/>
      <c r="M1704" s="184"/>
      <c r="N1704" s="184"/>
      <c r="O1704" s="184"/>
      <c r="P1704" s="184"/>
      <c r="Q1704" s="184"/>
      <c r="R1704" s="184"/>
      <c r="S1704" s="186"/>
      <c r="T1704" s="184">
        <v>0.0</v>
      </c>
    </row>
    <row r="1705">
      <c r="A1705" s="184"/>
      <c r="B1705" s="184"/>
      <c r="C1705" s="184"/>
      <c r="D1705" s="184"/>
      <c r="E1705" s="184"/>
      <c r="F1705" s="184"/>
      <c r="G1705" s="184"/>
      <c r="H1705" s="184"/>
      <c r="I1705" s="184"/>
      <c r="J1705" s="184"/>
      <c r="K1705" s="184"/>
      <c r="L1705" s="184"/>
      <c r="M1705" s="184"/>
      <c r="N1705" s="184"/>
      <c r="O1705" s="184"/>
      <c r="P1705" s="184"/>
      <c r="Q1705" s="184"/>
      <c r="R1705" s="184"/>
      <c r="S1705" s="186"/>
      <c r="T1705" s="184">
        <v>0.0</v>
      </c>
    </row>
    <row r="1706">
      <c r="A1706" s="184"/>
      <c r="B1706" s="184"/>
      <c r="C1706" s="184"/>
      <c r="D1706" s="184"/>
      <c r="E1706" s="184"/>
      <c r="F1706" s="184"/>
      <c r="G1706" s="184"/>
      <c r="H1706" s="184"/>
      <c r="I1706" s="184"/>
      <c r="J1706" s="184"/>
      <c r="K1706" s="184"/>
      <c r="L1706" s="184"/>
      <c r="M1706" s="184"/>
      <c r="N1706" s="184"/>
      <c r="O1706" s="184"/>
      <c r="P1706" s="184"/>
      <c r="Q1706" s="184"/>
      <c r="R1706" s="184"/>
      <c r="S1706" s="186"/>
      <c r="T1706" s="184">
        <v>0.0</v>
      </c>
    </row>
    <row r="1707">
      <c r="A1707" s="184"/>
      <c r="B1707" s="184"/>
      <c r="C1707" s="184"/>
      <c r="D1707" s="184"/>
      <c r="E1707" s="184"/>
      <c r="F1707" s="184"/>
      <c r="G1707" s="184"/>
      <c r="H1707" s="184"/>
      <c r="I1707" s="184"/>
      <c r="J1707" s="184"/>
      <c r="K1707" s="184"/>
      <c r="L1707" s="184"/>
      <c r="M1707" s="184"/>
      <c r="N1707" s="184"/>
      <c r="O1707" s="184"/>
      <c r="P1707" s="184"/>
      <c r="Q1707" s="184"/>
      <c r="R1707" s="184"/>
      <c r="S1707" s="186"/>
      <c r="T1707" s="184">
        <v>0.0</v>
      </c>
    </row>
    <row r="1708">
      <c r="A1708" s="184"/>
      <c r="B1708" s="184"/>
      <c r="C1708" s="184"/>
      <c r="D1708" s="184"/>
      <c r="E1708" s="184"/>
      <c r="F1708" s="184"/>
      <c r="G1708" s="184"/>
      <c r="H1708" s="184"/>
      <c r="I1708" s="184"/>
      <c r="J1708" s="184"/>
      <c r="K1708" s="184"/>
      <c r="L1708" s="184"/>
      <c r="M1708" s="184"/>
      <c r="N1708" s="184"/>
      <c r="O1708" s="184"/>
      <c r="P1708" s="184"/>
      <c r="Q1708" s="184"/>
      <c r="R1708" s="184"/>
      <c r="S1708" s="186"/>
      <c r="T1708" s="184">
        <v>0.0</v>
      </c>
    </row>
    <row r="1709">
      <c r="A1709" s="184"/>
      <c r="B1709" s="184"/>
      <c r="C1709" s="184"/>
      <c r="D1709" s="184"/>
      <c r="E1709" s="184"/>
      <c r="F1709" s="184"/>
      <c r="G1709" s="184"/>
      <c r="H1709" s="184"/>
      <c r="I1709" s="184"/>
      <c r="J1709" s="184"/>
      <c r="K1709" s="184"/>
      <c r="L1709" s="184"/>
      <c r="M1709" s="184"/>
      <c r="N1709" s="184"/>
      <c r="O1709" s="184"/>
      <c r="P1709" s="184"/>
      <c r="Q1709" s="184"/>
      <c r="R1709" s="184"/>
      <c r="S1709" s="186"/>
      <c r="T1709" s="184">
        <v>0.0</v>
      </c>
    </row>
    <row r="1710">
      <c r="A1710" s="184"/>
      <c r="B1710" s="184"/>
      <c r="C1710" s="184"/>
      <c r="D1710" s="184"/>
      <c r="E1710" s="184"/>
      <c r="F1710" s="184"/>
      <c r="G1710" s="184"/>
      <c r="H1710" s="184"/>
      <c r="I1710" s="184"/>
      <c r="J1710" s="184"/>
      <c r="K1710" s="184"/>
      <c r="L1710" s="184"/>
      <c r="M1710" s="184"/>
      <c r="N1710" s="184"/>
      <c r="O1710" s="184"/>
      <c r="P1710" s="184"/>
      <c r="Q1710" s="184"/>
      <c r="R1710" s="184"/>
      <c r="S1710" s="186"/>
      <c r="T1710" s="184">
        <v>0.0</v>
      </c>
    </row>
    <row r="1711">
      <c r="A1711" s="184"/>
      <c r="B1711" s="184"/>
      <c r="C1711" s="184"/>
      <c r="D1711" s="184"/>
      <c r="E1711" s="184"/>
      <c r="F1711" s="184"/>
      <c r="G1711" s="184"/>
      <c r="H1711" s="184"/>
      <c r="I1711" s="184"/>
      <c r="J1711" s="184"/>
      <c r="K1711" s="184"/>
      <c r="L1711" s="184"/>
      <c r="M1711" s="184"/>
      <c r="N1711" s="184"/>
      <c r="O1711" s="184"/>
      <c r="P1711" s="184"/>
      <c r="Q1711" s="184"/>
      <c r="R1711" s="184"/>
      <c r="S1711" s="186"/>
      <c r="T1711" s="184">
        <v>0.0</v>
      </c>
    </row>
    <row r="1712">
      <c r="A1712" s="184"/>
      <c r="B1712" s="184"/>
      <c r="C1712" s="184"/>
      <c r="D1712" s="184"/>
      <c r="E1712" s="184"/>
      <c r="F1712" s="184"/>
      <c r="G1712" s="184"/>
      <c r="H1712" s="184"/>
      <c r="I1712" s="184"/>
      <c r="J1712" s="184"/>
      <c r="K1712" s="184"/>
      <c r="L1712" s="184"/>
      <c r="M1712" s="184"/>
      <c r="N1712" s="184"/>
      <c r="O1712" s="184"/>
      <c r="P1712" s="184"/>
      <c r="Q1712" s="184"/>
      <c r="R1712" s="184"/>
      <c r="S1712" s="186"/>
      <c r="T1712" s="184">
        <v>0.0</v>
      </c>
    </row>
    <row r="1713">
      <c r="A1713" s="184"/>
      <c r="B1713" s="184"/>
      <c r="C1713" s="184"/>
      <c r="D1713" s="184"/>
      <c r="E1713" s="184"/>
      <c r="F1713" s="184"/>
      <c r="G1713" s="184"/>
      <c r="H1713" s="184"/>
      <c r="I1713" s="184"/>
      <c r="J1713" s="184"/>
      <c r="K1713" s="184"/>
      <c r="L1713" s="184"/>
      <c r="M1713" s="184"/>
      <c r="N1713" s="184"/>
      <c r="O1713" s="184"/>
      <c r="P1713" s="184"/>
      <c r="Q1713" s="184"/>
      <c r="R1713" s="184"/>
      <c r="S1713" s="186"/>
      <c r="T1713" s="184">
        <v>0.0</v>
      </c>
    </row>
    <row r="1714">
      <c r="A1714" s="184"/>
      <c r="B1714" s="184"/>
      <c r="C1714" s="184"/>
      <c r="D1714" s="184"/>
      <c r="E1714" s="184"/>
      <c r="F1714" s="184"/>
      <c r="G1714" s="184"/>
      <c r="H1714" s="184"/>
      <c r="I1714" s="184"/>
      <c r="J1714" s="184"/>
      <c r="K1714" s="184"/>
      <c r="L1714" s="184"/>
      <c r="M1714" s="184"/>
      <c r="N1714" s="184"/>
      <c r="O1714" s="184"/>
      <c r="P1714" s="184"/>
      <c r="Q1714" s="184"/>
      <c r="R1714" s="184"/>
      <c r="S1714" s="186"/>
      <c r="T1714" s="184">
        <v>0.0</v>
      </c>
    </row>
    <row r="1715">
      <c r="A1715" s="184"/>
      <c r="B1715" s="184"/>
      <c r="C1715" s="184"/>
      <c r="D1715" s="184"/>
      <c r="E1715" s="184"/>
      <c r="F1715" s="184"/>
      <c r="G1715" s="184"/>
      <c r="H1715" s="184"/>
      <c r="I1715" s="184"/>
      <c r="J1715" s="184"/>
      <c r="K1715" s="184"/>
      <c r="L1715" s="184"/>
      <c r="M1715" s="184"/>
      <c r="N1715" s="184"/>
      <c r="O1715" s="184"/>
      <c r="P1715" s="184"/>
      <c r="Q1715" s="184"/>
      <c r="R1715" s="184"/>
      <c r="S1715" s="186"/>
      <c r="T1715" s="184">
        <v>0.0</v>
      </c>
    </row>
    <row r="1716">
      <c r="A1716" s="184"/>
      <c r="B1716" s="184"/>
      <c r="C1716" s="184"/>
      <c r="D1716" s="184"/>
      <c r="E1716" s="184"/>
      <c r="F1716" s="184"/>
      <c r="G1716" s="184"/>
      <c r="H1716" s="184"/>
      <c r="I1716" s="184"/>
      <c r="J1716" s="184"/>
      <c r="K1716" s="184"/>
      <c r="L1716" s="184"/>
      <c r="M1716" s="184"/>
      <c r="N1716" s="184"/>
      <c r="O1716" s="184"/>
      <c r="P1716" s="184"/>
      <c r="Q1716" s="184"/>
      <c r="R1716" s="184"/>
      <c r="S1716" s="186"/>
      <c r="T1716" s="184">
        <v>0.0</v>
      </c>
    </row>
    <row r="1717">
      <c r="A1717" s="184"/>
      <c r="B1717" s="184"/>
      <c r="C1717" s="184"/>
      <c r="D1717" s="184"/>
      <c r="E1717" s="184"/>
      <c r="F1717" s="184"/>
      <c r="G1717" s="184"/>
      <c r="H1717" s="184"/>
      <c r="I1717" s="184"/>
      <c r="J1717" s="184"/>
      <c r="K1717" s="184"/>
      <c r="L1717" s="184"/>
      <c r="M1717" s="184"/>
      <c r="N1717" s="184"/>
      <c r="O1717" s="184"/>
      <c r="P1717" s="184"/>
      <c r="Q1717" s="184"/>
      <c r="R1717" s="184"/>
      <c r="S1717" s="186"/>
      <c r="T1717" s="184">
        <v>0.0</v>
      </c>
    </row>
    <row r="1718">
      <c r="A1718" s="184"/>
      <c r="B1718" s="184"/>
      <c r="C1718" s="184"/>
      <c r="D1718" s="184"/>
      <c r="E1718" s="184"/>
      <c r="F1718" s="184"/>
      <c r="G1718" s="184"/>
      <c r="H1718" s="184"/>
      <c r="I1718" s="184"/>
      <c r="J1718" s="184"/>
      <c r="K1718" s="184"/>
      <c r="L1718" s="184"/>
      <c r="M1718" s="184"/>
      <c r="N1718" s="184"/>
      <c r="O1718" s="184"/>
      <c r="P1718" s="184"/>
      <c r="Q1718" s="184"/>
      <c r="R1718" s="184"/>
      <c r="S1718" s="186"/>
      <c r="T1718" s="184">
        <v>0.0</v>
      </c>
    </row>
    <row r="1719">
      <c r="A1719" s="184"/>
      <c r="B1719" s="184"/>
      <c r="C1719" s="184"/>
      <c r="D1719" s="184"/>
      <c r="E1719" s="184"/>
      <c r="F1719" s="184"/>
      <c r="G1719" s="184"/>
      <c r="H1719" s="184"/>
      <c r="I1719" s="184"/>
      <c r="J1719" s="184"/>
      <c r="K1719" s="184"/>
      <c r="L1719" s="184"/>
      <c r="M1719" s="184"/>
      <c r="N1719" s="184"/>
      <c r="O1719" s="184"/>
      <c r="P1719" s="184"/>
      <c r="Q1719" s="184"/>
      <c r="R1719" s="184"/>
      <c r="S1719" s="186"/>
      <c r="T1719" s="184">
        <v>0.0</v>
      </c>
    </row>
    <row r="1720">
      <c r="A1720" s="184"/>
      <c r="B1720" s="184"/>
      <c r="C1720" s="184"/>
      <c r="D1720" s="184"/>
      <c r="E1720" s="184"/>
      <c r="F1720" s="184"/>
      <c r="G1720" s="184"/>
      <c r="H1720" s="184"/>
      <c r="I1720" s="184"/>
      <c r="J1720" s="184"/>
      <c r="K1720" s="184"/>
      <c r="L1720" s="184"/>
      <c r="M1720" s="184"/>
      <c r="N1720" s="184"/>
      <c r="O1720" s="184"/>
      <c r="P1720" s="184"/>
      <c r="Q1720" s="184"/>
      <c r="R1720" s="184"/>
      <c r="S1720" s="186"/>
      <c r="T1720" s="184">
        <v>0.0</v>
      </c>
    </row>
    <row r="1721">
      <c r="A1721" s="184"/>
      <c r="B1721" s="184"/>
      <c r="C1721" s="184"/>
      <c r="D1721" s="184"/>
      <c r="E1721" s="184"/>
      <c r="F1721" s="184"/>
      <c r="G1721" s="184"/>
      <c r="H1721" s="184"/>
      <c r="I1721" s="184"/>
      <c r="J1721" s="184"/>
      <c r="K1721" s="184"/>
      <c r="L1721" s="184"/>
      <c r="M1721" s="184"/>
      <c r="N1721" s="184"/>
      <c r="O1721" s="184"/>
      <c r="P1721" s="184"/>
      <c r="Q1721" s="184"/>
      <c r="R1721" s="184"/>
      <c r="S1721" s="186"/>
      <c r="T1721" s="184">
        <v>0.0</v>
      </c>
    </row>
    <row r="1722">
      <c r="A1722" s="184"/>
      <c r="B1722" s="184"/>
      <c r="C1722" s="184"/>
      <c r="D1722" s="184"/>
      <c r="E1722" s="184"/>
      <c r="F1722" s="184"/>
      <c r="G1722" s="184"/>
      <c r="H1722" s="184"/>
      <c r="I1722" s="184"/>
      <c r="J1722" s="184"/>
      <c r="K1722" s="184"/>
      <c r="L1722" s="184"/>
      <c r="M1722" s="184"/>
      <c r="N1722" s="184"/>
      <c r="O1722" s="184"/>
      <c r="P1722" s="184"/>
      <c r="Q1722" s="184"/>
      <c r="R1722" s="184"/>
      <c r="S1722" s="186"/>
      <c r="T1722" s="184">
        <v>0.0</v>
      </c>
    </row>
    <row r="1723">
      <c r="A1723" s="184"/>
      <c r="B1723" s="184"/>
      <c r="C1723" s="184"/>
      <c r="D1723" s="184"/>
      <c r="E1723" s="184"/>
      <c r="F1723" s="184"/>
      <c r="G1723" s="184"/>
      <c r="H1723" s="184"/>
      <c r="I1723" s="184"/>
      <c r="J1723" s="184"/>
      <c r="K1723" s="184"/>
      <c r="L1723" s="184"/>
      <c r="M1723" s="184"/>
      <c r="N1723" s="184"/>
      <c r="O1723" s="184"/>
      <c r="P1723" s="184"/>
      <c r="Q1723" s="184"/>
      <c r="R1723" s="184"/>
      <c r="S1723" s="186"/>
      <c r="T1723" s="184">
        <v>0.0</v>
      </c>
    </row>
    <row r="1724">
      <c r="A1724" s="184"/>
      <c r="B1724" s="184"/>
      <c r="C1724" s="184"/>
      <c r="D1724" s="184"/>
      <c r="E1724" s="184"/>
      <c r="F1724" s="184"/>
      <c r="G1724" s="184"/>
      <c r="H1724" s="184"/>
      <c r="I1724" s="184"/>
      <c r="J1724" s="184"/>
      <c r="K1724" s="184"/>
      <c r="L1724" s="184"/>
      <c r="M1724" s="184"/>
      <c r="N1724" s="184"/>
      <c r="O1724" s="184"/>
      <c r="P1724" s="184"/>
      <c r="Q1724" s="184"/>
      <c r="R1724" s="184"/>
      <c r="S1724" s="186"/>
      <c r="T1724" s="184">
        <v>0.0</v>
      </c>
    </row>
    <row r="1725">
      <c r="A1725" s="184"/>
      <c r="B1725" s="184"/>
      <c r="C1725" s="184"/>
      <c r="D1725" s="184"/>
      <c r="E1725" s="184"/>
      <c r="F1725" s="184"/>
      <c r="G1725" s="184"/>
      <c r="H1725" s="184"/>
      <c r="I1725" s="184"/>
      <c r="J1725" s="184"/>
      <c r="K1725" s="184"/>
      <c r="L1725" s="184"/>
      <c r="M1725" s="184"/>
      <c r="N1725" s="184"/>
      <c r="O1725" s="184"/>
      <c r="P1725" s="184"/>
      <c r="Q1725" s="184"/>
      <c r="R1725" s="184"/>
      <c r="S1725" s="186"/>
      <c r="T1725" s="184">
        <v>0.0</v>
      </c>
    </row>
    <row r="1726">
      <c r="A1726" s="184"/>
      <c r="B1726" s="184"/>
      <c r="C1726" s="184"/>
      <c r="D1726" s="184"/>
      <c r="E1726" s="184"/>
      <c r="F1726" s="184"/>
      <c r="G1726" s="184"/>
      <c r="H1726" s="184"/>
      <c r="I1726" s="184"/>
      <c r="J1726" s="184"/>
      <c r="K1726" s="184"/>
      <c r="L1726" s="184"/>
      <c r="M1726" s="184"/>
      <c r="N1726" s="184"/>
      <c r="O1726" s="184"/>
      <c r="P1726" s="184"/>
      <c r="Q1726" s="184"/>
      <c r="R1726" s="184"/>
      <c r="S1726" s="186"/>
      <c r="T1726" s="184">
        <v>0.0</v>
      </c>
    </row>
    <row r="1727">
      <c r="A1727" s="184"/>
      <c r="B1727" s="184"/>
      <c r="C1727" s="184"/>
      <c r="D1727" s="184"/>
      <c r="E1727" s="184"/>
      <c r="F1727" s="184"/>
      <c r="G1727" s="184"/>
      <c r="H1727" s="184"/>
      <c r="I1727" s="184"/>
      <c r="J1727" s="184"/>
      <c r="K1727" s="184"/>
      <c r="L1727" s="184"/>
      <c r="M1727" s="184"/>
      <c r="N1727" s="184"/>
      <c r="O1727" s="184"/>
      <c r="P1727" s="184"/>
      <c r="Q1727" s="184"/>
      <c r="R1727" s="184"/>
      <c r="S1727" s="186"/>
      <c r="T1727" s="184">
        <v>0.0</v>
      </c>
    </row>
    <row r="1728">
      <c r="A1728" s="184"/>
      <c r="B1728" s="184"/>
      <c r="C1728" s="184"/>
      <c r="D1728" s="184"/>
      <c r="E1728" s="184"/>
      <c r="F1728" s="184"/>
      <c r="G1728" s="184"/>
      <c r="H1728" s="184"/>
      <c r="I1728" s="184"/>
      <c r="J1728" s="184"/>
      <c r="K1728" s="184"/>
      <c r="L1728" s="184"/>
      <c r="M1728" s="184"/>
      <c r="N1728" s="184"/>
      <c r="O1728" s="184"/>
      <c r="P1728" s="184"/>
      <c r="Q1728" s="184"/>
      <c r="R1728" s="184"/>
      <c r="S1728" s="186"/>
      <c r="T1728" s="184">
        <v>0.0</v>
      </c>
    </row>
    <row r="1729">
      <c r="A1729" s="184"/>
      <c r="B1729" s="184"/>
      <c r="C1729" s="184"/>
      <c r="D1729" s="184"/>
      <c r="E1729" s="184"/>
      <c r="F1729" s="184"/>
      <c r="G1729" s="184"/>
      <c r="H1729" s="184"/>
      <c r="I1729" s="184"/>
      <c r="J1729" s="184"/>
      <c r="K1729" s="184"/>
      <c r="L1729" s="184"/>
      <c r="M1729" s="184"/>
      <c r="N1729" s="184"/>
      <c r="O1729" s="184"/>
      <c r="P1729" s="184"/>
      <c r="Q1729" s="184"/>
      <c r="R1729" s="184"/>
      <c r="S1729" s="186"/>
      <c r="T1729" s="184">
        <v>0.0</v>
      </c>
    </row>
    <row r="1730">
      <c r="A1730" s="184"/>
      <c r="B1730" s="184"/>
      <c r="C1730" s="184"/>
      <c r="D1730" s="184"/>
      <c r="E1730" s="184"/>
      <c r="F1730" s="184"/>
      <c r="G1730" s="184"/>
      <c r="H1730" s="184"/>
      <c r="I1730" s="184"/>
      <c r="J1730" s="184"/>
      <c r="K1730" s="184"/>
      <c r="L1730" s="184"/>
      <c r="M1730" s="184"/>
      <c r="N1730" s="184"/>
      <c r="O1730" s="184"/>
      <c r="P1730" s="184"/>
      <c r="Q1730" s="184"/>
      <c r="R1730" s="184"/>
      <c r="S1730" s="186"/>
      <c r="T1730" s="184">
        <v>0.0</v>
      </c>
    </row>
    <row r="1731">
      <c r="A1731" s="184"/>
      <c r="B1731" s="184"/>
      <c r="C1731" s="184"/>
      <c r="D1731" s="184"/>
      <c r="E1731" s="184"/>
      <c r="F1731" s="184"/>
      <c r="G1731" s="184"/>
      <c r="H1731" s="184"/>
      <c r="I1731" s="184"/>
      <c r="J1731" s="184"/>
      <c r="K1731" s="184"/>
      <c r="L1731" s="184"/>
      <c r="M1731" s="184"/>
      <c r="N1731" s="184"/>
      <c r="O1731" s="184"/>
      <c r="P1731" s="184"/>
      <c r="Q1731" s="184"/>
      <c r="R1731" s="184"/>
      <c r="S1731" s="186"/>
      <c r="T1731" s="184">
        <v>0.0</v>
      </c>
    </row>
    <row r="1732">
      <c r="A1732" s="184"/>
      <c r="B1732" s="184"/>
      <c r="C1732" s="184"/>
      <c r="D1732" s="184"/>
      <c r="E1732" s="184"/>
      <c r="F1732" s="184"/>
      <c r="G1732" s="184"/>
      <c r="H1732" s="184"/>
      <c r="I1732" s="184"/>
      <c r="J1732" s="184"/>
      <c r="K1732" s="184"/>
      <c r="L1732" s="184"/>
      <c r="M1732" s="184"/>
      <c r="N1732" s="184"/>
      <c r="O1732" s="184"/>
      <c r="P1732" s="184"/>
      <c r="Q1732" s="184"/>
      <c r="R1732" s="184"/>
      <c r="S1732" s="186"/>
      <c r="T1732" s="184">
        <v>0.0</v>
      </c>
    </row>
    <row r="1733">
      <c r="A1733" s="184"/>
      <c r="B1733" s="184"/>
      <c r="C1733" s="184"/>
      <c r="D1733" s="184"/>
      <c r="E1733" s="184"/>
      <c r="F1733" s="184"/>
      <c r="G1733" s="184"/>
      <c r="H1733" s="184"/>
      <c r="I1733" s="184"/>
      <c r="J1733" s="184"/>
      <c r="K1733" s="184"/>
      <c r="L1733" s="184"/>
      <c r="M1733" s="184"/>
      <c r="N1733" s="184"/>
      <c r="O1733" s="184"/>
      <c r="P1733" s="184"/>
      <c r="Q1733" s="184"/>
      <c r="R1733" s="184"/>
      <c r="S1733" s="186"/>
      <c r="T1733" s="184">
        <v>0.0</v>
      </c>
    </row>
    <row r="1734">
      <c r="A1734" s="184"/>
      <c r="B1734" s="184"/>
      <c r="C1734" s="184"/>
      <c r="D1734" s="184"/>
      <c r="E1734" s="184"/>
      <c r="F1734" s="184"/>
      <c r="G1734" s="184"/>
      <c r="H1734" s="184"/>
      <c r="I1734" s="184"/>
      <c r="J1734" s="184"/>
      <c r="K1734" s="184"/>
      <c r="L1734" s="184"/>
      <c r="M1734" s="184"/>
      <c r="N1734" s="184"/>
      <c r="O1734" s="184"/>
      <c r="P1734" s="184"/>
      <c r="Q1734" s="184"/>
      <c r="R1734" s="184"/>
      <c r="S1734" s="186"/>
      <c r="T1734" s="184">
        <v>0.0</v>
      </c>
    </row>
    <row r="1735">
      <c r="A1735" s="184"/>
      <c r="B1735" s="184"/>
      <c r="C1735" s="184"/>
      <c r="D1735" s="184"/>
      <c r="E1735" s="184"/>
      <c r="F1735" s="184"/>
      <c r="G1735" s="184"/>
      <c r="H1735" s="184"/>
      <c r="I1735" s="184"/>
      <c r="J1735" s="184"/>
      <c r="K1735" s="184"/>
      <c r="L1735" s="184"/>
      <c r="M1735" s="184"/>
      <c r="N1735" s="184"/>
      <c r="O1735" s="184"/>
      <c r="P1735" s="184"/>
      <c r="Q1735" s="184"/>
      <c r="R1735" s="184"/>
      <c r="S1735" s="186"/>
      <c r="T1735" s="184">
        <v>0.0</v>
      </c>
    </row>
    <row r="1736">
      <c r="A1736" s="184"/>
      <c r="B1736" s="184"/>
      <c r="C1736" s="184"/>
      <c r="D1736" s="184"/>
      <c r="E1736" s="184"/>
      <c r="F1736" s="184"/>
      <c r="G1736" s="184"/>
      <c r="H1736" s="184"/>
      <c r="I1736" s="184"/>
      <c r="J1736" s="184"/>
      <c r="K1736" s="184"/>
      <c r="L1736" s="184"/>
      <c r="M1736" s="184"/>
      <c r="N1736" s="184"/>
      <c r="O1736" s="184"/>
      <c r="P1736" s="184"/>
      <c r="Q1736" s="184"/>
      <c r="R1736" s="184"/>
      <c r="S1736" s="186"/>
      <c r="T1736" s="184">
        <v>0.0</v>
      </c>
    </row>
    <row r="1737">
      <c r="A1737" s="184"/>
      <c r="B1737" s="184"/>
      <c r="C1737" s="184"/>
      <c r="D1737" s="184"/>
      <c r="E1737" s="184"/>
      <c r="F1737" s="184"/>
      <c r="G1737" s="184"/>
      <c r="H1737" s="184"/>
      <c r="I1737" s="184"/>
      <c r="J1737" s="184"/>
      <c r="K1737" s="184"/>
      <c r="L1737" s="184"/>
      <c r="M1737" s="184"/>
      <c r="N1737" s="184"/>
      <c r="O1737" s="184"/>
      <c r="P1737" s="184"/>
      <c r="Q1737" s="184"/>
      <c r="R1737" s="184"/>
      <c r="S1737" s="186"/>
      <c r="T1737" s="184">
        <v>0.0</v>
      </c>
    </row>
    <row r="1738">
      <c r="A1738" s="184"/>
      <c r="B1738" s="184"/>
      <c r="C1738" s="184"/>
      <c r="D1738" s="184"/>
      <c r="E1738" s="184"/>
      <c r="F1738" s="184"/>
      <c r="G1738" s="184"/>
      <c r="H1738" s="184"/>
      <c r="I1738" s="184"/>
      <c r="J1738" s="184"/>
      <c r="K1738" s="184"/>
      <c r="L1738" s="184"/>
      <c r="M1738" s="184"/>
      <c r="N1738" s="184"/>
      <c r="O1738" s="184"/>
      <c r="P1738" s="184"/>
      <c r="Q1738" s="184"/>
      <c r="R1738" s="184"/>
      <c r="S1738" s="186"/>
      <c r="T1738" s="184">
        <v>0.0</v>
      </c>
    </row>
    <row r="1739">
      <c r="A1739" s="184"/>
      <c r="B1739" s="184"/>
      <c r="C1739" s="184"/>
      <c r="D1739" s="184"/>
      <c r="E1739" s="184"/>
      <c r="F1739" s="184"/>
      <c r="G1739" s="184"/>
      <c r="H1739" s="184"/>
      <c r="I1739" s="184"/>
      <c r="J1739" s="184"/>
      <c r="K1739" s="184"/>
      <c r="L1739" s="184"/>
      <c r="M1739" s="184"/>
      <c r="N1739" s="184"/>
      <c r="O1739" s="184"/>
      <c r="P1739" s="184"/>
      <c r="Q1739" s="184"/>
      <c r="R1739" s="184"/>
      <c r="S1739" s="186"/>
      <c r="T1739" s="184">
        <v>0.0</v>
      </c>
    </row>
    <row r="1740">
      <c r="A1740" s="184"/>
      <c r="B1740" s="184"/>
      <c r="C1740" s="184"/>
      <c r="D1740" s="184"/>
      <c r="E1740" s="184"/>
      <c r="F1740" s="184"/>
      <c r="G1740" s="184"/>
      <c r="H1740" s="184"/>
      <c r="I1740" s="184"/>
      <c r="J1740" s="184"/>
      <c r="K1740" s="184"/>
      <c r="L1740" s="184"/>
      <c r="M1740" s="184"/>
      <c r="N1740" s="184"/>
      <c r="O1740" s="184"/>
      <c r="P1740" s="184"/>
      <c r="Q1740" s="184"/>
      <c r="R1740" s="184"/>
      <c r="S1740" s="186"/>
      <c r="T1740" s="184">
        <v>0.0</v>
      </c>
    </row>
    <row r="1741">
      <c r="A1741" s="184"/>
      <c r="B1741" s="184"/>
      <c r="C1741" s="184"/>
      <c r="D1741" s="184"/>
      <c r="E1741" s="184"/>
      <c r="F1741" s="184"/>
      <c r="G1741" s="184"/>
      <c r="H1741" s="184"/>
      <c r="I1741" s="184"/>
      <c r="J1741" s="184"/>
      <c r="K1741" s="184"/>
      <c r="L1741" s="184"/>
      <c r="M1741" s="184"/>
      <c r="N1741" s="184"/>
      <c r="O1741" s="184"/>
      <c r="P1741" s="184"/>
      <c r="Q1741" s="184"/>
      <c r="R1741" s="184"/>
      <c r="S1741" s="186"/>
      <c r="T1741" s="184">
        <v>0.0</v>
      </c>
    </row>
    <row r="1742">
      <c r="A1742" s="184"/>
      <c r="B1742" s="184"/>
      <c r="C1742" s="184"/>
      <c r="D1742" s="184"/>
      <c r="E1742" s="184"/>
      <c r="F1742" s="184"/>
      <c r="G1742" s="184"/>
      <c r="H1742" s="184"/>
      <c r="I1742" s="184"/>
      <c r="J1742" s="184"/>
      <c r="K1742" s="184"/>
      <c r="L1742" s="184"/>
      <c r="M1742" s="184"/>
      <c r="N1742" s="184"/>
      <c r="O1742" s="184"/>
      <c r="P1742" s="184"/>
      <c r="Q1742" s="184"/>
      <c r="R1742" s="184"/>
      <c r="S1742" s="186"/>
      <c r="T1742" s="184">
        <v>0.0</v>
      </c>
    </row>
    <row r="1743">
      <c r="A1743" s="184"/>
      <c r="B1743" s="184"/>
      <c r="C1743" s="184"/>
      <c r="D1743" s="184"/>
      <c r="E1743" s="184"/>
      <c r="F1743" s="184"/>
      <c r="G1743" s="184"/>
      <c r="H1743" s="184"/>
      <c r="I1743" s="184"/>
      <c r="J1743" s="184"/>
      <c r="K1743" s="184"/>
      <c r="L1743" s="184"/>
      <c r="M1743" s="184"/>
      <c r="N1743" s="184"/>
      <c r="O1743" s="184"/>
      <c r="P1743" s="184"/>
      <c r="Q1743" s="184"/>
      <c r="R1743" s="184"/>
      <c r="S1743" s="186"/>
      <c r="T1743" s="184">
        <v>0.0</v>
      </c>
    </row>
    <row r="1744">
      <c r="A1744" s="184"/>
      <c r="B1744" s="184"/>
      <c r="C1744" s="184"/>
      <c r="D1744" s="184"/>
      <c r="E1744" s="184"/>
      <c r="F1744" s="184"/>
      <c r="G1744" s="184"/>
      <c r="H1744" s="184"/>
      <c r="I1744" s="184"/>
      <c r="J1744" s="184"/>
      <c r="K1744" s="184"/>
      <c r="L1744" s="184"/>
      <c r="M1744" s="184"/>
      <c r="N1744" s="184"/>
      <c r="O1744" s="184"/>
      <c r="P1744" s="184"/>
      <c r="Q1744" s="184"/>
      <c r="R1744" s="184"/>
      <c r="S1744" s="186"/>
      <c r="T1744" s="184">
        <v>0.0</v>
      </c>
    </row>
    <row r="1745">
      <c r="A1745" s="184"/>
      <c r="B1745" s="184"/>
      <c r="C1745" s="184"/>
      <c r="D1745" s="184"/>
      <c r="E1745" s="184"/>
      <c r="F1745" s="184"/>
      <c r="G1745" s="184"/>
      <c r="H1745" s="184"/>
      <c r="I1745" s="184"/>
      <c r="J1745" s="184"/>
      <c r="K1745" s="184"/>
      <c r="L1745" s="184"/>
      <c r="M1745" s="184"/>
      <c r="N1745" s="184"/>
      <c r="O1745" s="184"/>
      <c r="P1745" s="184"/>
      <c r="Q1745" s="184"/>
      <c r="R1745" s="184"/>
      <c r="S1745" s="186"/>
      <c r="T1745" s="184">
        <v>0.0</v>
      </c>
    </row>
    <row r="1746">
      <c r="A1746" s="184"/>
      <c r="B1746" s="184"/>
      <c r="C1746" s="184"/>
      <c r="D1746" s="184"/>
      <c r="E1746" s="184"/>
      <c r="F1746" s="184"/>
      <c r="G1746" s="184"/>
      <c r="H1746" s="184"/>
      <c r="I1746" s="184"/>
      <c r="J1746" s="184"/>
      <c r="K1746" s="184"/>
      <c r="L1746" s="184"/>
      <c r="M1746" s="184"/>
      <c r="N1746" s="184"/>
      <c r="O1746" s="184"/>
      <c r="P1746" s="184"/>
      <c r="Q1746" s="184"/>
      <c r="R1746" s="184"/>
      <c r="S1746" s="186"/>
      <c r="T1746" s="184">
        <v>0.0</v>
      </c>
    </row>
    <row r="1747">
      <c r="A1747" s="184"/>
      <c r="B1747" s="184"/>
      <c r="C1747" s="184"/>
      <c r="D1747" s="184"/>
      <c r="E1747" s="184"/>
      <c r="F1747" s="184"/>
      <c r="G1747" s="184"/>
      <c r="H1747" s="184"/>
      <c r="I1747" s="184"/>
      <c r="J1747" s="184"/>
      <c r="K1747" s="184"/>
      <c r="L1747" s="184"/>
      <c r="M1747" s="184"/>
      <c r="N1747" s="184"/>
      <c r="O1747" s="184"/>
      <c r="P1747" s="184"/>
      <c r="Q1747" s="184"/>
      <c r="R1747" s="184"/>
      <c r="S1747" s="186"/>
      <c r="T1747" s="184">
        <v>0.0</v>
      </c>
    </row>
    <row r="1748">
      <c r="A1748" s="184"/>
      <c r="B1748" s="184"/>
      <c r="C1748" s="184"/>
      <c r="D1748" s="184"/>
      <c r="E1748" s="184"/>
      <c r="F1748" s="184"/>
      <c r="G1748" s="184"/>
      <c r="H1748" s="184"/>
      <c r="I1748" s="184"/>
      <c r="J1748" s="184"/>
      <c r="K1748" s="184"/>
      <c r="L1748" s="184"/>
      <c r="M1748" s="184"/>
      <c r="N1748" s="184"/>
      <c r="O1748" s="184"/>
      <c r="P1748" s="184"/>
      <c r="Q1748" s="184"/>
      <c r="R1748" s="184"/>
      <c r="S1748" s="186"/>
      <c r="T1748" s="184">
        <v>0.0</v>
      </c>
    </row>
    <row r="1749">
      <c r="A1749" s="184"/>
      <c r="B1749" s="184"/>
      <c r="C1749" s="184"/>
      <c r="D1749" s="184"/>
      <c r="E1749" s="184"/>
      <c r="F1749" s="184"/>
      <c r="G1749" s="184"/>
      <c r="H1749" s="184"/>
      <c r="I1749" s="184"/>
      <c r="J1749" s="184"/>
      <c r="K1749" s="184"/>
      <c r="L1749" s="184"/>
      <c r="M1749" s="184"/>
      <c r="N1749" s="184"/>
      <c r="O1749" s="184"/>
      <c r="P1749" s="184"/>
      <c r="Q1749" s="184"/>
      <c r="R1749" s="184"/>
      <c r="S1749" s="186"/>
      <c r="T1749" s="184">
        <v>0.0</v>
      </c>
    </row>
    <row r="1750">
      <c r="A1750" s="184"/>
      <c r="B1750" s="184"/>
      <c r="C1750" s="184"/>
      <c r="D1750" s="184"/>
      <c r="E1750" s="184"/>
      <c r="F1750" s="184"/>
      <c r="G1750" s="184"/>
      <c r="H1750" s="184"/>
      <c r="I1750" s="184"/>
      <c r="J1750" s="184"/>
      <c r="K1750" s="184"/>
      <c r="L1750" s="184"/>
      <c r="M1750" s="184"/>
      <c r="N1750" s="184"/>
      <c r="O1750" s="184"/>
      <c r="P1750" s="184"/>
      <c r="Q1750" s="184"/>
      <c r="R1750" s="184"/>
      <c r="S1750" s="186"/>
      <c r="T1750" s="184">
        <v>0.0</v>
      </c>
    </row>
    <row r="1751">
      <c r="A1751" s="184"/>
      <c r="B1751" s="184"/>
      <c r="C1751" s="184"/>
      <c r="D1751" s="184"/>
      <c r="E1751" s="184"/>
      <c r="F1751" s="184"/>
      <c r="G1751" s="184"/>
      <c r="H1751" s="184"/>
      <c r="I1751" s="184"/>
      <c r="J1751" s="184"/>
      <c r="K1751" s="184"/>
      <c r="L1751" s="184"/>
      <c r="M1751" s="184"/>
      <c r="N1751" s="184"/>
      <c r="O1751" s="184"/>
      <c r="P1751" s="184"/>
      <c r="Q1751" s="184"/>
      <c r="R1751" s="184"/>
      <c r="S1751" s="186"/>
      <c r="T1751" s="184">
        <v>0.0</v>
      </c>
    </row>
    <row r="1752">
      <c r="A1752" s="184"/>
      <c r="B1752" s="184"/>
      <c r="C1752" s="184"/>
      <c r="D1752" s="184"/>
      <c r="E1752" s="184"/>
      <c r="F1752" s="184"/>
      <c r="G1752" s="184"/>
      <c r="H1752" s="184"/>
      <c r="I1752" s="184"/>
      <c r="J1752" s="184"/>
      <c r="K1752" s="184"/>
      <c r="L1752" s="184"/>
      <c r="M1752" s="184"/>
      <c r="N1752" s="184"/>
      <c r="O1752" s="184"/>
      <c r="P1752" s="184"/>
      <c r="Q1752" s="184"/>
      <c r="R1752" s="184"/>
      <c r="S1752" s="186"/>
      <c r="T1752" s="184">
        <v>0.0</v>
      </c>
    </row>
    <row r="1753">
      <c r="A1753" s="184"/>
      <c r="B1753" s="184"/>
      <c r="C1753" s="184"/>
      <c r="D1753" s="184"/>
      <c r="E1753" s="184"/>
      <c r="F1753" s="184"/>
      <c r="G1753" s="184"/>
      <c r="H1753" s="184"/>
      <c r="I1753" s="184"/>
      <c r="J1753" s="184"/>
      <c r="K1753" s="184"/>
      <c r="L1753" s="184"/>
      <c r="M1753" s="184"/>
      <c r="N1753" s="184"/>
      <c r="O1753" s="184"/>
      <c r="P1753" s="184"/>
      <c r="Q1753" s="184"/>
      <c r="R1753" s="184"/>
      <c r="S1753" s="186"/>
      <c r="T1753" s="184">
        <v>0.0</v>
      </c>
    </row>
    <row r="1754">
      <c r="A1754" s="184"/>
      <c r="B1754" s="184"/>
      <c r="C1754" s="184"/>
      <c r="D1754" s="184"/>
      <c r="E1754" s="184"/>
      <c r="F1754" s="184"/>
      <c r="G1754" s="184"/>
      <c r="H1754" s="184"/>
      <c r="I1754" s="184"/>
      <c r="J1754" s="184"/>
      <c r="K1754" s="184"/>
      <c r="L1754" s="184"/>
      <c r="M1754" s="184"/>
      <c r="N1754" s="184"/>
      <c r="O1754" s="184"/>
      <c r="P1754" s="184"/>
      <c r="Q1754" s="184"/>
      <c r="R1754" s="184"/>
      <c r="S1754" s="186"/>
      <c r="T1754" s="184">
        <v>0.0</v>
      </c>
    </row>
    <row r="1755">
      <c r="A1755" s="184"/>
      <c r="B1755" s="184"/>
      <c r="C1755" s="184"/>
      <c r="D1755" s="184"/>
      <c r="E1755" s="184"/>
      <c r="F1755" s="184"/>
      <c r="G1755" s="184"/>
      <c r="H1755" s="184"/>
      <c r="I1755" s="184"/>
      <c r="J1755" s="184"/>
      <c r="K1755" s="184"/>
      <c r="L1755" s="184"/>
      <c r="M1755" s="184"/>
      <c r="N1755" s="184"/>
      <c r="O1755" s="184"/>
      <c r="P1755" s="184"/>
      <c r="Q1755" s="184"/>
      <c r="R1755" s="184"/>
      <c r="S1755" s="186"/>
      <c r="T1755" s="184">
        <v>0.0</v>
      </c>
    </row>
    <row r="1756">
      <c r="A1756" s="184"/>
      <c r="B1756" s="184"/>
      <c r="C1756" s="184"/>
      <c r="D1756" s="184"/>
      <c r="E1756" s="184"/>
      <c r="F1756" s="184"/>
      <c r="G1756" s="184"/>
      <c r="H1756" s="184"/>
      <c r="I1756" s="184"/>
      <c r="J1756" s="184"/>
      <c r="K1756" s="184"/>
      <c r="L1756" s="184"/>
      <c r="M1756" s="184"/>
      <c r="N1756" s="184"/>
      <c r="O1756" s="184"/>
      <c r="P1756" s="184"/>
      <c r="Q1756" s="184"/>
      <c r="R1756" s="184"/>
      <c r="S1756" s="186"/>
      <c r="T1756" s="184">
        <v>0.0</v>
      </c>
    </row>
    <row r="1757">
      <c r="A1757" s="184"/>
      <c r="B1757" s="184"/>
      <c r="C1757" s="184"/>
      <c r="D1757" s="184"/>
      <c r="E1757" s="184"/>
      <c r="F1757" s="184"/>
      <c r="G1757" s="184"/>
      <c r="H1757" s="184"/>
      <c r="I1757" s="184"/>
      <c r="J1757" s="184"/>
      <c r="K1757" s="184"/>
      <c r="L1757" s="184"/>
      <c r="M1757" s="184"/>
      <c r="N1757" s="184"/>
      <c r="O1757" s="184"/>
      <c r="P1757" s="184"/>
      <c r="Q1757" s="184"/>
      <c r="R1757" s="184"/>
      <c r="S1757" s="186"/>
      <c r="T1757" s="184">
        <v>0.0</v>
      </c>
    </row>
    <row r="1758">
      <c r="A1758" s="184"/>
      <c r="B1758" s="184"/>
      <c r="C1758" s="184"/>
      <c r="D1758" s="184"/>
      <c r="E1758" s="184"/>
      <c r="F1758" s="184"/>
      <c r="G1758" s="184"/>
      <c r="H1758" s="184"/>
      <c r="I1758" s="184"/>
      <c r="J1758" s="184"/>
      <c r="K1758" s="184"/>
      <c r="L1758" s="184"/>
      <c r="M1758" s="184"/>
      <c r="N1758" s="184"/>
      <c r="O1758" s="184"/>
      <c r="P1758" s="184"/>
      <c r="Q1758" s="184"/>
      <c r="R1758" s="184"/>
      <c r="S1758" s="186"/>
      <c r="T1758" s="184">
        <v>0.0</v>
      </c>
    </row>
    <row r="1759">
      <c r="A1759" s="184"/>
      <c r="B1759" s="184"/>
      <c r="C1759" s="184"/>
      <c r="D1759" s="184"/>
      <c r="E1759" s="184"/>
      <c r="F1759" s="184"/>
      <c r="G1759" s="184"/>
      <c r="H1759" s="184"/>
      <c r="I1759" s="184"/>
      <c r="J1759" s="184"/>
      <c r="K1759" s="184"/>
      <c r="L1759" s="184"/>
      <c r="M1759" s="184"/>
      <c r="N1759" s="184"/>
      <c r="O1759" s="184"/>
      <c r="P1759" s="184"/>
      <c r="Q1759" s="184"/>
      <c r="R1759" s="184"/>
      <c r="S1759" s="186"/>
      <c r="T1759" s="184">
        <v>0.0</v>
      </c>
    </row>
    <row r="1760">
      <c r="A1760" s="184"/>
      <c r="B1760" s="184"/>
      <c r="C1760" s="184"/>
      <c r="D1760" s="184"/>
      <c r="E1760" s="184"/>
      <c r="F1760" s="184"/>
      <c r="G1760" s="184"/>
      <c r="H1760" s="184"/>
      <c r="I1760" s="184"/>
      <c r="J1760" s="184"/>
      <c r="K1760" s="184"/>
      <c r="L1760" s="184"/>
      <c r="M1760" s="184"/>
      <c r="N1760" s="184"/>
      <c r="O1760" s="184"/>
      <c r="P1760" s="184"/>
      <c r="Q1760" s="184"/>
      <c r="R1760" s="184"/>
      <c r="S1760" s="186"/>
      <c r="T1760" s="184">
        <v>0.0</v>
      </c>
    </row>
    <row r="1761">
      <c r="A1761" s="184"/>
      <c r="B1761" s="184"/>
      <c r="C1761" s="184"/>
      <c r="D1761" s="184"/>
      <c r="E1761" s="184"/>
      <c r="F1761" s="184"/>
      <c r="G1761" s="184"/>
      <c r="H1761" s="184"/>
      <c r="I1761" s="184"/>
      <c r="J1761" s="184"/>
      <c r="K1761" s="184"/>
      <c r="L1761" s="184"/>
      <c r="M1761" s="184"/>
      <c r="N1761" s="184"/>
      <c r="O1761" s="184"/>
      <c r="P1761" s="184"/>
      <c r="Q1761" s="184"/>
      <c r="R1761" s="184"/>
      <c r="S1761" s="186"/>
      <c r="T1761" s="184">
        <v>0.0</v>
      </c>
    </row>
    <row r="1762">
      <c r="A1762" s="184"/>
      <c r="B1762" s="184"/>
      <c r="C1762" s="184"/>
      <c r="D1762" s="184"/>
      <c r="E1762" s="184"/>
      <c r="F1762" s="184"/>
      <c r="G1762" s="184"/>
      <c r="H1762" s="184"/>
      <c r="I1762" s="184"/>
      <c r="J1762" s="184"/>
      <c r="K1762" s="184"/>
      <c r="L1762" s="184"/>
      <c r="M1762" s="184"/>
      <c r="N1762" s="184"/>
      <c r="O1762" s="184"/>
      <c r="P1762" s="184"/>
      <c r="Q1762" s="184"/>
      <c r="R1762" s="184"/>
      <c r="S1762" s="186"/>
      <c r="T1762" s="184">
        <v>0.0</v>
      </c>
    </row>
    <row r="1763">
      <c r="A1763" s="184"/>
      <c r="B1763" s="184"/>
      <c r="C1763" s="184"/>
      <c r="D1763" s="184"/>
      <c r="E1763" s="184"/>
      <c r="F1763" s="184"/>
      <c r="G1763" s="184"/>
      <c r="H1763" s="184"/>
      <c r="I1763" s="184"/>
      <c r="J1763" s="184"/>
      <c r="K1763" s="184"/>
      <c r="L1763" s="184"/>
      <c r="M1763" s="184"/>
      <c r="N1763" s="184"/>
      <c r="O1763" s="184"/>
      <c r="P1763" s="184"/>
      <c r="Q1763" s="184"/>
      <c r="R1763" s="184"/>
      <c r="S1763" s="186"/>
      <c r="T1763" s="184">
        <v>0.0</v>
      </c>
    </row>
    <row r="1764">
      <c r="A1764" s="184"/>
      <c r="B1764" s="184"/>
      <c r="C1764" s="184"/>
      <c r="D1764" s="184"/>
      <c r="E1764" s="184"/>
      <c r="F1764" s="184"/>
      <c r="G1764" s="184"/>
      <c r="H1764" s="184"/>
      <c r="I1764" s="184"/>
      <c r="J1764" s="184"/>
      <c r="K1764" s="184"/>
      <c r="L1764" s="184"/>
      <c r="M1764" s="184"/>
      <c r="N1764" s="184"/>
      <c r="O1764" s="184"/>
      <c r="P1764" s="184"/>
      <c r="Q1764" s="184"/>
      <c r="R1764" s="184"/>
      <c r="S1764" s="186"/>
      <c r="T1764" s="184">
        <v>0.0</v>
      </c>
    </row>
    <row r="1765">
      <c r="A1765" s="184"/>
      <c r="B1765" s="184"/>
      <c r="C1765" s="184"/>
      <c r="D1765" s="184"/>
      <c r="E1765" s="184"/>
      <c r="F1765" s="184"/>
      <c r="G1765" s="184"/>
      <c r="H1765" s="184"/>
      <c r="I1765" s="184"/>
      <c r="J1765" s="184"/>
      <c r="K1765" s="184"/>
      <c r="L1765" s="184"/>
      <c r="M1765" s="184"/>
      <c r="N1765" s="184"/>
      <c r="O1765" s="184"/>
      <c r="P1765" s="184"/>
      <c r="Q1765" s="184"/>
      <c r="R1765" s="184"/>
      <c r="S1765" s="186"/>
      <c r="T1765" s="184">
        <v>0.0</v>
      </c>
    </row>
    <row r="1766">
      <c r="A1766" s="184"/>
      <c r="B1766" s="184"/>
      <c r="C1766" s="184"/>
      <c r="D1766" s="184"/>
      <c r="E1766" s="184"/>
      <c r="F1766" s="184"/>
      <c r="G1766" s="184"/>
      <c r="H1766" s="184"/>
      <c r="I1766" s="184"/>
      <c r="J1766" s="184"/>
      <c r="K1766" s="184"/>
      <c r="L1766" s="184"/>
      <c r="M1766" s="184"/>
      <c r="N1766" s="184"/>
      <c r="O1766" s="184"/>
      <c r="P1766" s="184"/>
      <c r="Q1766" s="184"/>
      <c r="R1766" s="184"/>
      <c r="S1766" s="186"/>
      <c r="T1766" s="184">
        <v>0.0</v>
      </c>
    </row>
    <row r="1767">
      <c r="A1767" s="184"/>
      <c r="B1767" s="184"/>
      <c r="C1767" s="184"/>
      <c r="D1767" s="184"/>
      <c r="E1767" s="184"/>
      <c r="F1767" s="184"/>
      <c r="G1767" s="184"/>
      <c r="H1767" s="184"/>
      <c r="I1767" s="184"/>
      <c r="J1767" s="184"/>
      <c r="K1767" s="184"/>
      <c r="L1767" s="184"/>
      <c r="M1767" s="184"/>
      <c r="N1767" s="184"/>
      <c r="O1767" s="184"/>
      <c r="P1767" s="184"/>
      <c r="Q1767" s="184"/>
      <c r="R1767" s="184"/>
      <c r="S1767" s="186"/>
      <c r="T1767" s="184">
        <v>0.0</v>
      </c>
    </row>
    <row r="1768">
      <c r="A1768" s="184"/>
      <c r="B1768" s="184"/>
      <c r="C1768" s="184"/>
      <c r="D1768" s="184"/>
      <c r="E1768" s="184"/>
      <c r="F1768" s="184"/>
      <c r="G1768" s="184"/>
      <c r="H1768" s="184"/>
      <c r="I1768" s="184"/>
      <c r="J1768" s="184"/>
      <c r="K1768" s="184"/>
      <c r="L1768" s="184"/>
      <c r="M1768" s="184"/>
      <c r="N1768" s="184"/>
      <c r="O1768" s="184"/>
      <c r="P1768" s="184"/>
      <c r="Q1768" s="184"/>
      <c r="R1768" s="184"/>
      <c r="S1768" s="186"/>
      <c r="T1768" s="184">
        <v>0.0</v>
      </c>
    </row>
    <row r="1769">
      <c r="A1769" s="184"/>
      <c r="B1769" s="184"/>
      <c r="C1769" s="184"/>
      <c r="D1769" s="184"/>
      <c r="E1769" s="184"/>
      <c r="F1769" s="184"/>
      <c r="G1769" s="184"/>
      <c r="H1769" s="184"/>
      <c r="I1769" s="184"/>
      <c r="J1769" s="184"/>
      <c r="K1769" s="184"/>
      <c r="L1769" s="184"/>
      <c r="M1769" s="184"/>
      <c r="N1769" s="184"/>
      <c r="O1769" s="184"/>
      <c r="P1769" s="184"/>
      <c r="Q1769" s="184"/>
      <c r="R1769" s="184"/>
      <c r="S1769" s="186"/>
      <c r="T1769" s="184">
        <v>0.0</v>
      </c>
    </row>
    <row r="1770">
      <c r="A1770" s="184"/>
      <c r="B1770" s="184"/>
      <c r="C1770" s="184"/>
      <c r="D1770" s="184"/>
      <c r="E1770" s="184"/>
      <c r="F1770" s="184"/>
      <c r="G1770" s="184"/>
      <c r="H1770" s="184"/>
      <c r="I1770" s="184"/>
      <c r="J1770" s="184"/>
      <c r="K1770" s="184"/>
      <c r="L1770" s="184"/>
      <c r="M1770" s="184"/>
      <c r="N1770" s="184"/>
      <c r="O1770" s="184"/>
      <c r="P1770" s="184"/>
      <c r="Q1770" s="184"/>
      <c r="R1770" s="184"/>
      <c r="S1770" s="186"/>
      <c r="T1770" s="184">
        <v>0.0</v>
      </c>
    </row>
    <row r="1771">
      <c r="A1771" s="184"/>
      <c r="B1771" s="184"/>
      <c r="C1771" s="184"/>
      <c r="D1771" s="184"/>
      <c r="E1771" s="184"/>
      <c r="F1771" s="184"/>
      <c r="G1771" s="184"/>
      <c r="H1771" s="184"/>
      <c r="I1771" s="184"/>
      <c r="J1771" s="184"/>
      <c r="K1771" s="184"/>
      <c r="L1771" s="184"/>
      <c r="M1771" s="184"/>
      <c r="N1771" s="184"/>
      <c r="O1771" s="184"/>
      <c r="P1771" s="184"/>
      <c r="Q1771" s="184"/>
      <c r="R1771" s="184"/>
      <c r="S1771" s="186"/>
      <c r="T1771" s="184">
        <v>0.0</v>
      </c>
    </row>
    <row r="1772">
      <c r="A1772" s="184"/>
      <c r="B1772" s="184"/>
      <c r="C1772" s="184"/>
      <c r="D1772" s="184"/>
      <c r="E1772" s="184"/>
      <c r="F1772" s="184"/>
      <c r="G1772" s="184"/>
      <c r="H1772" s="184"/>
      <c r="I1772" s="184"/>
      <c r="J1772" s="184"/>
      <c r="K1772" s="184"/>
      <c r="L1772" s="184"/>
      <c r="M1772" s="184"/>
      <c r="N1772" s="184"/>
      <c r="O1772" s="184"/>
      <c r="P1772" s="184"/>
      <c r="Q1772" s="184"/>
      <c r="R1772" s="184"/>
      <c r="S1772" s="186"/>
      <c r="T1772" s="184">
        <v>0.0</v>
      </c>
    </row>
    <row r="1773">
      <c r="A1773" s="184"/>
      <c r="B1773" s="184"/>
      <c r="C1773" s="184"/>
      <c r="D1773" s="184"/>
      <c r="E1773" s="184"/>
      <c r="F1773" s="184"/>
      <c r="G1773" s="184"/>
      <c r="H1773" s="184"/>
      <c r="I1773" s="184"/>
      <c r="J1773" s="184"/>
      <c r="K1773" s="184"/>
      <c r="L1773" s="184"/>
      <c r="M1773" s="184"/>
      <c r="N1773" s="184"/>
      <c r="O1773" s="184"/>
      <c r="P1773" s="184"/>
      <c r="Q1773" s="184"/>
      <c r="R1773" s="184"/>
      <c r="S1773" s="186"/>
      <c r="T1773" s="184">
        <v>0.0</v>
      </c>
    </row>
    <row r="1774">
      <c r="A1774" s="184"/>
      <c r="B1774" s="184"/>
      <c r="C1774" s="184"/>
      <c r="D1774" s="184"/>
      <c r="E1774" s="184"/>
      <c r="F1774" s="184"/>
      <c r="G1774" s="184"/>
      <c r="H1774" s="184"/>
      <c r="I1774" s="184"/>
      <c r="J1774" s="184"/>
      <c r="K1774" s="184"/>
      <c r="L1774" s="184"/>
      <c r="M1774" s="184"/>
      <c r="N1774" s="184"/>
      <c r="O1774" s="184"/>
      <c r="P1774" s="184"/>
      <c r="Q1774" s="184"/>
      <c r="R1774" s="184"/>
      <c r="S1774" s="186"/>
      <c r="T1774" s="184">
        <v>0.0</v>
      </c>
    </row>
    <row r="1775">
      <c r="A1775" s="184"/>
      <c r="B1775" s="184"/>
      <c r="C1775" s="184"/>
      <c r="D1775" s="184"/>
      <c r="E1775" s="184"/>
      <c r="F1775" s="184"/>
      <c r="G1775" s="184"/>
      <c r="H1775" s="184"/>
      <c r="I1775" s="184"/>
      <c r="J1775" s="184"/>
      <c r="K1775" s="184"/>
      <c r="L1775" s="184"/>
      <c r="M1775" s="184"/>
      <c r="N1775" s="184"/>
      <c r="O1775" s="184"/>
      <c r="P1775" s="184"/>
      <c r="Q1775" s="184"/>
      <c r="R1775" s="184"/>
      <c r="S1775" s="186"/>
      <c r="T1775" s="184">
        <v>0.0</v>
      </c>
    </row>
    <row r="1776">
      <c r="A1776" s="184"/>
      <c r="B1776" s="184"/>
      <c r="C1776" s="184"/>
      <c r="D1776" s="184"/>
      <c r="E1776" s="184"/>
      <c r="F1776" s="184"/>
      <c r="G1776" s="184"/>
      <c r="H1776" s="184"/>
      <c r="I1776" s="184"/>
      <c r="J1776" s="184"/>
      <c r="K1776" s="184"/>
      <c r="L1776" s="184"/>
      <c r="M1776" s="184"/>
      <c r="N1776" s="184"/>
      <c r="O1776" s="184"/>
      <c r="P1776" s="184"/>
      <c r="Q1776" s="184"/>
      <c r="R1776" s="184"/>
      <c r="S1776" s="186"/>
      <c r="T1776" s="184">
        <v>0.0</v>
      </c>
    </row>
    <row r="1777">
      <c r="A1777" s="184"/>
      <c r="B1777" s="184"/>
      <c r="C1777" s="184"/>
      <c r="D1777" s="184"/>
      <c r="E1777" s="184"/>
      <c r="F1777" s="184"/>
      <c r="G1777" s="184"/>
      <c r="H1777" s="184"/>
      <c r="I1777" s="184"/>
      <c r="J1777" s="184"/>
      <c r="K1777" s="184"/>
      <c r="L1777" s="184"/>
      <c r="M1777" s="184"/>
      <c r="N1777" s="184"/>
      <c r="O1777" s="184"/>
      <c r="P1777" s="184"/>
      <c r="Q1777" s="184"/>
      <c r="R1777" s="184"/>
      <c r="S1777" s="186"/>
      <c r="T1777" s="184">
        <v>0.0</v>
      </c>
    </row>
    <row r="1778">
      <c r="A1778" s="184"/>
      <c r="B1778" s="184"/>
      <c r="C1778" s="184"/>
      <c r="D1778" s="184"/>
      <c r="E1778" s="184"/>
      <c r="F1778" s="184"/>
      <c r="G1778" s="184"/>
      <c r="H1778" s="184"/>
      <c r="I1778" s="184"/>
      <c r="J1778" s="184"/>
      <c r="K1778" s="184"/>
      <c r="L1778" s="184"/>
      <c r="M1778" s="184"/>
      <c r="N1778" s="184"/>
      <c r="O1778" s="184"/>
      <c r="P1778" s="184"/>
      <c r="Q1778" s="184"/>
      <c r="R1778" s="184"/>
      <c r="S1778" s="186"/>
      <c r="T1778" s="184">
        <v>0.0</v>
      </c>
    </row>
    <row r="1779">
      <c r="A1779" s="184"/>
      <c r="B1779" s="184"/>
      <c r="C1779" s="184"/>
      <c r="D1779" s="184"/>
      <c r="E1779" s="184"/>
      <c r="F1779" s="184"/>
      <c r="G1779" s="184"/>
      <c r="H1779" s="184"/>
      <c r="I1779" s="184"/>
      <c r="J1779" s="184"/>
      <c r="K1779" s="184"/>
      <c r="L1779" s="184"/>
      <c r="M1779" s="184"/>
      <c r="N1779" s="184"/>
      <c r="O1779" s="184"/>
      <c r="P1779" s="184"/>
      <c r="Q1779" s="184"/>
      <c r="R1779" s="184"/>
      <c r="S1779" s="186"/>
      <c r="T1779" s="184">
        <v>0.0</v>
      </c>
    </row>
    <row r="1780">
      <c r="A1780" s="184"/>
      <c r="B1780" s="184"/>
      <c r="C1780" s="184"/>
      <c r="D1780" s="184"/>
      <c r="E1780" s="184"/>
      <c r="F1780" s="184"/>
      <c r="G1780" s="184"/>
      <c r="H1780" s="184"/>
      <c r="I1780" s="184"/>
      <c r="J1780" s="184"/>
      <c r="K1780" s="184"/>
      <c r="L1780" s="184"/>
      <c r="M1780" s="184"/>
      <c r="N1780" s="184"/>
      <c r="O1780" s="184"/>
      <c r="P1780" s="184"/>
      <c r="Q1780" s="184"/>
      <c r="R1780" s="184"/>
      <c r="S1780" s="186"/>
      <c r="T1780" s="184">
        <v>0.0</v>
      </c>
    </row>
    <row r="1781">
      <c r="A1781" s="184"/>
      <c r="B1781" s="184"/>
      <c r="C1781" s="184"/>
      <c r="D1781" s="184"/>
      <c r="E1781" s="184"/>
      <c r="F1781" s="184"/>
      <c r="G1781" s="184"/>
      <c r="H1781" s="184"/>
      <c r="I1781" s="184"/>
      <c r="J1781" s="184"/>
      <c r="K1781" s="184"/>
      <c r="L1781" s="184"/>
      <c r="M1781" s="184"/>
      <c r="N1781" s="184"/>
      <c r="O1781" s="184"/>
      <c r="P1781" s="184"/>
      <c r="Q1781" s="184"/>
      <c r="R1781" s="184"/>
      <c r="S1781" s="186"/>
      <c r="T1781" s="184">
        <v>0.0</v>
      </c>
    </row>
    <row r="1782">
      <c r="A1782" s="184"/>
      <c r="B1782" s="184"/>
      <c r="C1782" s="184"/>
      <c r="D1782" s="184"/>
      <c r="E1782" s="184"/>
      <c r="F1782" s="184"/>
      <c r="G1782" s="184"/>
      <c r="H1782" s="184"/>
      <c r="I1782" s="184"/>
      <c r="J1782" s="184"/>
      <c r="K1782" s="184"/>
      <c r="L1782" s="184"/>
      <c r="M1782" s="184"/>
      <c r="N1782" s="184"/>
      <c r="O1782" s="184"/>
      <c r="P1782" s="184"/>
      <c r="Q1782" s="184"/>
      <c r="R1782" s="184"/>
      <c r="S1782" s="186"/>
      <c r="T1782" s="184">
        <v>0.0</v>
      </c>
    </row>
    <row r="1783">
      <c r="A1783" s="184"/>
      <c r="B1783" s="184"/>
      <c r="C1783" s="184"/>
      <c r="D1783" s="184"/>
      <c r="E1783" s="184"/>
      <c r="F1783" s="184"/>
      <c r="G1783" s="184"/>
      <c r="H1783" s="184"/>
      <c r="I1783" s="184"/>
      <c r="J1783" s="184"/>
      <c r="K1783" s="184"/>
      <c r="L1783" s="184"/>
      <c r="M1783" s="184"/>
      <c r="N1783" s="184"/>
      <c r="O1783" s="184"/>
      <c r="P1783" s="184"/>
      <c r="Q1783" s="184"/>
      <c r="R1783" s="184"/>
      <c r="S1783" s="186"/>
      <c r="T1783" s="184">
        <v>0.0</v>
      </c>
    </row>
    <row r="1784">
      <c r="A1784" s="184"/>
      <c r="B1784" s="184"/>
      <c r="C1784" s="184"/>
      <c r="D1784" s="184"/>
      <c r="E1784" s="184"/>
      <c r="F1784" s="184"/>
      <c r="G1784" s="184"/>
      <c r="H1784" s="184"/>
      <c r="I1784" s="184"/>
      <c r="J1784" s="184"/>
      <c r="K1784" s="184"/>
      <c r="L1784" s="184"/>
      <c r="M1784" s="184"/>
      <c r="N1784" s="184"/>
      <c r="O1784" s="184"/>
      <c r="P1784" s="184"/>
      <c r="Q1784" s="184"/>
      <c r="R1784" s="184"/>
      <c r="S1784" s="186"/>
      <c r="T1784" s="184">
        <v>0.0</v>
      </c>
    </row>
    <row r="1785">
      <c r="A1785" s="184"/>
      <c r="B1785" s="184"/>
      <c r="C1785" s="184"/>
      <c r="D1785" s="184"/>
      <c r="E1785" s="184"/>
      <c r="F1785" s="184"/>
      <c r="G1785" s="184"/>
      <c r="H1785" s="184"/>
      <c r="I1785" s="184"/>
      <c r="J1785" s="184"/>
      <c r="K1785" s="184"/>
      <c r="L1785" s="184"/>
      <c r="M1785" s="184"/>
      <c r="N1785" s="184"/>
      <c r="O1785" s="184"/>
      <c r="P1785" s="184"/>
      <c r="Q1785" s="184"/>
      <c r="R1785" s="184"/>
      <c r="S1785" s="186"/>
      <c r="T1785" s="184">
        <v>0.0</v>
      </c>
    </row>
    <row r="1786">
      <c r="A1786" s="184"/>
      <c r="B1786" s="184"/>
      <c r="C1786" s="184"/>
      <c r="D1786" s="184"/>
      <c r="E1786" s="184"/>
      <c r="F1786" s="184"/>
      <c r="G1786" s="184"/>
      <c r="H1786" s="184"/>
      <c r="I1786" s="184"/>
      <c r="J1786" s="184"/>
      <c r="K1786" s="184"/>
      <c r="L1786" s="184"/>
      <c r="M1786" s="184"/>
      <c r="N1786" s="184"/>
      <c r="O1786" s="184"/>
      <c r="P1786" s="184"/>
      <c r="Q1786" s="184"/>
      <c r="R1786" s="184"/>
      <c r="S1786" s="186"/>
      <c r="T1786" s="184">
        <v>0.0</v>
      </c>
    </row>
    <row r="1787">
      <c r="A1787" s="184"/>
      <c r="B1787" s="184"/>
      <c r="C1787" s="184"/>
      <c r="D1787" s="184"/>
      <c r="E1787" s="184"/>
      <c r="F1787" s="184"/>
      <c r="G1787" s="184"/>
      <c r="H1787" s="184"/>
      <c r="I1787" s="184"/>
      <c r="J1787" s="184"/>
      <c r="K1787" s="184"/>
      <c r="L1787" s="184"/>
      <c r="M1787" s="184"/>
      <c r="N1787" s="184"/>
      <c r="O1787" s="184"/>
      <c r="P1787" s="184"/>
      <c r="Q1787" s="184"/>
      <c r="R1787" s="184"/>
      <c r="S1787" s="186"/>
      <c r="T1787" s="184">
        <v>0.0</v>
      </c>
    </row>
    <row r="1788">
      <c r="A1788" s="184"/>
      <c r="B1788" s="184"/>
      <c r="C1788" s="184"/>
      <c r="D1788" s="184"/>
      <c r="E1788" s="184"/>
      <c r="F1788" s="184"/>
      <c r="G1788" s="184"/>
      <c r="H1788" s="184"/>
      <c r="I1788" s="184"/>
      <c r="J1788" s="184"/>
      <c r="K1788" s="184"/>
      <c r="L1788" s="184"/>
      <c r="M1788" s="184"/>
      <c r="N1788" s="184"/>
      <c r="O1788" s="184"/>
      <c r="P1788" s="184"/>
      <c r="Q1788" s="184"/>
      <c r="R1788" s="184"/>
      <c r="S1788" s="186"/>
      <c r="T1788" s="184">
        <v>0.0</v>
      </c>
    </row>
    <row r="1789">
      <c r="A1789" s="184"/>
      <c r="B1789" s="184"/>
      <c r="C1789" s="184"/>
      <c r="D1789" s="184"/>
      <c r="E1789" s="184"/>
      <c r="F1789" s="184"/>
      <c r="G1789" s="184"/>
      <c r="H1789" s="184"/>
      <c r="I1789" s="184"/>
      <c r="J1789" s="184"/>
      <c r="K1789" s="184"/>
      <c r="L1789" s="184"/>
      <c r="M1789" s="184"/>
      <c r="N1789" s="184"/>
      <c r="O1789" s="184"/>
      <c r="P1789" s="184"/>
      <c r="Q1789" s="184"/>
      <c r="R1789" s="184"/>
      <c r="S1789" s="186"/>
      <c r="T1789" s="184">
        <v>0.0</v>
      </c>
    </row>
    <row r="1790">
      <c r="A1790" s="184"/>
      <c r="B1790" s="184"/>
      <c r="C1790" s="184"/>
      <c r="D1790" s="184"/>
      <c r="E1790" s="184"/>
      <c r="F1790" s="184"/>
      <c r="G1790" s="184"/>
      <c r="H1790" s="184"/>
      <c r="I1790" s="184"/>
      <c r="J1790" s="184"/>
      <c r="K1790" s="184"/>
      <c r="L1790" s="184"/>
      <c r="M1790" s="184"/>
      <c r="N1790" s="184"/>
      <c r="O1790" s="184"/>
      <c r="P1790" s="184"/>
      <c r="Q1790" s="184"/>
      <c r="R1790" s="184"/>
      <c r="S1790" s="186"/>
      <c r="T1790" s="184">
        <v>0.0</v>
      </c>
    </row>
    <row r="1791">
      <c r="A1791" s="184"/>
      <c r="B1791" s="184"/>
      <c r="C1791" s="184"/>
      <c r="D1791" s="184"/>
      <c r="E1791" s="184"/>
      <c r="F1791" s="184"/>
      <c r="G1791" s="184"/>
      <c r="H1791" s="184"/>
      <c r="I1791" s="184"/>
      <c r="J1791" s="184"/>
      <c r="K1791" s="184"/>
      <c r="L1791" s="184"/>
      <c r="M1791" s="184"/>
      <c r="N1791" s="184"/>
      <c r="O1791" s="184"/>
      <c r="P1791" s="184"/>
      <c r="Q1791" s="184"/>
      <c r="R1791" s="184"/>
      <c r="S1791" s="186"/>
      <c r="T1791" s="184">
        <v>0.0</v>
      </c>
    </row>
    <row r="1792">
      <c r="A1792" s="184"/>
      <c r="B1792" s="184"/>
      <c r="C1792" s="184"/>
      <c r="D1792" s="184"/>
      <c r="E1792" s="184"/>
      <c r="F1792" s="184"/>
      <c r="G1792" s="184"/>
      <c r="H1792" s="184"/>
      <c r="I1792" s="184"/>
      <c r="J1792" s="184"/>
      <c r="K1792" s="184"/>
      <c r="L1792" s="184"/>
      <c r="M1792" s="184"/>
      <c r="N1792" s="184"/>
      <c r="O1792" s="184"/>
      <c r="P1792" s="184"/>
      <c r="Q1792" s="184"/>
      <c r="R1792" s="184"/>
      <c r="S1792" s="186"/>
      <c r="T1792" s="184">
        <v>0.0</v>
      </c>
    </row>
    <row r="1793">
      <c r="A1793" s="184"/>
      <c r="B1793" s="184"/>
      <c r="C1793" s="184"/>
      <c r="D1793" s="184"/>
      <c r="E1793" s="184"/>
      <c r="F1793" s="184"/>
      <c r="G1793" s="184"/>
      <c r="H1793" s="184"/>
      <c r="I1793" s="184"/>
      <c r="J1793" s="184"/>
      <c r="K1793" s="184"/>
      <c r="L1793" s="184"/>
      <c r="M1793" s="184"/>
      <c r="N1793" s="184"/>
      <c r="O1793" s="184"/>
      <c r="P1793" s="184"/>
      <c r="Q1793" s="184"/>
      <c r="R1793" s="184"/>
      <c r="S1793" s="186"/>
      <c r="T1793" s="184">
        <v>0.0</v>
      </c>
    </row>
    <row r="1794">
      <c r="A1794" s="184"/>
      <c r="B1794" s="184"/>
      <c r="C1794" s="184"/>
      <c r="D1794" s="184"/>
      <c r="E1794" s="184"/>
      <c r="F1794" s="184"/>
      <c r="G1794" s="184"/>
      <c r="H1794" s="184"/>
      <c r="I1794" s="184"/>
      <c r="J1794" s="184"/>
      <c r="K1794" s="184"/>
      <c r="L1794" s="184"/>
      <c r="M1794" s="184"/>
      <c r="N1794" s="184"/>
      <c r="O1794" s="184"/>
      <c r="P1794" s="184"/>
      <c r="Q1794" s="184"/>
      <c r="R1794" s="184"/>
      <c r="S1794" s="186"/>
      <c r="T1794" s="184">
        <v>0.0</v>
      </c>
    </row>
    <row r="1795">
      <c r="A1795" s="184"/>
      <c r="B1795" s="184"/>
      <c r="C1795" s="184"/>
      <c r="D1795" s="184"/>
      <c r="E1795" s="184"/>
      <c r="F1795" s="184"/>
      <c r="G1795" s="184"/>
      <c r="H1795" s="184"/>
      <c r="I1795" s="184"/>
      <c r="J1795" s="184"/>
      <c r="K1795" s="184"/>
      <c r="L1795" s="184"/>
      <c r="M1795" s="184"/>
      <c r="N1795" s="184"/>
      <c r="O1795" s="184"/>
      <c r="P1795" s="184"/>
      <c r="Q1795" s="184"/>
      <c r="R1795" s="184"/>
      <c r="S1795" s="186"/>
      <c r="T1795" s="184">
        <v>0.0</v>
      </c>
    </row>
    <row r="1796">
      <c r="A1796" s="184"/>
      <c r="B1796" s="184"/>
      <c r="C1796" s="184"/>
      <c r="D1796" s="184"/>
      <c r="E1796" s="184"/>
      <c r="F1796" s="184"/>
      <c r="G1796" s="184"/>
      <c r="H1796" s="184"/>
      <c r="I1796" s="184"/>
      <c r="J1796" s="184"/>
      <c r="K1796" s="184"/>
      <c r="L1796" s="184"/>
      <c r="M1796" s="184"/>
      <c r="N1796" s="184"/>
      <c r="O1796" s="184"/>
      <c r="P1796" s="184"/>
      <c r="Q1796" s="184"/>
      <c r="R1796" s="184"/>
      <c r="S1796" s="186"/>
      <c r="T1796" s="184">
        <v>0.0</v>
      </c>
    </row>
    <row r="1797">
      <c r="A1797" s="184"/>
      <c r="B1797" s="184"/>
      <c r="C1797" s="184"/>
      <c r="D1797" s="184"/>
      <c r="E1797" s="184"/>
      <c r="F1797" s="184"/>
      <c r="G1797" s="184"/>
      <c r="H1797" s="184"/>
      <c r="I1797" s="184"/>
      <c r="J1797" s="184"/>
      <c r="K1797" s="184"/>
      <c r="L1797" s="184"/>
      <c r="M1797" s="184"/>
      <c r="N1797" s="184"/>
      <c r="O1797" s="184"/>
      <c r="P1797" s="184"/>
      <c r="Q1797" s="184"/>
      <c r="R1797" s="184"/>
      <c r="S1797" s="186"/>
      <c r="T1797" s="184">
        <v>0.0</v>
      </c>
    </row>
    <row r="1798">
      <c r="A1798" s="184"/>
      <c r="B1798" s="184"/>
      <c r="C1798" s="184"/>
      <c r="D1798" s="184"/>
      <c r="E1798" s="184"/>
      <c r="F1798" s="184"/>
      <c r="G1798" s="184"/>
      <c r="H1798" s="184"/>
      <c r="I1798" s="184"/>
      <c r="J1798" s="184"/>
      <c r="K1798" s="184"/>
      <c r="L1798" s="184"/>
      <c r="M1798" s="184"/>
      <c r="N1798" s="184"/>
      <c r="O1798" s="184"/>
      <c r="P1798" s="184"/>
      <c r="Q1798" s="184"/>
      <c r="R1798" s="184"/>
      <c r="S1798" s="186"/>
      <c r="T1798" s="184">
        <v>0.0</v>
      </c>
    </row>
    <row r="1799">
      <c r="A1799" s="184"/>
      <c r="B1799" s="184"/>
      <c r="C1799" s="184"/>
      <c r="D1799" s="184"/>
      <c r="E1799" s="184"/>
      <c r="F1799" s="184"/>
      <c r="G1799" s="184"/>
      <c r="H1799" s="184"/>
      <c r="I1799" s="184"/>
      <c r="J1799" s="184"/>
      <c r="K1799" s="184"/>
      <c r="L1799" s="184"/>
      <c r="M1799" s="184"/>
      <c r="N1799" s="184"/>
      <c r="O1799" s="184"/>
      <c r="P1799" s="184"/>
      <c r="Q1799" s="184"/>
      <c r="R1799" s="184"/>
      <c r="S1799" s="186"/>
      <c r="T1799" s="184">
        <v>0.0</v>
      </c>
    </row>
    <row r="1800">
      <c r="A1800" s="184"/>
      <c r="B1800" s="184"/>
      <c r="C1800" s="184"/>
      <c r="D1800" s="184"/>
      <c r="E1800" s="184"/>
      <c r="F1800" s="184"/>
      <c r="G1800" s="184"/>
      <c r="H1800" s="184"/>
      <c r="I1800" s="184"/>
      <c r="J1800" s="184"/>
      <c r="K1800" s="184"/>
      <c r="L1800" s="184"/>
      <c r="M1800" s="184"/>
      <c r="N1800" s="184"/>
      <c r="O1800" s="184"/>
      <c r="P1800" s="184"/>
      <c r="Q1800" s="184"/>
      <c r="R1800" s="184"/>
      <c r="S1800" s="186"/>
      <c r="T1800" s="184">
        <v>0.0</v>
      </c>
    </row>
    <row r="1801">
      <c r="A1801" s="184"/>
      <c r="B1801" s="184"/>
      <c r="C1801" s="184"/>
      <c r="D1801" s="184"/>
      <c r="E1801" s="184"/>
      <c r="F1801" s="184"/>
      <c r="G1801" s="184"/>
      <c r="H1801" s="184"/>
      <c r="I1801" s="184"/>
      <c r="J1801" s="184"/>
      <c r="K1801" s="184"/>
      <c r="L1801" s="184"/>
      <c r="M1801" s="184"/>
      <c r="N1801" s="184"/>
      <c r="O1801" s="184"/>
      <c r="P1801" s="184"/>
      <c r="Q1801" s="184"/>
      <c r="R1801" s="184"/>
      <c r="S1801" s="186"/>
      <c r="T1801" s="184">
        <v>0.0</v>
      </c>
    </row>
    <row r="1802">
      <c r="A1802" s="184"/>
      <c r="B1802" s="184"/>
      <c r="C1802" s="184"/>
      <c r="D1802" s="184"/>
      <c r="E1802" s="184"/>
      <c r="F1802" s="184"/>
      <c r="G1802" s="184"/>
      <c r="H1802" s="184"/>
      <c r="I1802" s="184"/>
      <c r="J1802" s="184"/>
      <c r="K1802" s="184"/>
      <c r="L1802" s="184"/>
      <c r="M1802" s="184"/>
      <c r="N1802" s="184"/>
      <c r="O1802" s="184"/>
      <c r="P1802" s="184"/>
      <c r="Q1802" s="184"/>
      <c r="R1802" s="184"/>
      <c r="S1802" s="186"/>
      <c r="T1802" s="184">
        <v>0.0</v>
      </c>
    </row>
    <row r="1803">
      <c r="A1803" s="184"/>
      <c r="B1803" s="184"/>
      <c r="C1803" s="184"/>
      <c r="D1803" s="184"/>
      <c r="E1803" s="184"/>
      <c r="F1803" s="184"/>
      <c r="G1803" s="184"/>
      <c r="H1803" s="184"/>
      <c r="I1803" s="184"/>
      <c r="J1803" s="184"/>
      <c r="K1803" s="184"/>
      <c r="L1803" s="184"/>
      <c r="M1803" s="184"/>
      <c r="N1803" s="184"/>
      <c r="O1803" s="184"/>
      <c r="P1803" s="184"/>
      <c r="Q1803" s="184"/>
      <c r="R1803" s="184"/>
      <c r="S1803" s="184"/>
      <c r="T1803" s="184"/>
    </row>
    <row r="1804">
      <c r="A1804" s="184"/>
      <c r="B1804" s="184"/>
      <c r="C1804" s="184"/>
      <c r="D1804" s="184"/>
      <c r="E1804" s="184"/>
      <c r="F1804" s="184"/>
      <c r="G1804" s="184"/>
      <c r="H1804" s="184"/>
      <c r="I1804" s="184"/>
      <c r="J1804" s="184"/>
      <c r="K1804" s="184"/>
      <c r="L1804" s="184"/>
      <c r="M1804" s="184"/>
      <c r="N1804" s="184"/>
      <c r="O1804" s="184"/>
      <c r="P1804" s="184"/>
      <c r="Q1804" s="184"/>
      <c r="R1804" s="184"/>
      <c r="S1804" s="184"/>
      <c r="T1804" s="184"/>
    </row>
    <row r="1805">
      <c r="A1805" s="184"/>
      <c r="B1805" s="184"/>
      <c r="C1805" s="184"/>
      <c r="D1805" s="184"/>
      <c r="E1805" s="184"/>
      <c r="F1805" s="184"/>
      <c r="G1805" s="184"/>
      <c r="H1805" s="184"/>
      <c r="I1805" s="184"/>
      <c r="J1805" s="184"/>
      <c r="K1805" s="184"/>
      <c r="L1805" s="184"/>
      <c r="M1805" s="184"/>
      <c r="N1805" s="184"/>
      <c r="O1805" s="184"/>
      <c r="P1805" s="184"/>
      <c r="Q1805" s="184"/>
      <c r="R1805" s="184"/>
      <c r="S1805" s="184"/>
      <c r="T1805" s="184"/>
    </row>
    <row r="1806">
      <c r="A1806" s="184"/>
      <c r="B1806" s="184"/>
      <c r="C1806" s="184"/>
      <c r="D1806" s="184"/>
      <c r="E1806" s="184"/>
      <c r="F1806" s="184"/>
      <c r="G1806" s="184"/>
      <c r="H1806" s="184"/>
      <c r="I1806" s="184"/>
      <c r="J1806" s="184"/>
      <c r="K1806" s="184"/>
      <c r="L1806" s="184"/>
      <c r="M1806" s="184"/>
      <c r="N1806" s="184"/>
      <c r="O1806" s="184"/>
      <c r="P1806" s="184"/>
      <c r="Q1806" s="184"/>
      <c r="R1806" s="184"/>
      <c r="S1806" s="184"/>
      <c r="T1806" s="184"/>
    </row>
    <row r="1807">
      <c r="A1807" s="184"/>
      <c r="B1807" s="184"/>
      <c r="C1807" s="184"/>
      <c r="D1807" s="184"/>
      <c r="E1807" s="184"/>
      <c r="F1807" s="184"/>
      <c r="G1807" s="184"/>
      <c r="H1807" s="184"/>
      <c r="I1807" s="184"/>
      <c r="J1807" s="184"/>
      <c r="K1807" s="184"/>
      <c r="L1807" s="184"/>
      <c r="M1807" s="184"/>
      <c r="N1807" s="184"/>
      <c r="O1807" s="184"/>
      <c r="P1807" s="184"/>
      <c r="Q1807" s="184"/>
      <c r="R1807" s="184"/>
      <c r="S1807" s="184"/>
      <c r="T1807" s="184"/>
    </row>
    <row r="1808">
      <c r="A1808" s="184"/>
      <c r="B1808" s="184"/>
      <c r="C1808" s="184"/>
      <c r="D1808" s="184"/>
      <c r="E1808" s="184"/>
      <c r="F1808" s="184"/>
      <c r="G1808" s="184"/>
      <c r="H1808" s="184"/>
      <c r="I1808" s="184"/>
      <c r="J1808" s="184"/>
      <c r="K1808" s="184"/>
      <c r="L1808" s="184"/>
      <c r="M1808" s="184"/>
      <c r="N1808" s="184"/>
      <c r="O1808" s="184"/>
      <c r="P1808" s="184"/>
      <c r="Q1808" s="184"/>
      <c r="R1808" s="184"/>
      <c r="S1808" s="184"/>
      <c r="T1808" s="184"/>
    </row>
    <row r="1809">
      <c r="A1809" s="184"/>
      <c r="B1809" s="184"/>
      <c r="C1809" s="184"/>
      <c r="D1809" s="184"/>
      <c r="E1809" s="184"/>
      <c r="F1809" s="184"/>
      <c r="G1809" s="184"/>
      <c r="H1809" s="184"/>
      <c r="I1809" s="184"/>
      <c r="J1809" s="184"/>
      <c r="K1809" s="184"/>
      <c r="L1809" s="184"/>
      <c r="M1809" s="184"/>
      <c r="N1809" s="184"/>
      <c r="O1809" s="184"/>
      <c r="P1809" s="184"/>
      <c r="Q1809" s="184"/>
      <c r="R1809" s="184"/>
      <c r="S1809" s="184"/>
      <c r="T1809" s="184"/>
    </row>
    <row r="1810">
      <c r="A1810" s="184"/>
      <c r="B1810" s="184"/>
      <c r="C1810" s="184"/>
      <c r="D1810" s="184"/>
      <c r="E1810" s="184"/>
      <c r="F1810" s="184"/>
      <c r="G1810" s="184"/>
      <c r="H1810" s="184"/>
      <c r="I1810" s="184"/>
      <c r="J1810" s="184"/>
      <c r="K1810" s="184"/>
      <c r="L1810" s="184"/>
      <c r="M1810" s="184"/>
      <c r="N1810" s="184"/>
      <c r="O1810" s="184"/>
      <c r="P1810" s="184"/>
      <c r="Q1810" s="184"/>
      <c r="R1810" s="184"/>
      <c r="S1810" s="184"/>
      <c r="T1810" s="184"/>
    </row>
    <row r="1811">
      <c r="A1811" s="184"/>
      <c r="B1811" s="184"/>
      <c r="C1811" s="184"/>
      <c r="D1811" s="184"/>
      <c r="E1811" s="184"/>
      <c r="F1811" s="184"/>
      <c r="G1811" s="184"/>
      <c r="H1811" s="184"/>
      <c r="I1811" s="184"/>
      <c r="J1811" s="184"/>
      <c r="K1811" s="184"/>
      <c r="L1811" s="184"/>
      <c r="M1811" s="184"/>
      <c r="N1811" s="184"/>
      <c r="O1811" s="184"/>
      <c r="P1811" s="184"/>
      <c r="Q1811" s="184"/>
      <c r="R1811" s="184"/>
      <c r="S1811" s="184"/>
      <c r="T1811" s="184"/>
    </row>
    <row r="1812">
      <c r="A1812" s="184"/>
      <c r="B1812" s="184"/>
      <c r="C1812" s="184"/>
      <c r="D1812" s="184"/>
      <c r="E1812" s="184"/>
      <c r="F1812" s="184"/>
      <c r="G1812" s="184"/>
      <c r="H1812" s="184"/>
      <c r="I1812" s="184"/>
      <c r="J1812" s="184"/>
      <c r="K1812" s="184"/>
      <c r="L1812" s="184"/>
      <c r="M1812" s="184"/>
      <c r="N1812" s="184"/>
      <c r="O1812" s="184"/>
      <c r="P1812" s="184"/>
      <c r="Q1812" s="184"/>
      <c r="R1812" s="184"/>
      <c r="S1812" s="184"/>
      <c r="T1812" s="184"/>
    </row>
    <row r="1813">
      <c r="A1813" s="184"/>
      <c r="B1813" s="184"/>
      <c r="C1813" s="184"/>
      <c r="D1813" s="184"/>
      <c r="E1813" s="184"/>
      <c r="F1813" s="184"/>
      <c r="G1813" s="184"/>
      <c r="H1813" s="184"/>
      <c r="I1813" s="184"/>
      <c r="J1813" s="184"/>
      <c r="K1813" s="184"/>
      <c r="L1813" s="184"/>
      <c r="M1813" s="184"/>
      <c r="N1813" s="184"/>
      <c r="O1813" s="184"/>
      <c r="P1813" s="184"/>
      <c r="Q1813" s="184"/>
      <c r="R1813" s="184"/>
      <c r="S1813" s="184"/>
      <c r="T1813" s="184"/>
    </row>
    <row r="1814">
      <c r="A1814" s="184"/>
      <c r="B1814" s="184"/>
      <c r="C1814" s="184"/>
      <c r="D1814" s="184"/>
      <c r="E1814" s="184"/>
      <c r="F1814" s="184"/>
      <c r="G1814" s="184"/>
      <c r="H1814" s="184"/>
      <c r="I1814" s="184"/>
      <c r="J1814" s="184"/>
      <c r="K1814" s="184"/>
      <c r="L1814" s="184"/>
      <c r="M1814" s="184"/>
      <c r="N1814" s="184"/>
      <c r="O1814" s="184"/>
      <c r="P1814" s="184"/>
      <c r="Q1814" s="184"/>
      <c r="R1814" s="184"/>
      <c r="S1814" s="184"/>
      <c r="T1814" s="184"/>
    </row>
    <row r="1815">
      <c r="A1815" s="184"/>
      <c r="B1815" s="184"/>
      <c r="C1815" s="184"/>
      <c r="D1815" s="184"/>
      <c r="E1815" s="184"/>
      <c r="F1815" s="184"/>
      <c r="G1815" s="184"/>
      <c r="H1815" s="184"/>
      <c r="I1815" s="184"/>
      <c r="J1815" s="184"/>
      <c r="K1815" s="184"/>
      <c r="L1815" s="184"/>
      <c r="M1815" s="184"/>
      <c r="N1815" s="184"/>
      <c r="O1815" s="184"/>
      <c r="P1815" s="184"/>
      <c r="Q1815" s="184"/>
      <c r="R1815" s="184"/>
      <c r="S1815" s="184"/>
      <c r="T1815" s="184"/>
    </row>
    <row r="1816">
      <c r="A1816" s="184"/>
      <c r="B1816" s="184"/>
      <c r="C1816" s="184"/>
      <c r="D1816" s="184"/>
      <c r="E1816" s="184"/>
      <c r="F1816" s="184"/>
      <c r="G1816" s="184"/>
      <c r="H1816" s="184"/>
      <c r="I1816" s="184"/>
      <c r="J1816" s="184"/>
      <c r="K1816" s="184"/>
      <c r="L1816" s="184"/>
      <c r="M1816" s="184"/>
      <c r="N1816" s="184"/>
      <c r="O1816" s="184"/>
      <c r="P1816" s="184"/>
      <c r="Q1816" s="184"/>
      <c r="R1816" s="184"/>
      <c r="S1816" s="184"/>
      <c r="T1816" s="184"/>
    </row>
    <row r="1817">
      <c r="A1817" s="184"/>
      <c r="B1817" s="184"/>
      <c r="C1817" s="184"/>
      <c r="D1817" s="184"/>
      <c r="E1817" s="184"/>
      <c r="F1817" s="184"/>
      <c r="G1817" s="184"/>
      <c r="H1817" s="184"/>
      <c r="I1817" s="184"/>
      <c r="J1817" s="184"/>
      <c r="K1817" s="184"/>
      <c r="L1817" s="184"/>
      <c r="M1817" s="184"/>
      <c r="N1817" s="184"/>
      <c r="O1817" s="184"/>
      <c r="P1817" s="184"/>
      <c r="Q1817" s="184"/>
      <c r="R1817" s="184"/>
      <c r="S1817" s="184"/>
      <c r="T1817" s="184"/>
    </row>
    <row r="1818">
      <c r="A1818" s="184"/>
      <c r="B1818" s="184"/>
      <c r="C1818" s="184"/>
      <c r="D1818" s="184"/>
      <c r="E1818" s="184"/>
      <c r="F1818" s="184"/>
      <c r="G1818" s="184"/>
      <c r="H1818" s="184"/>
      <c r="I1818" s="184"/>
      <c r="J1818" s="184"/>
      <c r="K1818" s="184"/>
      <c r="L1818" s="184"/>
      <c r="M1818" s="184"/>
      <c r="N1818" s="184"/>
      <c r="O1818" s="184"/>
      <c r="P1818" s="184"/>
      <c r="Q1818" s="184"/>
      <c r="R1818" s="184"/>
      <c r="S1818" s="184"/>
      <c r="T1818" s="184"/>
    </row>
    <row r="1819">
      <c r="A1819" s="184"/>
      <c r="B1819" s="184"/>
      <c r="C1819" s="184"/>
      <c r="D1819" s="184"/>
      <c r="E1819" s="184"/>
      <c r="F1819" s="184"/>
      <c r="G1819" s="184"/>
      <c r="H1819" s="184"/>
      <c r="I1819" s="184"/>
      <c r="J1819" s="184"/>
      <c r="K1819" s="184"/>
      <c r="L1819" s="184"/>
      <c r="M1819" s="184"/>
      <c r="N1819" s="184"/>
      <c r="O1819" s="184"/>
      <c r="P1819" s="184"/>
      <c r="Q1819" s="184"/>
      <c r="R1819" s="184"/>
      <c r="S1819" s="184"/>
      <c r="T1819" s="184"/>
    </row>
    <row r="1820">
      <c r="A1820" s="184"/>
      <c r="B1820" s="184"/>
      <c r="C1820" s="184"/>
      <c r="D1820" s="184"/>
      <c r="E1820" s="184"/>
      <c r="F1820" s="184"/>
      <c r="G1820" s="184"/>
      <c r="H1820" s="184"/>
      <c r="I1820" s="184"/>
      <c r="J1820" s="184"/>
      <c r="K1820" s="184"/>
      <c r="L1820" s="184"/>
      <c r="M1820" s="184"/>
      <c r="N1820" s="184"/>
      <c r="O1820" s="184"/>
      <c r="P1820" s="184"/>
      <c r="Q1820" s="184"/>
      <c r="R1820" s="184"/>
      <c r="S1820" s="184"/>
      <c r="T1820" s="184"/>
    </row>
    <row r="1821">
      <c r="A1821" s="184"/>
      <c r="B1821" s="184"/>
      <c r="C1821" s="184"/>
      <c r="D1821" s="184"/>
      <c r="E1821" s="184"/>
      <c r="F1821" s="184"/>
      <c r="G1821" s="184"/>
      <c r="H1821" s="184"/>
      <c r="I1821" s="184"/>
      <c r="J1821" s="184"/>
      <c r="K1821" s="184"/>
      <c r="L1821" s="184"/>
      <c r="M1821" s="184"/>
      <c r="N1821" s="184"/>
      <c r="O1821" s="184"/>
      <c r="P1821" s="184"/>
      <c r="Q1821" s="184"/>
      <c r="R1821" s="184"/>
      <c r="S1821" s="184"/>
      <c r="T1821" s="184"/>
    </row>
    <row r="1822">
      <c r="A1822" s="184"/>
      <c r="B1822" s="184"/>
      <c r="C1822" s="184"/>
      <c r="D1822" s="184"/>
      <c r="E1822" s="184"/>
      <c r="F1822" s="184"/>
      <c r="G1822" s="184"/>
      <c r="H1822" s="184"/>
      <c r="I1822" s="184"/>
      <c r="J1822" s="184"/>
      <c r="K1822" s="184"/>
      <c r="L1822" s="184"/>
      <c r="M1822" s="184"/>
      <c r="N1822" s="184"/>
      <c r="O1822" s="184"/>
      <c r="P1822" s="184"/>
      <c r="Q1822" s="184"/>
      <c r="R1822" s="184"/>
      <c r="S1822" s="184"/>
      <c r="T1822" s="184"/>
    </row>
    <row r="1823">
      <c r="A1823" s="184"/>
      <c r="B1823" s="184"/>
      <c r="C1823" s="184"/>
      <c r="D1823" s="184"/>
      <c r="E1823" s="184"/>
      <c r="F1823" s="184"/>
      <c r="G1823" s="184"/>
      <c r="H1823" s="184"/>
      <c r="I1823" s="184"/>
      <c r="J1823" s="184"/>
      <c r="K1823" s="184"/>
      <c r="L1823" s="184"/>
      <c r="M1823" s="184"/>
      <c r="N1823" s="184"/>
      <c r="O1823" s="184"/>
      <c r="P1823" s="184"/>
      <c r="Q1823" s="184"/>
      <c r="R1823" s="184"/>
      <c r="S1823" s="184"/>
      <c r="T1823" s="184"/>
    </row>
    <row r="1824">
      <c r="A1824" s="184"/>
      <c r="B1824" s="184"/>
      <c r="C1824" s="184"/>
      <c r="D1824" s="184"/>
      <c r="E1824" s="184"/>
      <c r="F1824" s="184"/>
      <c r="G1824" s="184"/>
      <c r="H1824" s="184"/>
      <c r="I1824" s="184"/>
      <c r="J1824" s="184"/>
      <c r="K1824" s="184"/>
      <c r="L1824" s="184"/>
      <c r="M1824" s="184"/>
      <c r="N1824" s="184"/>
      <c r="O1824" s="184"/>
      <c r="P1824" s="184"/>
      <c r="Q1824" s="184"/>
      <c r="R1824" s="184"/>
      <c r="S1824" s="184"/>
      <c r="T1824" s="184"/>
    </row>
    <row r="1825">
      <c r="A1825" s="184"/>
      <c r="B1825" s="184"/>
      <c r="C1825" s="184"/>
      <c r="D1825" s="184"/>
      <c r="E1825" s="184"/>
      <c r="F1825" s="184"/>
      <c r="G1825" s="184"/>
      <c r="H1825" s="184"/>
      <c r="I1825" s="184"/>
      <c r="J1825" s="184"/>
      <c r="K1825" s="184"/>
      <c r="L1825" s="184"/>
      <c r="M1825" s="184"/>
      <c r="N1825" s="184"/>
      <c r="O1825" s="184"/>
      <c r="P1825" s="184"/>
      <c r="Q1825" s="184"/>
      <c r="R1825" s="184"/>
      <c r="S1825" s="184"/>
      <c r="T1825" s="184"/>
    </row>
    <row r="1826">
      <c r="A1826" s="184"/>
      <c r="B1826" s="184"/>
      <c r="C1826" s="184"/>
      <c r="D1826" s="184"/>
      <c r="E1826" s="184"/>
      <c r="F1826" s="184"/>
      <c r="G1826" s="184"/>
      <c r="H1826" s="184"/>
      <c r="I1826" s="184"/>
      <c r="J1826" s="184"/>
      <c r="K1826" s="184"/>
      <c r="L1826" s="184"/>
      <c r="M1826" s="184"/>
      <c r="N1826" s="184"/>
      <c r="O1826" s="184"/>
      <c r="P1826" s="184"/>
      <c r="Q1826" s="184"/>
      <c r="R1826" s="184"/>
      <c r="S1826" s="184"/>
      <c r="T1826" s="184"/>
    </row>
    <row r="1827">
      <c r="A1827" s="184"/>
      <c r="B1827" s="184"/>
      <c r="C1827" s="184"/>
      <c r="D1827" s="184"/>
      <c r="E1827" s="184"/>
      <c r="F1827" s="184"/>
      <c r="G1827" s="184"/>
      <c r="H1827" s="184"/>
      <c r="I1827" s="184"/>
      <c r="J1827" s="184"/>
      <c r="K1827" s="184"/>
      <c r="L1827" s="184"/>
      <c r="M1827" s="184"/>
      <c r="N1827" s="184"/>
      <c r="O1827" s="184"/>
      <c r="P1827" s="184"/>
      <c r="Q1827" s="184"/>
      <c r="R1827" s="184"/>
      <c r="S1827" s="184"/>
      <c r="T1827" s="184"/>
    </row>
    <row r="1828">
      <c r="A1828" s="184"/>
      <c r="B1828" s="184"/>
      <c r="C1828" s="184"/>
      <c r="D1828" s="184"/>
      <c r="E1828" s="184"/>
      <c r="F1828" s="184"/>
      <c r="G1828" s="184"/>
      <c r="H1828" s="184"/>
      <c r="I1828" s="184"/>
      <c r="J1828" s="184"/>
      <c r="K1828" s="184"/>
      <c r="L1828" s="184"/>
      <c r="M1828" s="184"/>
      <c r="N1828" s="184"/>
      <c r="O1828" s="184"/>
      <c r="P1828" s="184"/>
      <c r="Q1828" s="184"/>
      <c r="R1828" s="184"/>
      <c r="S1828" s="184"/>
      <c r="T1828" s="184"/>
    </row>
    <row r="1829">
      <c r="A1829" s="184"/>
      <c r="B1829" s="184"/>
      <c r="C1829" s="184"/>
      <c r="D1829" s="184"/>
      <c r="E1829" s="184"/>
      <c r="F1829" s="184"/>
      <c r="G1829" s="184"/>
      <c r="H1829" s="184"/>
      <c r="I1829" s="184"/>
      <c r="J1829" s="184"/>
      <c r="K1829" s="184"/>
      <c r="L1829" s="184"/>
      <c r="M1829" s="184"/>
      <c r="N1829" s="184"/>
      <c r="O1829" s="184"/>
      <c r="P1829" s="184"/>
      <c r="Q1829" s="184"/>
      <c r="R1829" s="184"/>
      <c r="S1829" s="184"/>
      <c r="T1829" s="184"/>
    </row>
    <row r="1830">
      <c r="A1830" s="184"/>
      <c r="B1830" s="184"/>
      <c r="C1830" s="184"/>
      <c r="D1830" s="184"/>
      <c r="E1830" s="184"/>
      <c r="F1830" s="184"/>
      <c r="G1830" s="184"/>
      <c r="H1830" s="184"/>
      <c r="I1830" s="184"/>
      <c r="J1830" s="184"/>
      <c r="K1830" s="184"/>
      <c r="L1830" s="184"/>
      <c r="M1830" s="184"/>
      <c r="N1830" s="184"/>
      <c r="O1830" s="184"/>
      <c r="P1830" s="184"/>
      <c r="Q1830" s="184"/>
      <c r="R1830" s="184"/>
      <c r="S1830" s="184"/>
      <c r="T1830" s="184"/>
    </row>
    <row r="1831">
      <c r="A1831" s="184"/>
      <c r="B1831" s="184"/>
      <c r="C1831" s="184"/>
      <c r="D1831" s="184"/>
      <c r="E1831" s="184"/>
      <c r="F1831" s="184"/>
      <c r="G1831" s="184"/>
      <c r="H1831" s="184"/>
      <c r="I1831" s="184"/>
      <c r="J1831" s="184"/>
      <c r="K1831" s="184"/>
      <c r="L1831" s="184"/>
      <c r="M1831" s="184"/>
      <c r="N1831" s="184"/>
      <c r="O1831" s="184"/>
      <c r="P1831" s="184"/>
      <c r="Q1831" s="184"/>
      <c r="R1831" s="184"/>
      <c r="S1831" s="184"/>
      <c r="T1831" s="184"/>
    </row>
    <row r="1832">
      <c r="A1832" s="184"/>
      <c r="B1832" s="184"/>
      <c r="C1832" s="184"/>
      <c r="D1832" s="184"/>
      <c r="E1832" s="184"/>
      <c r="F1832" s="184"/>
      <c r="G1832" s="184"/>
      <c r="H1832" s="184"/>
      <c r="I1832" s="184"/>
      <c r="J1832" s="184"/>
      <c r="K1832" s="184"/>
      <c r="L1832" s="184"/>
      <c r="M1832" s="184"/>
      <c r="N1832" s="184"/>
      <c r="O1832" s="184"/>
      <c r="P1832" s="184"/>
      <c r="Q1832" s="184"/>
      <c r="R1832" s="184"/>
      <c r="S1832" s="184"/>
      <c r="T1832" s="184"/>
    </row>
    <row r="1833">
      <c r="A1833" s="184"/>
      <c r="B1833" s="184"/>
      <c r="C1833" s="184"/>
      <c r="D1833" s="184"/>
      <c r="E1833" s="184"/>
      <c r="F1833" s="184"/>
      <c r="G1833" s="184"/>
      <c r="H1833" s="184"/>
      <c r="I1833" s="184"/>
      <c r="J1833" s="184"/>
      <c r="K1833" s="184"/>
      <c r="L1833" s="184"/>
      <c r="M1833" s="184"/>
      <c r="N1833" s="184"/>
      <c r="O1833" s="184"/>
      <c r="P1833" s="184"/>
      <c r="Q1833" s="184"/>
      <c r="R1833" s="184"/>
      <c r="S1833" s="184"/>
      <c r="T1833" s="184"/>
    </row>
    <row r="1834">
      <c r="A1834" s="184"/>
      <c r="B1834" s="184"/>
      <c r="C1834" s="184"/>
      <c r="D1834" s="184"/>
      <c r="E1834" s="184"/>
      <c r="F1834" s="184"/>
      <c r="G1834" s="184"/>
      <c r="H1834" s="184"/>
      <c r="I1834" s="184"/>
      <c r="J1834" s="184"/>
      <c r="K1834" s="184"/>
      <c r="L1834" s="184"/>
      <c r="M1834" s="184"/>
      <c r="N1834" s="184"/>
      <c r="O1834" s="184"/>
      <c r="P1834" s="184"/>
      <c r="Q1834" s="184"/>
      <c r="R1834" s="184"/>
      <c r="S1834" s="184"/>
      <c r="T1834" s="184"/>
    </row>
    <row r="1835">
      <c r="A1835" s="184"/>
      <c r="B1835" s="184"/>
      <c r="C1835" s="184"/>
      <c r="D1835" s="184"/>
      <c r="E1835" s="184"/>
      <c r="F1835" s="184"/>
      <c r="G1835" s="184"/>
      <c r="H1835" s="184"/>
      <c r="I1835" s="184"/>
      <c r="J1835" s="184"/>
      <c r="K1835" s="184"/>
      <c r="L1835" s="184"/>
      <c r="M1835" s="184"/>
      <c r="N1835" s="184"/>
      <c r="O1835" s="184"/>
      <c r="P1835" s="184"/>
      <c r="Q1835" s="184"/>
      <c r="R1835" s="184"/>
      <c r="S1835" s="184"/>
      <c r="T1835" s="184"/>
    </row>
    <row r="1836">
      <c r="A1836" s="184"/>
      <c r="B1836" s="184"/>
      <c r="C1836" s="184"/>
      <c r="D1836" s="184"/>
      <c r="E1836" s="184"/>
      <c r="F1836" s="184"/>
      <c r="G1836" s="184"/>
      <c r="H1836" s="184"/>
      <c r="I1836" s="184"/>
      <c r="J1836" s="184"/>
      <c r="K1836" s="184"/>
      <c r="L1836" s="184"/>
      <c r="M1836" s="184"/>
      <c r="N1836" s="184"/>
      <c r="O1836" s="184"/>
      <c r="P1836" s="184"/>
      <c r="Q1836" s="184"/>
      <c r="R1836" s="184"/>
      <c r="S1836" s="184"/>
      <c r="T1836" s="184"/>
    </row>
    <row r="1837">
      <c r="A1837" s="184"/>
      <c r="B1837" s="184"/>
      <c r="C1837" s="184"/>
      <c r="D1837" s="184"/>
      <c r="E1837" s="184"/>
      <c r="F1837" s="184"/>
      <c r="G1837" s="184"/>
      <c r="H1837" s="184"/>
      <c r="I1837" s="184"/>
      <c r="J1837" s="184"/>
      <c r="K1837" s="184"/>
      <c r="L1837" s="184"/>
      <c r="M1837" s="184"/>
      <c r="N1837" s="184"/>
      <c r="O1837" s="184"/>
      <c r="P1837" s="184"/>
      <c r="Q1837" s="184"/>
      <c r="R1837" s="184"/>
      <c r="S1837" s="184"/>
      <c r="T1837" s="184"/>
    </row>
    <row r="1838">
      <c r="A1838" s="184"/>
      <c r="B1838" s="184"/>
      <c r="C1838" s="184"/>
      <c r="D1838" s="184"/>
      <c r="E1838" s="184"/>
      <c r="F1838" s="184"/>
      <c r="G1838" s="184"/>
      <c r="H1838" s="184"/>
      <c r="I1838" s="184"/>
      <c r="J1838" s="184"/>
      <c r="K1838" s="184"/>
      <c r="L1838" s="184"/>
      <c r="M1838" s="184"/>
      <c r="N1838" s="184"/>
      <c r="O1838" s="184"/>
      <c r="P1838" s="184"/>
      <c r="Q1838" s="184"/>
      <c r="R1838" s="184"/>
      <c r="S1838" s="184"/>
      <c r="T1838" s="184"/>
    </row>
    <row r="1839">
      <c r="A1839" s="184"/>
      <c r="B1839" s="184"/>
      <c r="C1839" s="184"/>
      <c r="D1839" s="184"/>
      <c r="E1839" s="184"/>
      <c r="F1839" s="184"/>
      <c r="G1839" s="184"/>
      <c r="H1839" s="184"/>
      <c r="I1839" s="184"/>
      <c r="J1839" s="184"/>
      <c r="K1839" s="184"/>
      <c r="L1839" s="184"/>
      <c r="M1839" s="184"/>
      <c r="N1839" s="184"/>
      <c r="O1839" s="184"/>
      <c r="P1839" s="184"/>
      <c r="Q1839" s="184"/>
      <c r="R1839" s="184"/>
      <c r="S1839" s="184"/>
      <c r="T1839" s="184"/>
    </row>
    <row r="1840">
      <c r="A1840" s="184"/>
      <c r="B1840" s="184"/>
      <c r="C1840" s="184"/>
      <c r="D1840" s="184"/>
      <c r="E1840" s="184"/>
      <c r="F1840" s="184"/>
      <c r="G1840" s="184"/>
      <c r="H1840" s="184"/>
      <c r="I1840" s="184"/>
      <c r="J1840" s="184"/>
      <c r="K1840" s="184"/>
      <c r="L1840" s="184"/>
      <c r="M1840" s="184"/>
      <c r="N1840" s="184"/>
      <c r="O1840" s="184"/>
      <c r="P1840" s="184"/>
      <c r="Q1840" s="184"/>
      <c r="R1840" s="184"/>
      <c r="S1840" s="184"/>
      <c r="T1840" s="184"/>
    </row>
    <row r="1841">
      <c r="A1841" s="184"/>
      <c r="B1841" s="184"/>
      <c r="C1841" s="184"/>
      <c r="D1841" s="184"/>
      <c r="E1841" s="184"/>
      <c r="F1841" s="184"/>
      <c r="G1841" s="184"/>
      <c r="H1841" s="184"/>
      <c r="I1841" s="184"/>
      <c r="J1841" s="184"/>
      <c r="K1841" s="184"/>
      <c r="L1841" s="184"/>
      <c r="M1841" s="184"/>
      <c r="N1841" s="184"/>
      <c r="O1841" s="184"/>
      <c r="P1841" s="184"/>
      <c r="Q1841" s="184"/>
      <c r="R1841" s="184"/>
      <c r="S1841" s="184"/>
      <c r="T1841" s="184"/>
    </row>
    <row r="1842">
      <c r="A1842" s="184"/>
      <c r="B1842" s="184"/>
      <c r="C1842" s="184"/>
      <c r="D1842" s="184"/>
      <c r="E1842" s="184"/>
      <c r="F1842" s="184"/>
      <c r="G1842" s="184"/>
      <c r="H1842" s="184"/>
      <c r="I1842" s="184"/>
      <c r="J1842" s="184"/>
      <c r="K1842" s="184"/>
      <c r="L1842" s="184"/>
      <c r="M1842" s="184"/>
      <c r="N1842" s="184"/>
      <c r="O1842" s="184"/>
      <c r="P1842" s="184"/>
      <c r="Q1842" s="184"/>
      <c r="R1842" s="184"/>
      <c r="S1842" s="184"/>
      <c r="T1842" s="184"/>
    </row>
    <row r="1843">
      <c r="A1843" s="184"/>
      <c r="B1843" s="184"/>
      <c r="C1843" s="184"/>
      <c r="D1843" s="184"/>
      <c r="E1843" s="184"/>
      <c r="F1843" s="184"/>
      <c r="G1843" s="184"/>
      <c r="H1843" s="184"/>
      <c r="I1843" s="184"/>
      <c r="J1843" s="184"/>
      <c r="K1843" s="184"/>
      <c r="L1843" s="184"/>
      <c r="M1843" s="184"/>
      <c r="N1843" s="184"/>
      <c r="O1843" s="184"/>
      <c r="P1843" s="184"/>
      <c r="Q1843" s="184"/>
      <c r="R1843" s="184"/>
      <c r="S1843" s="184"/>
      <c r="T1843" s="184"/>
    </row>
    <row r="1844">
      <c r="A1844" s="184"/>
      <c r="B1844" s="184"/>
      <c r="C1844" s="184"/>
      <c r="D1844" s="184"/>
      <c r="E1844" s="184"/>
      <c r="F1844" s="184"/>
      <c r="G1844" s="184"/>
      <c r="H1844" s="184"/>
      <c r="I1844" s="184"/>
      <c r="J1844" s="184"/>
      <c r="K1844" s="184"/>
      <c r="L1844" s="184"/>
      <c r="M1844" s="184"/>
      <c r="N1844" s="184"/>
      <c r="O1844" s="184"/>
      <c r="P1844" s="184"/>
      <c r="Q1844" s="184"/>
      <c r="R1844" s="184"/>
      <c r="S1844" s="184"/>
      <c r="T1844" s="184"/>
    </row>
    <row r="1845">
      <c r="A1845" s="184"/>
      <c r="B1845" s="184"/>
      <c r="C1845" s="184"/>
      <c r="D1845" s="184"/>
      <c r="E1845" s="184"/>
      <c r="F1845" s="184"/>
      <c r="G1845" s="184"/>
      <c r="H1845" s="184"/>
      <c r="I1845" s="184"/>
      <c r="J1845" s="184"/>
      <c r="K1845" s="184"/>
      <c r="L1845" s="184"/>
      <c r="M1845" s="184"/>
      <c r="N1845" s="184"/>
      <c r="O1845" s="184"/>
      <c r="P1845" s="184"/>
      <c r="Q1845" s="184"/>
      <c r="R1845" s="184"/>
      <c r="S1845" s="184"/>
      <c r="T1845" s="184"/>
    </row>
    <row r="1846">
      <c r="A1846" s="184"/>
      <c r="B1846" s="184"/>
      <c r="C1846" s="184"/>
      <c r="D1846" s="184"/>
      <c r="E1846" s="184"/>
      <c r="F1846" s="184"/>
      <c r="G1846" s="184"/>
      <c r="H1846" s="184"/>
      <c r="I1846" s="184"/>
      <c r="J1846" s="184"/>
      <c r="K1846" s="184"/>
      <c r="L1846" s="184"/>
      <c r="M1846" s="184"/>
      <c r="N1846" s="184"/>
      <c r="O1846" s="184"/>
      <c r="P1846" s="184"/>
      <c r="Q1846" s="184"/>
      <c r="R1846" s="184"/>
      <c r="S1846" s="184"/>
      <c r="T1846" s="184"/>
    </row>
    <row r="1847">
      <c r="A1847" s="184"/>
      <c r="B1847" s="184"/>
      <c r="C1847" s="184"/>
      <c r="D1847" s="184"/>
      <c r="E1847" s="184"/>
      <c r="F1847" s="184"/>
      <c r="G1847" s="184"/>
      <c r="H1847" s="184"/>
      <c r="I1847" s="184"/>
      <c r="J1847" s="184"/>
      <c r="K1847" s="184"/>
      <c r="L1847" s="184"/>
      <c r="M1847" s="184"/>
      <c r="N1847" s="184"/>
      <c r="O1847" s="184"/>
      <c r="P1847" s="184"/>
      <c r="Q1847" s="184"/>
      <c r="R1847" s="184"/>
      <c r="S1847" s="184"/>
      <c r="T1847" s="184"/>
    </row>
    <row r="1848">
      <c r="A1848" s="184"/>
      <c r="B1848" s="184"/>
      <c r="C1848" s="184"/>
      <c r="D1848" s="184"/>
      <c r="E1848" s="184"/>
      <c r="F1848" s="184"/>
      <c r="G1848" s="184"/>
      <c r="H1848" s="184"/>
      <c r="I1848" s="184"/>
      <c r="J1848" s="184"/>
      <c r="K1848" s="184"/>
      <c r="L1848" s="184"/>
      <c r="M1848" s="184"/>
      <c r="N1848" s="184"/>
      <c r="O1848" s="184"/>
      <c r="P1848" s="184"/>
      <c r="Q1848" s="184"/>
      <c r="R1848" s="184"/>
      <c r="S1848" s="184"/>
      <c r="T1848" s="184"/>
    </row>
    <row r="1849">
      <c r="A1849" s="184"/>
      <c r="B1849" s="184"/>
      <c r="C1849" s="184"/>
      <c r="D1849" s="184"/>
      <c r="E1849" s="184"/>
      <c r="F1849" s="184"/>
      <c r="G1849" s="184"/>
      <c r="H1849" s="184"/>
      <c r="I1849" s="184"/>
      <c r="J1849" s="184"/>
      <c r="K1849" s="184"/>
      <c r="L1849" s="184"/>
      <c r="M1849" s="184"/>
      <c r="N1849" s="184"/>
      <c r="O1849" s="184"/>
      <c r="P1849" s="184"/>
      <c r="Q1849" s="184"/>
      <c r="R1849" s="184"/>
      <c r="S1849" s="184"/>
      <c r="T1849" s="184"/>
    </row>
    <row r="1850">
      <c r="A1850" s="184"/>
      <c r="B1850" s="184"/>
      <c r="C1850" s="184"/>
      <c r="D1850" s="184"/>
      <c r="E1850" s="184"/>
      <c r="F1850" s="184"/>
      <c r="G1850" s="184"/>
      <c r="H1850" s="184"/>
      <c r="I1850" s="184"/>
      <c r="J1850" s="184"/>
      <c r="K1850" s="184"/>
      <c r="L1850" s="184"/>
      <c r="M1850" s="184"/>
      <c r="N1850" s="184"/>
      <c r="O1850" s="184"/>
      <c r="P1850" s="184"/>
      <c r="Q1850" s="184"/>
      <c r="R1850" s="184"/>
      <c r="S1850" s="184"/>
      <c r="T1850" s="184"/>
    </row>
    <row r="1851">
      <c r="A1851" s="184"/>
      <c r="B1851" s="184"/>
      <c r="C1851" s="184"/>
      <c r="D1851" s="184"/>
      <c r="E1851" s="184"/>
      <c r="F1851" s="184"/>
      <c r="G1851" s="184"/>
      <c r="H1851" s="184"/>
      <c r="I1851" s="184"/>
      <c r="J1851" s="184"/>
      <c r="K1851" s="184"/>
      <c r="L1851" s="184"/>
      <c r="M1851" s="184"/>
      <c r="N1851" s="184"/>
      <c r="O1851" s="184"/>
      <c r="P1851" s="184"/>
      <c r="Q1851" s="184"/>
      <c r="R1851" s="184"/>
      <c r="S1851" s="184"/>
      <c r="T1851" s="184"/>
    </row>
    <row r="1852">
      <c r="A1852" s="184"/>
      <c r="B1852" s="184"/>
      <c r="C1852" s="184"/>
      <c r="D1852" s="184"/>
      <c r="E1852" s="184"/>
      <c r="F1852" s="184"/>
      <c r="G1852" s="184"/>
      <c r="H1852" s="184"/>
      <c r="I1852" s="184"/>
      <c r="J1852" s="184"/>
      <c r="K1852" s="184"/>
      <c r="L1852" s="184"/>
      <c r="M1852" s="184"/>
      <c r="N1852" s="184"/>
      <c r="O1852" s="184"/>
      <c r="P1852" s="184"/>
      <c r="Q1852" s="184"/>
      <c r="R1852" s="184"/>
      <c r="S1852" s="184"/>
      <c r="T1852" s="184"/>
    </row>
    <row r="1853">
      <c r="A1853" s="184"/>
      <c r="B1853" s="184"/>
      <c r="C1853" s="184"/>
      <c r="D1853" s="184"/>
      <c r="E1853" s="184"/>
      <c r="F1853" s="184"/>
      <c r="G1853" s="184"/>
      <c r="H1853" s="184"/>
      <c r="I1853" s="184"/>
      <c r="J1853" s="184"/>
      <c r="K1853" s="184"/>
      <c r="L1853" s="184"/>
      <c r="M1853" s="184"/>
      <c r="N1853" s="184"/>
      <c r="O1853" s="184"/>
      <c r="P1853" s="184"/>
      <c r="Q1853" s="184"/>
      <c r="R1853" s="184"/>
      <c r="S1853" s="184"/>
      <c r="T1853" s="184"/>
    </row>
    <row r="1854">
      <c r="A1854" s="184"/>
      <c r="B1854" s="184"/>
      <c r="C1854" s="184"/>
      <c r="D1854" s="184"/>
      <c r="E1854" s="184"/>
      <c r="F1854" s="184"/>
      <c r="G1854" s="184"/>
      <c r="H1854" s="184"/>
      <c r="I1854" s="184"/>
      <c r="J1854" s="184"/>
      <c r="K1854" s="184"/>
      <c r="L1854" s="184"/>
      <c r="M1854" s="184"/>
      <c r="N1854" s="184"/>
      <c r="O1854" s="184"/>
      <c r="P1854" s="184"/>
      <c r="Q1854" s="184"/>
      <c r="R1854" s="184"/>
      <c r="S1854" s="184"/>
      <c r="T1854" s="184"/>
    </row>
    <row r="1855">
      <c r="A1855" s="184"/>
      <c r="B1855" s="184"/>
      <c r="C1855" s="184"/>
      <c r="D1855" s="184"/>
      <c r="E1855" s="184"/>
      <c r="F1855" s="184"/>
      <c r="G1855" s="184"/>
      <c r="H1855" s="184"/>
      <c r="I1855" s="184"/>
      <c r="J1855" s="184"/>
      <c r="K1855" s="184"/>
      <c r="L1855" s="184"/>
      <c r="M1855" s="184"/>
      <c r="N1855" s="184"/>
      <c r="O1855" s="184"/>
      <c r="P1855" s="184"/>
      <c r="Q1855" s="184"/>
      <c r="R1855" s="184"/>
      <c r="S1855" s="184"/>
      <c r="T1855" s="184"/>
    </row>
    <row r="1856">
      <c r="A1856" s="184"/>
      <c r="B1856" s="184"/>
      <c r="C1856" s="184"/>
      <c r="D1856" s="184"/>
      <c r="E1856" s="184"/>
      <c r="F1856" s="184"/>
      <c r="G1856" s="184"/>
      <c r="H1856" s="184"/>
      <c r="I1856" s="184"/>
      <c r="J1856" s="184"/>
      <c r="K1856" s="184"/>
      <c r="L1856" s="184"/>
      <c r="M1856" s="184"/>
      <c r="N1856" s="184"/>
      <c r="O1856" s="184"/>
      <c r="P1856" s="184"/>
      <c r="Q1856" s="184"/>
      <c r="R1856" s="184"/>
      <c r="S1856" s="184"/>
      <c r="T1856" s="184"/>
    </row>
    <row r="1857">
      <c r="A1857" s="184"/>
      <c r="B1857" s="184"/>
      <c r="C1857" s="184"/>
      <c r="D1857" s="184"/>
      <c r="E1857" s="184"/>
      <c r="F1857" s="184"/>
      <c r="G1857" s="184"/>
      <c r="H1857" s="184"/>
      <c r="I1857" s="184"/>
      <c r="J1857" s="184"/>
      <c r="K1857" s="184"/>
      <c r="L1857" s="184"/>
      <c r="M1857" s="184"/>
      <c r="N1857" s="184"/>
      <c r="O1857" s="184"/>
      <c r="P1857" s="184"/>
      <c r="Q1857" s="184"/>
      <c r="R1857" s="184"/>
      <c r="S1857" s="184"/>
      <c r="T1857" s="184"/>
    </row>
    <row r="1858">
      <c r="A1858" s="184"/>
      <c r="B1858" s="184"/>
      <c r="C1858" s="184"/>
      <c r="D1858" s="184"/>
      <c r="E1858" s="184"/>
      <c r="F1858" s="184"/>
      <c r="G1858" s="184"/>
      <c r="H1858" s="184"/>
      <c r="I1858" s="184"/>
      <c r="J1858" s="184"/>
      <c r="K1858" s="184"/>
      <c r="L1858" s="184"/>
      <c r="M1858" s="184"/>
      <c r="N1858" s="184"/>
      <c r="O1858" s="184"/>
      <c r="P1858" s="184"/>
      <c r="Q1858" s="184"/>
      <c r="R1858" s="184"/>
      <c r="S1858" s="184"/>
      <c r="T1858" s="184"/>
    </row>
    <row r="1859">
      <c r="A1859" s="184"/>
      <c r="B1859" s="184"/>
      <c r="C1859" s="184"/>
      <c r="D1859" s="184"/>
      <c r="E1859" s="184"/>
      <c r="F1859" s="184"/>
      <c r="G1859" s="184"/>
      <c r="H1859" s="184"/>
      <c r="I1859" s="184"/>
      <c r="J1859" s="184"/>
      <c r="K1859" s="184"/>
      <c r="L1859" s="184"/>
      <c r="M1859" s="184"/>
      <c r="N1859" s="184"/>
      <c r="O1859" s="184"/>
      <c r="P1859" s="184"/>
      <c r="Q1859" s="184"/>
      <c r="R1859" s="184"/>
      <c r="S1859" s="184"/>
      <c r="T1859" s="184"/>
    </row>
    <row r="1860">
      <c r="A1860" s="184"/>
      <c r="B1860" s="184"/>
      <c r="C1860" s="184"/>
      <c r="D1860" s="184"/>
      <c r="E1860" s="184"/>
      <c r="F1860" s="184"/>
      <c r="G1860" s="184"/>
      <c r="H1860" s="184"/>
      <c r="I1860" s="184"/>
      <c r="J1860" s="184"/>
      <c r="K1860" s="184"/>
      <c r="L1860" s="184"/>
      <c r="M1860" s="184"/>
      <c r="N1860" s="184"/>
      <c r="O1860" s="184"/>
      <c r="P1860" s="184"/>
      <c r="Q1860" s="184"/>
      <c r="R1860" s="184"/>
      <c r="S1860" s="184"/>
      <c r="T1860" s="184"/>
    </row>
    <row r="1861">
      <c r="A1861" s="184"/>
      <c r="B1861" s="184"/>
      <c r="C1861" s="184"/>
      <c r="D1861" s="184"/>
      <c r="E1861" s="184"/>
      <c r="F1861" s="184"/>
      <c r="G1861" s="184"/>
      <c r="H1861" s="184"/>
      <c r="I1861" s="184"/>
      <c r="J1861" s="184"/>
      <c r="K1861" s="184"/>
      <c r="L1861" s="184"/>
      <c r="M1861" s="184"/>
      <c r="N1861" s="184"/>
      <c r="O1861" s="184"/>
      <c r="P1861" s="184"/>
      <c r="Q1861" s="184"/>
      <c r="R1861" s="184"/>
      <c r="S1861" s="184"/>
      <c r="T1861" s="184"/>
    </row>
    <row r="1862">
      <c r="A1862" s="184"/>
      <c r="B1862" s="184"/>
      <c r="C1862" s="184"/>
      <c r="D1862" s="184"/>
      <c r="E1862" s="184"/>
      <c r="F1862" s="184"/>
      <c r="G1862" s="184"/>
      <c r="H1862" s="184"/>
      <c r="I1862" s="184"/>
      <c r="J1862" s="184"/>
      <c r="K1862" s="184"/>
      <c r="L1862" s="184"/>
      <c r="M1862" s="184"/>
      <c r="N1862" s="184"/>
      <c r="O1862" s="184"/>
      <c r="P1862" s="184"/>
      <c r="Q1862" s="184"/>
      <c r="R1862" s="184"/>
      <c r="S1862" s="184"/>
      <c r="T1862" s="184"/>
    </row>
    <row r="1863">
      <c r="A1863" s="184"/>
      <c r="B1863" s="184"/>
      <c r="C1863" s="184"/>
      <c r="D1863" s="184"/>
      <c r="E1863" s="184"/>
      <c r="F1863" s="184"/>
      <c r="G1863" s="184"/>
      <c r="H1863" s="184"/>
      <c r="I1863" s="184"/>
      <c r="J1863" s="184"/>
      <c r="K1863" s="184"/>
      <c r="L1863" s="184"/>
      <c r="M1863" s="184"/>
      <c r="N1863" s="184"/>
      <c r="O1863" s="184"/>
      <c r="P1863" s="184"/>
      <c r="Q1863" s="184"/>
      <c r="R1863" s="184"/>
      <c r="S1863" s="184"/>
      <c r="T1863" s="184"/>
    </row>
    <row r="1864">
      <c r="A1864" s="184"/>
      <c r="B1864" s="184"/>
      <c r="C1864" s="184"/>
      <c r="D1864" s="184"/>
      <c r="E1864" s="184"/>
      <c r="F1864" s="184"/>
      <c r="G1864" s="184"/>
      <c r="H1864" s="184"/>
      <c r="I1864" s="184"/>
      <c r="J1864" s="184"/>
      <c r="K1864" s="184"/>
      <c r="L1864" s="184"/>
      <c r="M1864" s="184"/>
      <c r="N1864" s="184"/>
      <c r="O1864" s="184"/>
      <c r="P1864" s="184"/>
      <c r="Q1864" s="184"/>
      <c r="R1864" s="184"/>
      <c r="S1864" s="184"/>
      <c r="T1864" s="184"/>
    </row>
    <row r="1865">
      <c r="A1865" s="184"/>
      <c r="B1865" s="184"/>
      <c r="C1865" s="184"/>
      <c r="D1865" s="184"/>
      <c r="E1865" s="184"/>
      <c r="F1865" s="184"/>
      <c r="G1865" s="184"/>
      <c r="H1865" s="184"/>
      <c r="I1865" s="184"/>
      <c r="J1865" s="184"/>
      <c r="K1865" s="184"/>
      <c r="L1865" s="184"/>
      <c r="M1865" s="184"/>
      <c r="N1865" s="184"/>
      <c r="O1865" s="184"/>
      <c r="P1865" s="184"/>
      <c r="Q1865" s="184"/>
      <c r="R1865" s="184"/>
      <c r="S1865" s="184"/>
      <c r="T1865" s="184"/>
    </row>
    <row r="1866">
      <c r="A1866" s="184"/>
      <c r="B1866" s="184"/>
      <c r="C1866" s="184"/>
      <c r="D1866" s="184"/>
      <c r="E1866" s="184"/>
      <c r="F1866" s="184"/>
      <c r="G1866" s="184"/>
      <c r="H1866" s="184"/>
      <c r="I1866" s="184"/>
      <c r="J1866" s="184"/>
      <c r="K1866" s="184"/>
      <c r="L1866" s="184"/>
      <c r="M1866" s="184"/>
      <c r="N1866" s="184"/>
      <c r="O1866" s="184"/>
      <c r="P1866" s="184"/>
      <c r="Q1866" s="184"/>
      <c r="R1866" s="184"/>
      <c r="S1866" s="184"/>
      <c r="T1866" s="184"/>
    </row>
    <row r="1867">
      <c r="A1867" s="184"/>
      <c r="B1867" s="184"/>
      <c r="C1867" s="184"/>
      <c r="D1867" s="184"/>
      <c r="E1867" s="184"/>
      <c r="F1867" s="184"/>
      <c r="G1867" s="184"/>
      <c r="H1867" s="184"/>
      <c r="I1867" s="184"/>
      <c r="J1867" s="184"/>
      <c r="K1867" s="184"/>
      <c r="L1867" s="184"/>
      <c r="M1867" s="184"/>
      <c r="N1867" s="184"/>
      <c r="O1867" s="184"/>
      <c r="P1867" s="184"/>
      <c r="Q1867" s="184"/>
      <c r="R1867" s="184"/>
      <c r="S1867" s="184"/>
      <c r="T1867" s="184"/>
    </row>
    <row r="1868">
      <c r="A1868" s="184"/>
      <c r="B1868" s="184"/>
      <c r="C1868" s="184"/>
      <c r="D1868" s="184"/>
      <c r="E1868" s="184"/>
      <c r="F1868" s="184"/>
      <c r="G1868" s="184"/>
      <c r="H1868" s="184"/>
      <c r="I1868" s="184"/>
      <c r="J1868" s="184"/>
      <c r="K1868" s="184"/>
      <c r="L1868" s="184"/>
      <c r="M1868" s="184"/>
      <c r="N1868" s="184"/>
      <c r="O1868" s="184"/>
      <c r="P1868" s="184"/>
      <c r="Q1868" s="184"/>
      <c r="R1868" s="184"/>
      <c r="S1868" s="184"/>
      <c r="T1868" s="184"/>
    </row>
    <row r="1869">
      <c r="A1869" s="184"/>
      <c r="B1869" s="184"/>
      <c r="C1869" s="184"/>
      <c r="D1869" s="184"/>
      <c r="E1869" s="184"/>
      <c r="F1869" s="184"/>
      <c r="G1869" s="184"/>
      <c r="H1869" s="184"/>
      <c r="I1869" s="184"/>
      <c r="J1869" s="184"/>
      <c r="K1869" s="184"/>
      <c r="L1869" s="184"/>
      <c r="M1869" s="184"/>
      <c r="N1869" s="184"/>
      <c r="O1869" s="184"/>
      <c r="P1869" s="184"/>
      <c r="Q1869" s="184"/>
      <c r="R1869" s="184"/>
      <c r="S1869" s="184"/>
      <c r="T1869" s="184"/>
    </row>
    <row r="1870">
      <c r="A1870" s="184"/>
      <c r="B1870" s="184"/>
      <c r="C1870" s="184"/>
      <c r="D1870" s="184"/>
      <c r="E1870" s="184"/>
      <c r="F1870" s="184"/>
      <c r="G1870" s="184"/>
      <c r="H1870" s="184"/>
      <c r="I1870" s="184"/>
      <c r="J1870" s="184"/>
      <c r="K1870" s="184"/>
      <c r="L1870" s="184"/>
      <c r="M1870" s="184"/>
      <c r="N1870" s="184"/>
      <c r="O1870" s="184"/>
      <c r="P1870" s="184"/>
      <c r="Q1870" s="184"/>
      <c r="R1870" s="184"/>
      <c r="S1870" s="184"/>
      <c r="T1870" s="184"/>
    </row>
    <row r="1871">
      <c r="A1871" s="184"/>
      <c r="B1871" s="184"/>
      <c r="C1871" s="184"/>
      <c r="D1871" s="184"/>
      <c r="E1871" s="184"/>
      <c r="F1871" s="184"/>
      <c r="G1871" s="184"/>
      <c r="H1871" s="184"/>
      <c r="I1871" s="184"/>
      <c r="J1871" s="184"/>
      <c r="K1871" s="184"/>
      <c r="L1871" s="184"/>
      <c r="M1871" s="184"/>
      <c r="N1871" s="184"/>
      <c r="O1871" s="184"/>
      <c r="P1871" s="184"/>
      <c r="Q1871" s="184"/>
      <c r="R1871" s="184"/>
      <c r="S1871" s="184"/>
      <c r="T1871" s="184"/>
    </row>
    <row r="1872">
      <c r="A1872" s="184"/>
      <c r="B1872" s="184"/>
      <c r="C1872" s="184"/>
      <c r="D1872" s="184"/>
      <c r="E1872" s="184"/>
      <c r="F1872" s="184"/>
      <c r="G1872" s="184"/>
      <c r="H1872" s="184"/>
      <c r="I1872" s="184"/>
      <c r="J1872" s="184"/>
      <c r="K1872" s="184"/>
      <c r="L1872" s="184"/>
      <c r="M1872" s="184"/>
      <c r="N1872" s="184"/>
      <c r="O1872" s="184"/>
      <c r="P1872" s="184"/>
      <c r="Q1872" s="184"/>
      <c r="R1872" s="184"/>
      <c r="S1872" s="184"/>
      <c r="T1872" s="184"/>
    </row>
    <row r="1873">
      <c r="A1873" s="184"/>
      <c r="B1873" s="184"/>
      <c r="C1873" s="184"/>
      <c r="D1873" s="184"/>
      <c r="E1873" s="184"/>
      <c r="F1873" s="184"/>
      <c r="G1873" s="184"/>
      <c r="H1873" s="184"/>
      <c r="I1873" s="184"/>
      <c r="J1873" s="184"/>
      <c r="K1873" s="184"/>
      <c r="L1873" s="184"/>
      <c r="M1873" s="184"/>
      <c r="N1873" s="184"/>
      <c r="O1873" s="184"/>
      <c r="P1873" s="184"/>
      <c r="Q1873" s="184"/>
      <c r="R1873" s="184"/>
      <c r="S1873" s="184"/>
      <c r="T1873" s="184"/>
    </row>
    <row r="1874">
      <c r="A1874" s="184"/>
      <c r="B1874" s="184"/>
      <c r="C1874" s="184"/>
      <c r="D1874" s="184"/>
      <c r="E1874" s="184"/>
      <c r="F1874" s="184"/>
      <c r="G1874" s="184"/>
      <c r="H1874" s="184"/>
      <c r="I1874" s="184"/>
      <c r="J1874" s="184"/>
      <c r="K1874" s="184"/>
      <c r="L1874" s="184"/>
      <c r="M1874" s="184"/>
      <c r="N1874" s="184"/>
      <c r="O1874" s="184"/>
      <c r="P1874" s="184"/>
      <c r="Q1874" s="184"/>
      <c r="R1874" s="184"/>
      <c r="S1874" s="184"/>
      <c r="T1874" s="184"/>
    </row>
    <row r="1875">
      <c r="A1875" s="184"/>
      <c r="B1875" s="184"/>
      <c r="C1875" s="184"/>
      <c r="D1875" s="184"/>
      <c r="E1875" s="184"/>
      <c r="F1875" s="184"/>
      <c r="G1875" s="184"/>
      <c r="H1875" s="184"/>
      <c r="I1875" s="184"/>
      <c r="J1875" s="184"/>
      <c r="K1875" s="184"/>
      <c r="L1875" s="184"/>
      <c r="M1875" s="184"/>
      <c r="N1875" s="184"/>
      <c r="O1875" s="184"/>
      <c r="P1875" s="184"/>
      <c r="Q1875" s="184"/>
      <c r="R1875" s="184"/>
      <c r="S1875" s="184"/>
      <c r="T1875" s="184"/>
    </row>
    <row r="1876">
      <c r="A1876" s="184"/>
      <c r="B1876" s="184"/>
      <c r="C1876" s="184"/>
      <c r="D1876" s="184"/>
      <c r="E1876" s="184"/>
      <c r="F1876" s="184"/>
      <c r="G1876" s="184"/>
      <c r="H1876" s="184"/>
      <c r="I1876" s="184"/>
      <c r="J1876" s="184"/>
      <c r="K1876" s="184"/>
      <c r="L1876" s="184"/>
      <c r="M1876" s="184"/>
      <c r="N1876" s="184"/>
      <c r="O1876" s="184"/>
      <c r="P1876" s="184"/>
      <c r="Q1876" s="184"/>
      <c r="R1876" s="184"/>
      <c r="S1876" s="184"/>
      <c r="T1876" s="184"/>
    </row>
    <row r="1877">
      <c r="A1877" s="184"/>
      <c r="B1877" s="184"/>
      <c r="C1877" s="184"/>
      <c r="D1877" s="184"/>
      <c r="E1877" s="184"/>
      <c r="F1877" s="184"/>
      <c r="G1877" s="184"/>
      <c r="H1877" s="184"/>
      <c r="I1877" s="184"/>
      <c r="J1877" s="184"/>
      <c r="K1877" s="184"/>
      <c r="L1877" s="184"/>
      <c r="M1877" s="184"/>
      <c r="N1877" s="184"/>
      <c r="O1877" s="184"/>
      <c r="P1877" s="184"/>
      <c r="Q1877" s="184"/>
      <c r="R1877" s="184"/>
      <c r="S1877" s="184"/>
      <c r="T1877" s="184"/>
    </row>
    <row r="1878">
      <c r="A1878" s="184"/>
      <c r="B1878" s="184"/>
      <c r="C1878" s="184"/>
      <c r="D1878" s="184"/>
      <c r="E1878" s="184"/>
      <c r="F1878" s="184"/>
      <c r="G1878" s="184"/>
      <c r="H1878" s="184"/>
      <c r="I1878" s="184"/>
      <c r="J1878" s="184"/>
      <c r="K1878" s="184"/>
      <c r="L1878" s="184"/>
      <c r="M1878" s="184"/>
      <c r="N1878" s="184"/>
      <c r="O1878" s="184"/>
      <c r="P1878" s="184"/>
      <c r="Q1878" s="184"/>
      <c r="R1878" s="184"/>
      <c r="S1878" s="184"/>
      <c r="T1878" s="184"/>
    </row>
    <row r="1879">
      <c r="A1879" s="184"/>
      <c r="B1879" s="184"/>
      <c r="C1879" s="184"/>
      <c r="D1879" s="184"/>
      <c r="E1879" s="184"/>
      <c r="F1879" s="184"/>
      <c r="G1879" s="184"/>
      <c r="H1879" s="184"/>
      <c r="I1879" s="184"/>
      <c r="J1879" s="184"/>
      <c r="K1879" s="184"/>
      <c r="L1879" s="184"/>
      <c r="M1879" s="184"/>
      <c r="N1879" s="184"/>
      <c r="O1879" s="184"/>
      <c r="P1879" s="184"/>
      <c r="Q1879" s="184"/>
      <c r="R1879" s="184"/>
      <c r="S1879" s="184"/>
      <c r="T1879" s="184"/>
    </row>
    <row r="1880">
      <c r="A1880" s="184"/>
      <c r="B1880" s="184"/>
      <c r="C1880" s="184"/>
      <c r="D1880" s="184"/>
      <c r="E1880" s="184"/>
      <c r="F1880" s="184"/>
      <c r="G1880" s="184"/>
      <c r="H1880" s="184"/>
      <c r="I1880" s="184"/>
      <c r="J1880" s="184"/>
      <c r="K1880" s="184"/>
      <c r="L1880" s="184"/>
      <c r="M1880" s="184"/>
      <c r="N1880" s="184"/>
      <c r="O1880" s="184"/>
      <c r="P1880" s="184"/>
      <c r="Q1880" s="184"/>
      <c r="R1880" s="184"/>
      <c r="S1880" s="184"/>
      <c r="T1880" s="184"/>
    </row>
    <row r="1881">
      <c r="A1881" s="184"/>
      <c r="B1881" s="184"/>
      <c r="C1881" s="184"/>
      <c r="D1881" s="184"/>
      <c r="E1881" s="184"/>
      <c r="F1881" s="184"/>
      <c r="G1881" s="184"/>
      <c r="H1881" s="184"/>
      <c r="I1881" s="184"/>
      <c r="J1881" s="184"/>
      <c r="K1881" s="184"/>
      <c r="L1881" s="184"/>
      <c r="M1881" s="184"/>
      <c r="N1881" s="184"/>
      <c r="O1881" s="184"/>
      <c r="P1881" s="184"/>
      <c r="Q1881" s="184"/>
      <c r="R1881" s="184"/>
      <c r="S1881" s="184"/>
      <c r="T1881" s="184"/>
    </row>
    <row r="1882">
      <c r="A1882" s="184"/>
      <c r="B1882" s="184"/>
      <c r="C1882" s="184"/>
      <c r="D1882" s="184"/>
      <c r="E1882" s="184"/>
      <c r="F1882" s="184"/>
      <c r="G1882" s="184"/>
      <c r="H1882" s="184"/>
      <c r="I1882" s="184"/>
      <c r="J1882" s="184"/>
      <c r="K1882" s="184"/>
      <c r="L1882" s="184"/>
      <c r="M1882" s="184"/>
      <c r="N1882" s="184"/>
      <c r="O1882" s="184"/>
      <c r="P1882" s="184"/>
      <c r="Q1882" s="184"/>
      <c r="R1882" s="184"/>
      <c r="S1882" s="184"/>
      <c r="T1882" s="184"/>
    </row>
    <row r="1883">
      <c r="A1883" s="184"/>
      <c r="B1883" s="184"/>
      <c r="C1883" s="184"/>
      <c r="D1883" s="184"/>
      <c r="E1883" s="184"/>
      <c r="F1883" s="184"/>
      <c r="G1883" s="184"/>
      <c r="H1883" s="184"/>
      <c r="I1883" s="184"/>
      <c r="J1883" s="184"/>
      <c r="K1883" s="184"/>
      <c r="L1883" s="184"/>
      <c r="M1883" s="184"/>
      <c r="N1883" s="184"/>
      <c r="O1883" s="184"/>
      <c r="P1883" s="184"/>
      <c r="Q1883" s="184"/>
      <c r="R1883" s="184"/>
      <c r="S1883" s="184"/>
      <c r="T1883" s="184"/>
    </row>
    <row r="1884">
      <c r="A1884" s="184"/>
      <c r="B1884" s="184"/>
      <c r="C1884" s="184"/>
      <c r="D1884" s="184"/>
      <c r="E1884" s="184"/>
      <c r="F1884" s="184"/>
      <c r="G1884" s="184"/>
      <c r="H1884" s="184"/>
      <c r="I1884" s="184"/>
      <c r="J1884" s="184"/>
      <c r="K1884" s="184"/>
      <c r="L1884" s="184"/>
      <c r="M1884" s="184"/>
      <c r="N1884" s="184"/>
      <c r="O1884" s="184"/>
      <c r="P1884" s="184"/>
      <c r="Q1884" s="184"/>
      <c r="R1884" s="184"/>
      <c r="S1884" s="184"/>
      <c r="T1884" s="184"/>
    </row>
    <row r="1885">
      <c r="A1885" s="184"/>
      <c r="B1885" s="184"/>
      <c r="C1885" s="184"/>
      <c r="D1885" s="184"/>
      <c r="E1885" s="184"/>
      <c r="F1885" s="184"/>
      <c r="G1885" s="184"/>
      <c r="H1885" s="184"/>
      <c r="I1885" s="184"/>
      <c r="J1885" s="184"/>
      <c r="K1885" s="184"/>
      <c r="L1885" s="184"/>
      <c r="M1885" s="184"/>
      <c r="N1885" s="184"/>
      <c r="O1885" s="184"/>
      <c r="P1885" s="184"/>
      <c r="Q1885" s="184"/>
      <c r="R1885" s="184"/>
      <c r="S1885" s="184"/>
      <c r="T1885" s="184"/>
    </row>
    <row r="1886">
      <c r="A1886" s="184"/>
      <c r="B1886" s="184"/>
      <c r="C1886" s="184"/>
      <c r="D1886" s="184"/>
      <c r="E1886" s="184"/>
      <c r="F1886" s="184"/>
      <c r="G1886" s="184"/>
      <c r="H1886" s="184"/>
      <c r="I1886" s="184"/>
      <c r="J1886" s="184"/>
      <c r="K1886" s="184"/>
      <c r="L1886" s="184"/>
      <c r="M1886" s="184"/>
      <c r="N1886" s="184"/>
      <c r="O1886" s="184"/>
      <c r="P1886" s="184"/>
      <c r="Q1886" s="184"/>
      <c r="R1886" s="184"/>
      <c r="S1886" s="184"/>
      <c r="T1886" s="184"/>
    </row>
    <row r="1887">
      <c r="A1887" s="184"/>
      <c r="B1887" s="184"/>
      <c r="C1887" s="184"/>
      <c r="D1887" s="184"/>
      <c r="E1887" s="184"/>
      <c r="F1887" s="184"/>
      <c r="G1887" s="184"/>
      <c r="H1887" s="184"/>
      <c r="I1887" s="184"/>
      <c r="J1887" s="184"/>
      <c r="K1887" s="184"/>
      <c r="L1887" s="184"/>
      <c r="M1887" s="184"/>
      <c r="N1887" s="184"/>
      <c r="O1887" s="184"/>
      <c r="P1887" s="184"/>
      <c r="Q1887" s="184"/>
      <c r="R1887" s="184"/>
      <c r="S1887" s="184"/>
      <c r="T1887" s="184"/>
    </row>
    <row r="1888">
      <c r="A1888" s="184"/>
      <c r="B1888" s="184"/>
      <c r="C1888" s="184"/>
      <c r="D1888" s="184"/>
      <c r="E1888" s="184"/>
      <c r="F1888" s="184"/>
      <c r="G1888" s="184"/>
      <c r="H1888" s="184"/>
      <c r="I1888" s="184"/>
      <c r="J1888" s="184"/>
      <c r="K1888" s="184"/>
      <c r="L1888" s="184"/>
      <c r="M1888" s="184"/>
      <c r="N1888" s="184"/>
      <c r="O1888" s="184"/>
      <c r="P1888" s="184"/>
      <c r="Q1888" s="184"/>
      <c r="R1888" s="184"/>
      <c r="S1888" s="184"/>
      <c r="T1888" s="184"/>
    </row>
    <row r="1889">
      <c r="A1889" s="184"/>
      <c r="B1889" s="184"/>
      <c r="C1889" s="184"/>
      <c r="D1889" s="184"/>
      <c r="E1889" s="184"/>
      <c r="F1889" s="184"/>
      <c r="G1889" s="184"/>
      <c r="H1889" s="184"/>
      <c r="I1889" s="184"/>
      <c r="J1889" s="184"/>
      <c r="K1889" s="184"/>
      <c r="L1889" s="184"/>
      <c r="M1889" s="184"/>
      <c r="N1889" s="184"/>
      <c r="O1889" s="184"/>
      <c r="P1889" s="184"/>
      <c r="Q1889" s="184"/>
      <c r="R1889" s="184"/>
      <c r="S1889" s="184"/>
      <c r="T1889" s="184"/>
    </row>
    <row r="1890">
      <c r="A1890" s="184"/>
      <c r="B1890" s="184"/>
      <c r="C1890" s="184"/>
      <c r="D1890" s="184"/>
      <c r="E1890" s="184"/>
      <c r="F1890" s="184"/>
      <c r="G1890" s="184"/>
      <c r="H1890" s="184"/>
      <c r="I1890" s="184"/>
      <c r="J1890" s="184"/>
      <c r="K1890" s="184"/>
      <c r="L1890" s="184"/>
      <c r="M1890" s="184"/>
      <c r="N1890" s="184"/>
      <c r="O1890" s="184"/>
      <c r="P1890" s="184"/>
      <c r="Q1890" s="184"/>
      <c r="R1890" s="184"/>
      <c r="S1890" s="184"/>
      <c r="T1890" s="184"/>
    </row>
    <row r="1891">
      <c r="A1891" s="184"/>
      <c r="B1891" s="184"/>
      <c r="C1891" s="184"/>
      <c r="D1891" s="184"/>
      <c r="E1891" s="184"/>
      <c r="F1891" s="184"/>
      <c r="G1891" s="184"/>
      <c r="H1891" s="184"/>
      <c r="I1891" s="184"/>
      <c r="J1891" s="184"/>
      <c r="K1891" s="184"/>
      <c r="L1891" s="184"/>
      <c r="M1891" s="184"/>
      <c r="N1891" s="184"/>
      <c r="O1891" s="184"/>
      <c r="P1891" s="184"/>
      <c r="Q1891" s="184"/>
      <c r="R1891" s="184"/>
      <c r="S1891" s="184"/>
      <c r="T1891" s="184"/>
    </row>
    <row r="1892">
      <c r="A1892" s="184"/>
      <c r="B1892" s="184"/>
      <c r="C1892" s="184"/>
      <c r="D1892" s="184"/>
      <c r="E1892" s="184"/>
      <c r="F1892" s="184"/>
      <c r="G1892" s="184"/>
      <c r="H1892" s="184"/>
      <c r="I1892" s="184"/>
      <c r="J1892" s="184"/>
      <c r="K1892" s="184"/>
      <c r="L1892" s="184"/>
      <c r="M1892" s="184"/>
      <c r="N1892" s="184"/>
      <c r="O1892" s="184"/>
      <c r="P1892" s="184"/>
      <c r="Q1892" s="184"/>
      <c r="R1892" s="184"/>
      <c r="S1892" s="184"/>
      <c r="T1892" s="184"/>
    </row>
    <row r="1893">
      <c r="A1893" s="184"/>
      <c r="B1893" s="184"/>
      <c r="C1893" s="184"/>
      <c r="D1893" s="184"/>
      <c r="E1893" s="184"/>
      <c r="F1893" s="184"/>
      <c r="G1893" s="184"/>
      <c r="H1893" s="184"/>
      <c r="I1893" s="184"/>
      <c r="J1893" s="184"/>
      <c r="K1893" s="184"/>
      <c r="L1893" s="184"/>
      <c r="M1893" s="184"/>
      <c r="N1893" s="184"/>
      <c r="O1893" s="184"/>
      <c r="P1893" s="184"/>
      <c r="Q1893" s="184"/>
      <c r="R1893" s="184"/>
      <c r="S1893" s="184"/>
      <c r="T1893" s="184"/>
    </row>
    <row r="1894">
      <c r="A1894" s="184"/>
      <c r="B1894" s="184"/>
      <c r="C1894" s="184"/>
      <c r="D1894" s="184"/>
      <c r="E1894" s="184"/>
      <c r="F1894" s="184"/>
      <c r="G1894" s="184"/>
      <c r="H1894" s="184"/>
      <c r="I1894" s="184"/>
      <c r="J1894" s="184"/>
      <c r="K1894" s="184"/>
      <c r="L1894" s="184"/>
      <c r="M1894" s="184"/>
      <c r="N1894" s="184"/>
      <c r="O1894" s="184"/>
      <c r="P1894" s="184"/>
      <c r="Q1894" s="184"/>
      <c r="R1894" s="184"/>
      <c r="S1894" s="184"/>
      <c r="T1894" s="184"/>
    </row>
    <row r="1895">
      <c r="A1895" s="184"/>
      <c r="B1895" s="184"/>
      <c r="C1895" s="184"/>
      <c r="D1895" s="184"/>
      <c r="E1895" s="184"/>
      <c r="F1895" s="184"/>
      <c r="G1895" s="184"/>
      <c r="H1895" s="184"/>
      <c r="I1895" s="184"/>
      <c r="J1895" s="184"/>
      <c r="K1895" s="184"/>
      <c r="L1895" s="184"/>
      <c r="M1895" s="184"/>
      <c r="N1895" s="184"/>
      <c r="O1895" s="184"/>
      <c r="P1895" s="184"/>
      <c r="Q1895" s="184"/>
      <c r="R1895" s="184"/>
      <c r="S1895" s="184"/>
      <c r="T1895" s="184"/>
    </row>
    <row r="1896">
      <c r="A1896" s="184"/>
      <c r="B1896" s="184"/>
      <c r="C1896" s="184"/>
      <c r="D1896" s="184"/>
      <c r="E1896" s="184"/>
      <c r="F1896" s="184"/>
      <c r="G1896" s="184"/>
      <c r="H1896" s="184"/>
      <c r="I1896" s="184"/>
      <c r="J1896" s="184"/>
      <c r="K1896" s="184"/>
      <c r="L1896" s="184"/>
      <c r="M1896" s="184"/>
      <c r="N1896" s="184"/>
      <c r="O1896" s="184"/>
      <c r="P1896" s="184"/>
      <c r="Q1896" s="184"/>
      <c r="R1896" s="184"/>
      <c r="S1896" s="184"/>
      <c r="T1896" s="184"/>
    </row>
    <row r="1897">
      <c r="A1897" s="184"/>
      <c r="B1897" s="184"/>
      <c r="C1897" s="184"/>
      <c r="D1897" s="184"/>
      <c r="E1897" s="184"/>
      <c r="F1897" s="184"/>
      <c r="G1897" s="184"/>
      <c r="H1897" s="184"/>
      <c r="I1897" s="184"/>
      <c r="J1897" s="184"/>
      <c r="K1897" s="184"/>
      <c r="L1897" s="184"/>
      <c r="M1897" s="184"/>
      <c r="N1897" s="184"/>
      <c r="O1897" s="184"/>
      <c r="P1897" s="184"/>
      <c r="Q1897" s="184"/>
      <c r="R1897" s="184"/>
      <c r="S1897" s="184"/>
      <c r="T1897" s="184"/>
    </row>
    <row r="1898">
      <c r="A1898" s="184"/>
      <c r="B1898" s="184"/>
      <c r="C1898" s="184"/>
      <c r="D1898" s="184"/>
      <c r="E1898" s="184"/>
      <c r="F1898" s="184"/>
      <c r="G1898" s="184"/>
      <c r="H1898" s="184"/>
      <c r="I1898" s="184"/>
      <c r="J1898" s="184"/>
      <c r="K1898" s="184"/>
      <c r="L1898" s="184"/>
      <c r="M1898" s="184"/>
      <c r="N1898" s="184"/>
      <c r="O1898" s="184"/>
      <c r="P1898" s="184"/>
      <c r="Q1898" s="184"/>
      <c r="R1898" s="184"/>
      <c r="S1898" s="184"/>
      <c r="T1898" s="184"/>
    </row>
    <row r="1899">
      <c r="A1899" s="184"/>
      <c r="B1899" s="184"/>
      <c r="C1899" s="184"/>
      <c r="D1899" s="184"/>
      <c r="E1899" s="184"/>
      <c r="F1899" s="184"/>
      <c r="G1899" s="184"/>
      <c r="H1899" s="184"/>
      <c r="I1899" s="184"/>
      <c r="J1899" s="184"/>
      <c r="K1899" s="184"/>
      <c r="L1899" s="184"/>
      <c r="M1899" s="184"/>
      <c r="N1899" s="184"/>
      <c r="O1899" s="184"/>
      <c r="P1899" s="184"/>
      <c r="Q1899" s="184"/>
      <c r="R1899" s="184"/>
      <c r="S1899" s="184"/>
      <c r="T1899" s="184"/>
    </row>
    <row r="1900">
      <c r="A1900" s="184"/>
      <c r="B1900" s="184"/>
      <c r="C1900" s="184"/>
      <c r="D1900" s="184"/>
      <c r="E1900" s="184"/>
      <c r="F1900" s="184"/>
      <c r="G1900" s="184"/>
      <c r="H1900" s="184"/>
      <c r="I1900" s="184"/>
      <c r="J1900" s="184"/>
      <c r="K1900" s="184"/>
      <c r="L1900" s="184"/>
      <c r="M1900" s="184"/>
      <c r="N1900" s="184"/>
      <c r="O1900" s="184"/>
      <c r="P1900" s="184"/>
      <c r="Q1900" s="184"/>
      <c r="R1900" s="184"/>
      <c r="S1900" s="184"/>
      <c r="T1900" s="184"/>
    </row>
    <row r="1901">
      <c r="A1901" s="184"/>
      <c r="B1901" s="184"/>
      <c r="C1901" s="184"/>
      <c r="D1901" s="184"/>
      <c r="E1901" s="184"/>
      <c r="F1901" s="184"/>
      <c r="G1901" s="184"/>
      <c r="H1901" s="184"/>
      <c r="I1901" s="184"/>
      <c r="J1901" s="184"/>
      <c r="K1901" s="184"/>
      <c r="L1901" s="184"/>
      <c r="M1901" s="184"/>
      <c r="N1901" s="184"/>
      <c r="O1901" s="184"/>
      <c r="P1901" s="184"/>
      <c r="Q1901" s="184"/>
      <c r="R1901" s="184"/>
      <c r="S1901" s="184"/>
      <c r="T1901" s="184"/>
    </row>
    <row r="1902">
      <c r="A1902" s="184"/>
      <c r="B1902" s="184"/>
      <c r="C1902" s="184"/>
      <c r="D1902" s="184"/>
      <c r="E1902" s="184"/>
      <c r="F1902" s="184"/>
      <c r="G1902" s="184"/>
      <c r="H1902" s="184"/>
      <c r="I1902" s="184"/>
      <c r="J1902" s="184"/>
      <c r="K1902" s="184"/>
      <c r="L1902" s="184"/>
      <c r="M1902" s="184"/>
      <c r="N1902" s="184"/>
      <c r="O1902" s="184"/>
      <c r="P1902" s="184"/>
      <c r="Q1902" s="184"/>
      <c r="R1902" s="184"/>
      <c r="S1902" s="184"/>
      <c r="T1902" s="184"/>
    </row>
    <row r="1903">
      <c r="A1903" s="184"/>
      <c r="B1903" s="184"/>
      <c r="C1903" s="184"/>
      <c r="D1903" s="184"/>
      <c r="E1903" s="184"/>
      <c r="F1903" s="184"/>
      <c r="G1903" s="184"/>
      <c r="H1903" s="184"/>
      <c r="I1903" s="184"/>
      <c r="J1903" s="184"/>
      <c r="K1903" s="184"/>
      <c r="L1903" s="184"/>
      <c r="M1903" s="184"/>
      <c r="N1903" s="184"/>
      <c r="O1903" s="184"/>
      <c r="P1903" s="184"/>
      <c r="Q1903" s="184"/>
      <c r="R1903" s="184"/>
      <c r="S1903" s="184"/>
      <c r="T1903" s="184"/>
    </row>
    <row r="1904">
      <c r="A1904" s="184"/>
      <c r="B1904" s="184"/>
      <c r="C1904" s="184"/>
      <c r="D1904" s="184"/>
      <c r="E1904" s="184"/>
      <c r="F1904" s="184"/>
      <c r="G1904" s="184"/>
      <c r="H1904" s="184"/>
      <c r="I1904" s="184"/>
      <c r="J1904" s="184"/>
      <c r="K1904" s="184"/>
      <c r="L1904" s="184"/>
      <c r="M1904" s="184"/>
      <c r="N1904" s="184"/>
      <c r="O1904" s="184"/>
      <c r="P1904" s="184"/>
      <c r="Q1904" s="184"/>
      <c r="R1904" s="184"/>
      <c r="S1904" s="184"/>
      <c r="T1904" s="184"/>
    </row>
    <row r="1905">
      <c r="A1905" s="184"/>
      <c r="B1905" s="184"/>
      <c r="C1905" s="184"/>
      <c r="D1905" s="184"/>
      <c r="E1905" s="184"/>
      <c r="F1905" s="184"/>
      <c r="G1905" s="184"/>
      <c r="H1905" s="184"/>
      <c r="I1905" s="184"/>
      <c r="J1905" s="184"/>
      <c r="K1905" s="184"/>
      <c r="L1905" s="184"/>
      <c r="M1905" s="184"/>
      <c r="N1905" s="184"/>
      <c r="O1905" s="184"/>
      <c r="P1905" s="184"/>
      <c r="Q1905" s="184"/>
      <c r="R1905" s="184"/>
      <c r="S1905" s="184"/>
      <c r="T1905" s="184"/>
    </row>
    <row r="1906">
      <c r="A1906" s="184"/>
      <c r="B1906" s="184"/>
      <c r="C1906" s="184"/>
      <c r="D1906" s="184"/>
      <c r="E1906" s="184"/>
      <c r="F1906" s="184"/>
      <c r="G1906" s="184"/>
      <c r="H1906" s="184"/>
      <c r="I1906" s="184"/>
      <c r="J1906" s="184"/>
      <c r="K1906" s="184"/>
      <c r="L1906" s="184"/>
      <c r="M1906" s="184"/>
      <c r="N1906" s="184"/>
      <c r="O1906" s="184"/>
      <c r="P1906" s="184"/>
      <c r="Q1906" s="184"/>
      <c r="R1906" s="184"/>
      <c r="S1906" s="184"/>
      <c r="T1906" s="184"/>
    </row>
    <row r="1907">
      <c r="A1907" s="184"/>
      <c r="B1907" s="184"/>
      <c r="C1907" s="184"/>
      <c r="D1907" s="184"/>
      <c r="E1907" s="184"/>
      <c r="F1907" s="184"/>
      <c r="G1907" s="184"/>
      <c r="H1907" s="184"/>
      <c r="I1907" s="184"/>
      <c r="J1907" s="184"/>
      <c r="K1907" s="184"/>
      <c r="L1907" s="184"/>
      <c r="M1907" s="184"/>
      <c r="N1907" s="184"/>
      <c r="O1907" s="184"/>
      <c r="P1907" s="184"/>
      <c r="Q1907" s="184"/>
      <c r="R1907" s="184"/>
      <c r="S1907" s="184"/>
      <c r="T1907" s="184"/>
    </row>
    <row r="1908">
      <c r="A1908" s="184"/>
      <c r="B1908" s="184"/>
      <c r="C1908" s="184"/>
      <c r="D1908" s="184"/>
      <c r="E1908" s="184"/>
      <c r="F1908" s="184"/>
      <c r="G1908" s="184"/>
      <c r="H1908" s="184"/>
      <c r="I1908" s="184"/>
      <c r="J1908" s="184"/>
      <c r="K1908" s="184"/>
      <c r="L1908" s="184"/>
      <c r="M1908" s="184"/>
      <c r="N1908" s="184"/>
      <c r="O1908" s="184"/>
      <c r="P1908" s="184"/>
      <c r="Q1908" s="184"/>
      <c r="R1908" s="184"/>
      <c r="S1908" s="184"/>
      <c r="T1908" s="184"/>
    </row>
    <row r="1909">
      <c r="A1909" s="184"/>
      <c r="B1909" s="184"/>
      <c r="C1909" s="184"/>
      <c r="D1909" s="184"/>
      <c r="E1909" s="184"/>
      <c r="F1909" s="184"/>
      <c r="G1909" s="184"/>
      <c r="H1909" s="184"/>
      <c r="I1909" s="184"/>
      <c r="J1909" s="184"/>
      <c r="K1909" s="184"/>
      <c r="L1909" s="184"/>
      <c r="M1909" s="184"/>
      <c r="N1909" s="184"/>
      <c r="O1909" s="184"/>
      <c r="P1909" s="184"/>
      <c r="Q1909" s="184"/>
      <c r="R1909" s="184"/>
      <c r="S1909" s="184"/>
      <c r="T1909" s="184"/>
    </row>
    <row r="1910">
      <c r="A1910" s="184"/>
      <c r="B1910" s="184"/>
      <c r="C1910" s="184"/>
      <c r="D1910" s="184"/>
      <c r="E1910" s="184"/>
      <c r="F1910" s="184"/>
      <c r="G1910" s="184"/>
      <c r="H1910" s="184"/>
      <c r="I1910" s="184"/>
      <c r="J1910" s="184"/>
      <c r="K1910" s="184"/>
      <c r="L1910" s="184"/>
      <c r="M1910" s="184"/>
      <c r="N1910" s="184"/>
      <c r="O1910" s="184"/>
      <c r="P1910" s="184"/>
      <c r="Q1910" s="184"/>
      <c r="R1910" s="184"/>
      <c r="S1910" s="184"/>
      <c r="T1910" s="184"/>
    </row>
    <row r="1911">
      <c r="A1911" s="184"/>
      <c r="B1911" s="184"/>
      <c r="C1911" s="184"/>
      <c r="D1911" s="184"/>
      <c r="E1911" s="184"/>
      <c r="F1911" s="184"/>
      <c r="G1911" s="184"/>
      <c r="H1911" s="184"/>
      <c r="I1911" s="184"/>
      <c r="J1911" s="184"/>
      <c r="K1911" s="184"/>
      <c r="L1911" s="184"/>
      <c r="M1911" s="184"/>
      <c r="N1911" s="184"/>
      <c r="O1911" s="184"/>
      <c r="P1911" s="184"/>
      <c r="Q1911" s="184"/>
      <c r="R1911" s="184"/>
      <c r="S1911" s="184"/>
      <c r="T1911" s="184"/>
    </row>
    <row r="1912">
      <c r="A1912" s="184"/>
      <c r="B1912" s="184"/>
      <c r="C1912" s="184"/>
      <c r="D1912" s="184"/>
      <c r="E1912" s="184"/>
      <c r="F1912" s="184"/>
      <c r="G1912" s="184"/>
      <c r="H1912" s="184"/>
      <c r="I1912" s="184"/>
      <c r="J1912" s="184"/>
      <c r="K1912" s="184"/>
      <c r="L1912" s="184"/>
      <c r="M1912" s="184"/>
      <c r="N1912" s="184"/>
      <c r="O1912" s="184"/>
      <c r="P1912" s="184"/>
      <c r="Q1912" s="184"/>
      <c r="R1912" s="184"/>
      <c r="S1912" s="184"/>
      <c r="T1912" s="184"/>
    </row>
    <row r="1913">
      <c r="A1913" s="184"/>
      <c r="B1913" s="184"/>
      <c r="C1913" s="184"/>
      <c r="D1913" s="184"/>
      <c r="E1913" s="184"/>
      <c r="F1913" s="184"/>
      <c r="G1913" s="184"/>
      <c r="H1913" s="184"/>
      <c r="I1913" s="184"/>
      <c r="J1913" s="184"/>
      <c r="K1913" s="184"/>
      <c r="L1913" s="184"/>
      <c r="M1913" s="184"/>
      <c r="N1913" s="184"/>
      <c r="O1913" s="184"/>
      <c r="P1913" s="184"/>
      <c r="Q1913" s="184"/>
      <c r="R1913" s="184"/>
      <c r="S1913" s="184"/>
      <c r="T1913" s="184"/>
    </row>
    <row r="1914">
      <c r="A1914" s="184"/>
      <c r="B1914" s="184"/>
      <c r="C1914" s="184"/>
      <c r="D1914" s="184"/>
      <c r="E1914" s="184"/>
      <c r="F1914" s="184"/>
      <c r="G1914" s="184"/>
      <c r="H1914" s="184"/>
      <c r="I1914" s="184"/>
      <c r="J1914" s="184"/>
      <c r="K1914" s="184"/>
      <c r="L1914" s="184"/>
      <c r="M1914" s="184"/>
      <c r="N1914" s="184"/>
      <c r="O1914" s="184"/>
      <c r="P1914" s="184"/>
      <c r="Q1914" s="184"/>
      <c r="R1914" s="184"/>
      <c r="S1914" s="184"/>
      <c r="T1914" s="184"/>
    </row>
    <row r="1915">
      <c r="A1915" s="184"/>
      <c r="B1915" s="184"/>
      <c r="C1915" s="184"/>
      <c r="D1915" s="184"/>
      <c r="E1915" s="184"/>
      <c r="F1915" s="184"/>
      <c r="G1915" s="184"/>
      <c r="H1915" s="184"/>
      <c r="I1915" s="184"/>
      <c r="J1915" s="184"/>
      <c r="K1915" s="184"/>
      <c r="L1915" s="184"/>
      <c r="M1915" s="184"/>
      <c r="N1915" s="184"/>
      <c r="O1915" s="184"/>
      <c r="P1915" s="184"/>
      <c r="Q1915" s="184"/>
      <c r="R1915" s="184"/>
      <c r="S1915" s="184"/>
      <c r="T1915" s="184"/>
    </row>
    <row r="1916">
      <c r="A1916" s="184"/>
      <c r="B1916" s="184"/>
      <c r="C1916" s="184"/>
      <c r="D1916" s="184"/>
      <c r="E1916" s="184"/>
      <c r="F1916" s="184"/>
      <c r="G1916" s="184"/>
      <c r="H1916" s="184"/>
      <c r="I1916" s="184"/>
      <c r="J1916" s="184"/>
      <c r="K1916" s="184"/>
      <c r="L1916" s="184"/>
      <c r="M1916" s="184"/>
      <c r="N1916" s="184"/>
      <c r="O1916" s="184"/>
      <c r="P1916" s="184"/>
      <c r="Q1916" s="184"/>
      <c r="R1916" s="184"/>
      <c r="S1916" s="184"/>
      <c r="T1916" s="184"/>
    </row>
    <row r="1917">
      <c r="A1917" s="184"/>
      <c r="B1917" s="184"/>
      <c r="C1917" s="184"/>
      <c r="D1917" s="184"/>
      <c r="E1917" s="184"/>
      <c r="F1917" s="184"/>
      <c r="G1917" s="184"/>
      <c r="H1917" s="184"/>
      <c r="I1917" s="184"/>
      <c r="J1917" s="184"/>
      <c r="K1917" s="184"/>
      <c r="L1917" s="184"/>
      <c r="M1917" s="184"/>
      <c r="N1917" s="184"/>
      <c r="O1917" s="184"/>
      <c r="P1917" s="184"/>
      <c r="Q1917" s="184"/>
      <c r="R1917" s="184"/>
      <c r="S1917" s="184"/>
      <c r="T1917" s="184"/>
    </row>
    <row r="1918">
      <c r="A1918" s="184"/>
      <c r="B1918" s="184"/>
      <c r="C1918" s="184"/>
      <c r="D1918" s="184"/>
      <c r="E1918" s="184"/>
      <c r="F1918" s="184"/>
      <c r="G1918" s="184"/>
      <c r="H1918" s="184"/>
      <c r="I1918" s="184"/>
      <c r="J1918" s="184"/>
      <c r="K1918" s="184"/>
      <c r="L1918" s="184"/>
      <c r="M1918" s="184"/>
      <c r="N1918" s="184"/>
      <c r="O1918" s="184"/>
      <c r="P1918" s="184"/>
      <c r="Q1918" s="184"/>
      <c r="R1918" s="184"/>
      <c r="S1918" s="184"/>
      <c r="T1918" s="184"/>
    </row>
    <row r="1919">
      <c r="A1919" s="184"/>
      <c r="B1919" s="184"/>
      <c r="C1919" s="184"/>
      <c r="D1919" s="184"/>
      <c r="E1919" s="184"/>
      <c r="F1919" s="184"/>
      <c r="G1919" s="184"/>
      <c r="H1919" s="184"/>
      <c r="I1919" s="184"/>
      <c r="J1919" s="184"/>
      <c r="K1919" s="184"/>
      <c r="L1919" s="184"/>
      <c r="M1919" s="184"/>
      <c r="N1919" s="184"/>
      <c r="O1919" s="184"/>
      <c r="P1919" s="184"/>
      <c r="Q1919" s="184"/>
      <c r="R1919" s="184"/>
      <c r="S1919" s="184"/>
      <c r="T1919" s="184"/>
    </row>
    <row r="1920">
      <c r="A1920" s="184"/>
      <c r="B1920" s="184"/>
      <c r="C1920" s="184"/>
      <c r="D1920" s="184"/>
      <c r="E1920" s="184"/>
      <c r="F1920" s="184"/>
      <c r="G1920" s="184"/>
      <c r="H1920" s="184"/>
      <c r="I1920" s="184"/>
      <c r="J1920" s="184"/>
      <c r="K1920" s="184"/>
      <c r="L1920" s="184"/>
      <c r="M1920" s="184"/>
      <c r="N1920" s="184"/>
      <c r="O1920" s="184"/>
      <c r="P1920" s="184"/>
      <c r="Q1920" s="184"/>
      <c r="R1920" s="184"/>
      <c r="S1920" s="184"/>
      <c r="T1920" s="184"/>
    </row>
    <row r="1921">
      <c r="A1921" s="184"/>
      <c r="B1921" s="184"/>
      <c r="C1921" s="184"/>
      <c r="D1921" s="184"/>
      <c r="E1921" s="184"/>
      <c r="F1921" s="184"/>
      <c r="G1921" s="184"/>
      <c r="H1921" s="184"/>
      <c r="I1921" s="184"/>
      <c r="J1921" s="184"/>
      <c r="K1921" s="184"/>
      <c r="L1921" s="184"/>
      <c r="M1921" s="184"/>
      <c r="N1921" s="184"/>
      <c r="O1921" s="184"/>
      <c r="P1921" s="184"/>
      <c r="Q1921" s="184"/>
      <c r="R1921" s="184"/>
      <c r="S1921" s="184"/>
      <c r="T1921" s="184"/>
    </row>
    <row r="1922">
      <c r="A1922" s="184"/>
      <c r="B1922" s="184"/>
      <c r="C1922" s="184"/>
      <c r="D1922" s="184"/>
      <c r="E1922" s="184"/>
      <c r="F1922" s="184"/>
      <c r="G1922" s="184"/>
      <c r="H1922" s="184"/>
      <c r="I1922" s="184"/>
      <c r="J1922" s="184"/>
      <c r="K1922" s="184"/>
      <c r="L1922" s="184"/>
      <c r="M1922" s="184"/>
      <c r="N1922" s="184"/>
      <c r="O1922" s="184"/>
      <c r="P1922" s="184"/>
      <c r="Q1922" s="184"/>
      <c r="R1922" s="184"/>
      <c r="S1922" s="184"/>
      <c r="T1922" s="184"/>
    </row>
    <row r="1923">
      <c r="A1923" s="184"/>
      <c r="B1923" s="184"/>
      <c r="C1923" s="184"/>
      <c r="D1923" s="184"/>
      <c r="E1923" s="184"/>
      <c r="F1923" s="184"/>
      <c r="G1923" s="184"/>
      <c r="H1923" s="184"/>
      <c r="I1923" s="184"/>
      <c r="J1923" s="184"/>
      <c r="K1923" s="184"/>
      <c r="L1923" s="184"/>
      <c r="M1923" s="184"/>
      <c r="N1923" s="184"/>
      <c r="O1923" s="184"/>
      <c r="P1923" s="184"/>
      <c r="Q1923" s="184"/>
      <c r="R1923" s="184"/>
      <c r="S1923" s="184"/>
      <c r="T1923" s="184"/>
    </row>
    <row r="1924">
      <c r="A1924" s="184"/>
      <c r="B1924" s="184"/>
      <c r="C1924" s="184"/>
      <c r="D1924" s="184"/>
      <c r="E1924" s="184"/>
      <c r="F1924" s="184"/>
      <c r="G1924" s="184"/>
      <c r="H1924" s="184"/>
      <c r="I1924" s="184"/>
      <c r="J1924" s="184"/>
      <c r="K1924" s="184"/>
      <c r="L1924" s="184"/>
      <c r="M1924" s="184"/>
      <c r="N1924" s="184"/>
      <c r="O1924" s="184"/>
      <c r="P1924" s="184"/>
      <c r="Q1924" s="184"/>
      <c r="R1924" s="184"/>
      <c r="S1924" s="184"/>
      <c r="T1924" s="184"/>
    </row>
    <row r="1925">
      <c r="A1925" s="184"/>
      <c r="B1925" s="184"/>
      <c r="C1925" s="184"/>
      <c r="D1925" s="184"/>
      <c r="E1925" s="184"/>
      <c r="F1925" s="184"/>
      <c r="G1925" s="184"/>
      <c r="H1925" s="184"/>
      <c r="I1925" s="184"/>
      <c r="J1925" s="184"/>
      <c r="K1925" s="184"/>
      <c r="L1925" s="184"/>
      <c r="M1925" s="184"/>
      <c r="N1925" s="184"/>
      <c r="O1925" s="184"/>
      <c r="P1925" s="184"/>
      <c r="Q1925" s="184"/>
      <c r="R1925" s="184"/>
      <c r="S1925" s="184"/>
      <c r="T1925" s="184"/>
    </row>
    <row r="1926">
      <c r="A1926" s="184"/>
      <c r="B1926" s="184"/>
      <c r="C1926" s="184"/>
      <c r="D1926" s="184"/>
      <c r="E1926" s="184"/>
      <c r="F1926" s="184"/>
      <c r="G1926" s="184"/>
      <c r="H1926" s="184"/>
      <c r="I1926" s="184"/>
      <c r="J1926" s="184"/>
      <c r="K1926" s="184"/>
      <c r="L1926" s="184"/>
      <c r="M1926" s="184"/>
      <c r="N1926" s="184"/>
      <c r="O1926" s="184"/>
      <c r="P1926" s="184"/>
      <c r="Q1926" s="184"/>
      <c r="R1926" s="184"/>
      <c r="S1926" s="184"/>
      <c r="T1926" s="184"/>
    </row>
    <row r="1927">
      <c r="A1927" s="184"/>
      <c r="B1927" s="184"/>
      <c r="C1927" s="184"/>
      <c r="D1927" s="184"/>
      <c r="E1927" s="184"/>
      <c r="F1927" s="184"/>
      <c r="G1927" s="184"/>
      <c r="H1927" s="184"/>
      <c r="I1927" s="184"/>
      <c r="J1927" s="184"/>
      <c r="K1927" s="184"/>
      <c r="L1927" s="184"/>
      <c r="M1927" s="184"/>
      <c r="N1927" s="184"/>
      <c r="O1927" s="184"/>
      <c r="P1927" s="184"/>
      <c r="Q1927" s="184"/>
      <c r="R1927" s="184"/>
      <c r="S1927" s="184"/>
      <c r="T1927" s="184"/>
    </row>
    <row r="1928">
      <c r="A1928" s="184"/>
      <c r="B1928" s="184"/>
      <c r="C1928" s="184"/>
      <c r="D1928" s="184"/>
      <c r="E1928" s="184"/>
      <c r="F1928" s="184"/>
      <c r="G1928" s="184"/>
      <c r="H1928" s="184"/>
      <c r="I1928" s="184"/>
      <c r="J1928" s="184"/>
      <c r="K1928" s="184"/>
      <c r="L1928" s="184"/>
      <c r="M1928" s="184"/>
      <c r="N1928" s="184"/>
      <c r="O1928" s="184"/>
      <c r="P1928" s="184"/>
      <c r="Q1928" s="184"/>
      <c r="R1928" s="184"/>
      <c r="S1928" s="184"/>
      <c r="T1928" s="184"/>
    </row>
    <row r="1929">
      <c r="A1929" s="184"/>
      <c r="B1929" s="184"/>
      <c r="C1929" s="184"/>
      <c r="D1929" s="184"/>
      <c r="E1929" s="184"/>
      <c r="F1929" s="184"/>
      <c r="G1929" s="184"/>
      <c r="H1929" s="184"/>
      <c r="I1929" s="184"/>
      <c r="J1929" s="184"/>
      <c r="K1929" s="184"/>
      <c r="L1929" s="184"/>
      <c r="M1929" s="184"/>
      <c r="N1929" s="184"/>
      <c r="O1929" s="184"/>
      <c r="P1929" s="184"/>
      <c r="Q1929" s="184"/>
      <c r="R1929" s="184"/>
      <c r="S1929" s="184"/>
      <c r="T1929" s="184"/>
    </row>
    <row r="1930">
      <c r="A1930" s="184"/>
      <c r="B1930" s="184"/>
      <c r="C1930" s="184"/>
      <c r="D1930" s="184"/>
      <c r="E1930" s="184"/>
      <c r="F1930" s="184"/>
      <c r="G1930" s="184"/>
      <c r="H1930" s="184"/>
      <c r="I1930" s="184"/>
      <c r="J1930" s="184"/>
      <c r="K1930" s="184"/>
      <c r="L1930" s="184"/>
      <c r="M1930" s="184"/>
      <c r="N1930" s="184"/>
      <c r="O1930" s="184"/>
      <c r="P1930" s="184"/>
      <c r="Q1930" s="184"/>
      <c r="R1930" s="184"/>
      <c r="S1930" s="184"/>
      <c r="T1930" s="184"/>
    </row>
    <row r="1931">
      <c r="A1931" s="184"/>
      <c r="B1931" s="184"/>
      <c r="C1931" s="184"/>
      <c r="D1931" s="184"/>
      <c r="E1931" s="184"/>
      <c r="F1931" s="184"/>
      <c r="G1931" s="184"/>
      <c r="H1931" s="184"/>
      <c r="I1931" s="184"/>
      <c r="J1931" s="184"/>
      <c r="K1931" s="184"/>
      <c r="L1931" s="184"/>
      <c r="M1931" s="184"/>
      <c r="N1931" s="184"/>
      <c r="O1931" s="184"/>
      <c r="P1931" s="184"/>
      <c r="Q1931" s="184"/>
      <c r="R1931" s="184"/>
      <c r="S1931" s="184"/>
      <c r="T1931" s="184"/>
    </row>
    <row r="1932">
      <c r="A1932" s="184"/>
      <c r="B1932" s="184"/>
      <c r="C1932" s="184"/>
      <c r="D1932" s="184"/>
      <c r="E1932" s="184"/>
      <c r="F1932" s="184"/>
      <c r="G1932" s="184"/>
      <c r="H1932" s="184"/>
      <c r="I1932" s="184"/>
      <c r="J1932" s="184"/>
      <c r="K1932" s="184"/>
      <c r="L1932" s="184"/>
      <c r="M1932" s="184"/>
      <c r="N1932" s="184"/>
      <c r="O1932" s="184"/>
      <c r="P1932" s="184"/>
      <c r="Q1932" s="184"/>
      <c r="R1932" s="184"/>
      <c r="S1932" s="184"/>
      <c r="T1932" s="184"/>
    </row>
    <row r="1933">
      <c r="A1933" s="184"/>
      <c r="B1933" s="184"/>
      <c r="C1933" s="184"/>
      <c r="D1933" s="184"/>
      <c r="E1933" s="184"/>
      <c r="F1933" s="184"/>
      <c r="G1933" s="184"/>
      <c r="H1933" s="184"/>
      <c r="I1933" s="184"/>
      <c r="J1933" s="184"/>
      <c r="K1933" s="184"/>
      <c r="L1933" s="184"/>
      <c r="M1933" s="184"/>
      <c r="N1933" s="184"/>
      <c r="O1933" s="184"/>
      <c r="P1933" s="184"/>
      <c r="Q1933" s="184"/>
      <c r="R1933" s="184"/>
      <c r="S1933" s="184"/>
      <c r="T1933" s="184"/>
    </row>
    <row r="1934">
      <c r="A1934" s="184"/>
      <c r="B1934" s="184"/>
      <c r="C1934" s="184"/>
      <c r="D1934" s="184"/>
      <c r="E1934" s="184"/>
      <c r="F1934" s="184"/>
      <c r="G1934" s="184"/>
      <c r="H1934" s="184"/>
      <c r="I1934" s="184"/>
      <c r="J1934" s="184"/>
      <c r="K1934" s="184"/>
      <c r="L1934" s="184"/>
      <c r="M1934" s="184"/>
      <c r="N1934" s="184"/>
      <c r="O1934" s="184"/>
      <c r="P1934" s="184"/>
      <c r="Q1934" s="184"/>
      <c r="R1934" s="184"/>
      <c r="S1934" s="184"/>
      <c r="T1934" s="184"/>
    </row>
    <row r="1935">
      <c r="A1935" s="184"/>
      <c r="B1935" s="184"/>
      <c r="C1935" s="184"/>
      <c r="D1935" s="184"/>
      <c r="E1935" s="184"/>
      <c r="F1935" s="184"/>
      <c r="G1935" s="184"/>
      <c r="H1935" s="184"/>
      <c r="I1935" s="184"/>
      <c r="J1935" s="184"/>
      <c r="K1935" s="184"/>
      <c r="L1935" s="184"/>
      <c r="M1935" s="184"/>
      <c r="N1935" s="184"/>
      <c r="O1935" s="184"/>
      <c r="P1935" s="184"/>
      <c r="Q1935" s="184"/>
      <c r="R1935" s="184"/>
      <c r="S1935" s="184"/>
      <c r="T1935" s="184"/>
    </row>
    <row r="1936">
      <c r="A1936" s="184"/>
      <c r="B1936" s="184"/>
      <c r="C1936" s="184"/>
      <c r="D1936" s="184"/>
      <c r="E1936" s="184"/>
      <c r="F1936" s="184"/>
      <c r="G1936" s="184"/>
      <c r="H1936" s="184"/>
      <c r="I1936" s="184"/>
      <c r="J1936" s="184"/>
      <c r="K1936" s="184"/>
      <c r="L1936" s="184"/>
      <c r="M1936" s="184"/>
      <c r="N1936" s="184"/>
      <c r="O1936" s="184"/>
      <c r="P1936" s="184"/>
      <c r="Q1936" s="184"/>
      <c r="R1936" s="184"/>
      <c r="S1936" s="184"/>
      <c r="T1936" s="184"/>
    </row>
    <row r="1937">
      <c r="A1937" s="184"/>
      <c r="B1937" s="184"/>
      <c r="C1937" s="184"/>
      <c r="D1937" s="184"/>
      <c r="E1937" s="184"/>
      <c r="F1937" s="184"/>
      <c r="G1937" s="184"/>
      <c r="H1937" s="184"/>
      <c r="I1937" s="184"/>
      <c r="J1937" s="184"/>
      <c r="K1937" s="184"/>
      <c r="L1937" s="184"/>
      <c r="M1937" s="184"/>
      <c r="N1937" s="184"/>
      <c r="O1937" s="184"/>
      <c r="P1937" s="184"/>
      <c r="Q1937" s="184"/>
      <c r="R1937" s="184"/>
      <c r="S1937" s="184"/>
      <c r="T1937" s="184"/>
    </row>
    <row r="1938">
      <c r="A1938" s="184"/>
      <c r="B1938" s="184"/>
      <c r="C1938" s="184"/>
      <c r="D1938" s="184"/>
      <c r="E1938" s="184"/>
      <c r="F1938" s="184"/>
      <c r="G1938" s="184"/>
      <c r="H1938" s="184"/>
      <c r="I1938" s="184"/>
      <c r="J1938" s="184"/>
      <c r="K1938" s="184"/>
      <c r="L1938" s="184"/>
      <c r="M1938" s="184"/>
      <c r="N1938" s="184"/>
      <c r="O1938" s="184"/>
      <c r="P1938" s="184"/>
      <c r="Q1938" s="184"/>
      <c r="R1938" s="184"/>
      <c r="S1938" s="184"/>
      <c r="T1938" s="184"/>
    </row>
    <row r="1939">
      <c r="A1939" s="184"/>
      <c r="B1939" s="184"/>
      <c r="C1939" s="184"/>
      <c r="D1939" s="184"/>
      <c r="E1939" s="184"/>
      <c r="F1939" s="184"/>
      <c r="G1939" s="184"/>
      <c r="H1939" s="184"/>
      <c r="I1939" s="184"/>
      <c r="J1939" s="184"/>
      <c r="K1939" s="184"/>
      <c r="L1939" s="184"/>
      <c r="M1939" s="184"/>
      <c r="N1939" s="184"/>
      <c r="O1939" s="184"/>
      <c r="P1939" s="184"/>
      <c r="Q1939" s="184"/>
      <c r="R1939" s="184"/>
      <c r="S1939" s="184"/>
      <c r="T1939" s="184"/>
    </row>
    <row r="1940">
      <c r="A1940" s="184"/>
      <c r="B1940" s="184"/>
      <c r="C1940" s="184"/>
      <c r="D1940" s="184"/>
      <c r="E1940" s="184"/>
      <c r="F1940" s="184"/>
      <c r="G1940" s="184"/>
      <c r="H1940" s="184"/>
      <c r="I1940" s="184"/>
      <c r="J1940" s="184"/>
      <c r="K1940" s="184"/>
      <c r="L1940" s="184"/>
      <c r="M1940" s="184"/>
      <c r="N1940" s="184"/>
      <c r="O1940" s="184"/>
      <c r="P1940" s="184"/>
      <c r="Q1940" s="184"/>
      <c r="R1940" s="184"/>
      <c r="S1940" s="184"/>
      <c r="T1940" s="184"/>
    </row>
    <row r="1941">
      <c r="A1941" s="184"/>
      <c r="B1941" s="184"/>
      <c r="C1941" s="184"/>
      <c r="D1941" s="184"/>
      <c r="E1941" s="184"/>
      <c r="F1941" s="184"/>
      <c r="G1941" s="184"/>
      <c r="H1941" s="184"/>
      <c r="I1941" s="184"/>
      <c r="J1941" s="184"/>
      <c r="K1941" s="184"/>
      <c r="L1941" s="184"/>
      <c r="M1941" s="184"/>
      <c r="N1941" s="184"/>
      <c r="O1941" s="184"/>
      <c r="P1941" s="184"/>
      <c r="Q1941" s="184"/>
      <c r="R1941" s="184"/>
      <c r="S1941" s="184"/>
      <c r="T1941" s="184"/>
    </row>
    <row r="1942">
      <c r="A1942" s="184"/>
      <c r="B1942" s="184"/>
      <c r="C1942" s="184"/>
      <c r="D1942" s="184"/>
      <c r="E1942" s="184"/>
      <c r="F1942" s="184"/>
      <c r="G1942" s="184"/>
      <c r="H1942" s="184"/>
      <c r="I1942" s="184"/>
      <c r="J1942" s="184"/>
      <c r="K1942" s="184"/>
      <c r="L1942" s="184"/>
      <c r="M1942" s="184"/>
      <c r="N1942" s="184"/>
      <c r="O1942" s="184"/>
      <c r="P1942" s="184"/>
      <c r="Q1942" s="184"/>
      <c r="R1942" s="184"/>
      <c r="S1942" s="184"/>
      <c r="T1942" s="184"/>
    </row>
    <row r="1943">
      <c r="A1943" s="184"/>
      <c r="B1943" s="184"/>
      <c r="C1943" s="184"/>
      <c r="D1943" s="184"/>
      <c r="E1943" s="184"/>
      <c r="F1943" s="184"/>
      <c r="G1943" s="184"/>
      <c r="H1943" s="184"/>
      <c r="I1943" s="184"/>
      <c r="J1943" s="184"/>
      <c r="K1943" s="184"/>
      <c r="L1943" s="184"/>
      <c r="M1943" s="184"/>
      <c r="N1943" s="184"/>
      <c r="O1943" s="184"/>
      <c r="P1943" s="184"/>
      <c r="Q1943" s="184"/>
      <c r="R1943" s="184"/>
      <c r="S1943" s="184"/>
      <c r="T1943" s="184"/>
    </row>
    <row r="1944">
      <c r="A1944" s="184"/>
      <c r="B1944" s="184"/>
      <c r="C1944" s="184"/>
      <c r="D1944" s="184"/>
      <c r="E1944" s="184"/>
      <c r="F1944" s="184"/>
      <c r="G1944" s="184"/>
      <c r="H1944" s="184"/>
      <c r="I1944" s="184"/>
      <c r="J1944" s="184"/>
      <c r="K1944" s="184"/>
      <c r="L1944" s="184"/>
      <c r="M1944" s="184"/>
      <c r="N1944" s="184"/>
      <c r="O1944" s="184"/>
      <c r="P1944" s="184"/>
      <c r="Q1944" s="184"/>
      <c r="R1944" s="184"/>
      <c r="S1944" s="184"/>
      <c r="T1944" s="184"/>
    </row>
    <row r="1945">
      <c r="A1945" s="184"/>
      <c r="B1945" s="184"/>
      <c r="C1945" s="184"/>
      <c r="D1945" s="184"/>
      <c r="E1945" s="184"/>
      <c r="F1945" s="184"/>
      <c r="G1945" s="184"/>
      <c r="H1945" s="184"/>
      <c r="I1945" s="184"/>
      <c r="J1945" s="184"/>
      <c r="K1945" s="184"/>
      <c r="L1945" s="184"/>
      <c r="M1945" s="184"/>
      <c r="N1945" s="184"/>
      <c r="O1945" s="184"/>
      <c r="P1945" s="184"/>
      <c r="Q1945" s="184"/>
      <c r="R1945" s="184"/>
      <c r="S1945" s="184"/>
      <c r="T1945" s="184"/>
    </row>
    <row r="1946">
      <c r="A1946" s="184"/>
      <c r="B1946" s="184"/>
      <c r="C1946" s="184"/>
      <c r="D1946" s="184"/>
      <c r="E1946" s="184"/>
      <c r="F1946" s="184"/>
      <c r="G1946" s="184"/>
      <c r="H1946" s="184"/>
      <c r="I1946" s="184"/>
      <c r="J1946" s="184"/>
      <c r="K1946" s="184"/>
      <c r="L1946" s="184"/>
      <c r="M1946" s="184"/>
      <c r="N1946" s="184"/>
      <c r="O1946" s="184"/>
      <c r="P1946" s="184"/>
      <c r="Q1946" s="184"/>
      <c r="R1946" s="184"/>
      <c r="S1946" s="184"/>
      <c r="T1946" s="184"/>
    </row>
    <row r="1947">
      <c r="A1947" s="184"/>
      <c r="B1947" s="184"/>
      <c r="C1947" s="184"/>
      <c r="D1947" s="184"/>
      <c r="E1947" s="184"/>
      <c r="F1947" s="184"/>
      <c r="G1947" s="184"/>
      <c r="H1947" s="184"/>
      <c r="I1947" s="184"/>
      <c r="J1947" s="184"/>
      <c r="K1947" s="184"/>
      <c r="L1947" s="184"/>
      <c r="M1947" s="184"/>
      <c r="N1947" s="184"/>
      <c r="O1947" s="184"/>
      <c r="P1947" s="184"/>
      <c r="Q1947" s="184"/>
      <c r="R1947" s="184"/>
      <c r="S1947" s="184"/>
      <c r="T1947" s="184"/>
    </row>
    <row r="1948">
      <c r="A1948" s="184"/>
      <c r="B1948" s="184"/>
      <c r="C1948" s="184"/>
      <c r="D1948" s="184"/>
      <c r="E1948" s="184"/>
      <c r="F1948" s="184"/>
      <c r="G1948" s="184"/>
      <c r="H1948" s="184"/>
      <c r="I1948" s="184"/>
      <c r="J1948" s="184"/>
      <c r="K1948" s="184"/>
      <c r="L1948" s="184"/>
      <c r="M1948" s="184"/>
      <c r="N1948" s="184"/>
      <c r="O1948" s="184"/>
      <c r="P1948" s="184"/>
      <c r="Q1948" s="184"/>
      <c r="R1948" s="184"/>
      <c r="S1948" s="184"/>
      <c r="T1948" s="184"/>
    </row>
    <row r="1949">
      <c r="A1949" s="184"/>
      <c r="B1949" s="184"/>
      <c r="C1949" s="184"/>
      <c r="D1949" s="184"/>
      <c r="E1949" s="184"/>
      <c r="F1949" s="184"/>
      <c r="G1949" s="184"/>
      <c r="H1949" s="184"/>
      <c r="I1949" s="184"/>
      <c r="J1949" s="184"/>
      <c r="K1949" s="184"/>
      <c r="L1949" s="184"/>
      <c r="M1949" s="184"/>
      <c r="N1949" s="184"/>
      <c r="O1949" s="184"/>
      <c r="P1949" s="184"/>
      <c r="Q1949" s="184"/>
      <c r="R1949" s="184"/>
      <c r="S1949" s="184"/>
      <c r="T1949" s="184"/>
    </row>
    <row r="1950">
      <c r="A1950" s="184"/>
      <c r="B1950" s="184"/>
      <c r="C1950" s="184"/>
      <c r="D1950" s="184"/>
      <c r="E1950" s="184"/>
      <c r="F1950" s="184"/>
      <c r="G1950" s="184"/>
      <c r="H1950" s="184"/>
      <c r="I1950" s="184"/>
      <c r="J1950" s="184"/>
      <c r="K1950" s="184"/>
      <c r="L1950" s="184"/>
      <c r="M1950" s="184"/>
      <c r="N1950" s="184"/>
      <c r="O1950" s="184"/>
      <c r="P1950" s="184"/>
      <c r="Q1950" s="184"/>
      <c r="R1950" s="184"/>
      <c r="S1950" s="184"/>
      <c r="T1950" s="184"/>
    </row>
    <row r="1951">
      <c r="A1951" s="184"/>
      <c r="B1951" s="184"/>
      <c r="C1951" s="184"/>
      <c r="D1951" s="184"/>
      <c r="E1951" s="184"/>
      <c r="F1951" s="184"/>
      <c r="G1951" s="184"/>
      <c r="H1951" s="184"/>
      <c r="I1951" s="184"/>
      <c r="J1951" s="184"/>
      <c r="K1951" s="184"/>
      <c r="L1951" s="184"/>
      <c r="M1951" s="184"/>
      <c r="N1951" s="184"/>
      <c r="O1951" s="184"/>
      <c r="P1951" s="184"/>
      <c r="Q1951" s="184"/>
      <c r="R1951" s="184"/>
      <c r="S1951" s="184"/>
      <c r="T1951" s="184"/>
    </row>
    <row r="1952">
      <c r="A1952" s="184"/>
      <c r="B1952" s="184"/>
      <c r="C1952" s="184"/>
      <c r="D1952" s="184"/>
      <c r="E1952" s="184"/>
      <c r="F1952" s="184"/>
      <c r="G1952" s="184"/>
      <c r="H1952" s="184"/>
      <c r="I1952" s="184"/>
      <c r="J1952" s="184"/>
      <c r="K1952" s="184"/>
      <c r="L1952" s="184"/>
      <c r="M1952" s="184"/>
      <c r="N1952" s="184"/>
      <c r="O1952" s="184"/>
      <c r="P1952" s="184"/>
      <c r="Q1952" s="184"/>
      <c r="R1952" s="184"/>
      <c r="S1952" s="184"/>
      <c r="T1952" s="184"/>
    </row>
    <row r="1953">
      <c r="A1953" s="184"/>
      <c r="B1953" s="184"/>
      <c r="C1953" s="184"/>
      <c r="D1953" s="184"/>
      <c r="E1953" s="184"/>
      <c r="F1953" s="184"/>
      <c r="G1953" s="184"/>
      <c r="H1953" s="184"/>
      <c r="I1953" s="184"/>
      <c r="J1953" s="184"/>
      <c r="K1953" s="184"/>
      <c r="L1953" s="184"/>
      <c r="M1953" s="184"/>
      <c r="N1953" s="184"/>
      <c r="O1953" s="184"/>
      <c r="P1953" s="184"/>
      <c r="Q1953" s="184"/>
      <c r="R1953" s="184"/>
      <c r="S1953" s="184"/>
      <c r="T1953" s="184"/>
    </row>
    <row r="1954">
      <c r="A1954" s="184"/>
      <c r="B1954" s="184"/>
      <c r="C1954" s="184"/>
      <c r="D1954" s="184"/>
      <c r="E1954" s="184"/>
      <c r="F1954" s="184"/>
      <c r="G1954" s="184"/>
      <c r="H1954" s="184"/>
      <c r="I1954" s="184"/>
      <c r="J1954" s="184"/>
      <c r="K1954" s="184"/>
      <c r="L1954" s="184"/>
      <c r="M1954" s="184"/>
      <c r="N1954" s="184"/>
      <c r="O1954" s="184"/>
      <c r="P1954" s="184"/>
      <c r="Q1954" s="184"/>
      <c r="R1954" s="184"/>
      <c r="S1954" s="184"/>
      <c r="T1954" s="184"/>
    </row>
    <row r="1955">
      <c r="A1955" s="184"/>
      <c r="B1955" s="184"/>
      <c r="C1955" s="184"/>
      <c r="D1955" s="184"/>
      <c r="E1955" s="184"/>
      <c r="F1955" s="184"/>
      <c r="G1955" s="184"/>
      <c r="H1955" s="184"/>
      <c r="I1955" s="184"/>
      <c r="J1955" s="184"/>
      <c r="K1955" s="184"/>
      <c r="L1955" s="184"/>
      <c r="M1955" s="184"/>
      <c r="N1955" s="184"/>
      <c r="O1955" s="184"/>
      <c r="P1955" s="184"/>
      <c r="Q1955" s="184"/>
      <c r="R1955" s="184"/>
      <c r="S1955" s="184"/>
      <c r="T1955" s="184"/>
    </row>
    <row r="1956">
      <c r="A1956" s="184"/>
      <c r="B1956" s="184"/>
      <c r="C1956" s="184"/>
      <c r="D1956" s="184"/>
      <c r="E1956" s="184"/>
      <c r="F1956" s="184"/>
      <c r="G1956" s="184"/>
      <c r="H1956" s="184"/>
      <c r="I1956" s="184"/>
      <c r="J1956" s="184"/>
      <c r="K1956" s="184"/>
      <c r="L1956" s="184"/>
      <c r="M1956" s="184"/>
      <c r="N1956" s="184"/>
      <c r="O1956" s="184"/>
      <c r="P1956" s="184"/>
      <c r="Q1956" s="184"/>
      <c r="R1956" s="184"/>
      <c r="S1956" s="184"/>
      <c r="T1956" s="184"/>
    </row>
    <row r="1957">
      <c r="A1957" s="184"/>
      <c r="B1957" s="184"/>
      <c r="C1957" s="184"/>
      <c r="D1957" s="184"/>
      <c r="E1957" s="184"/>
      <c r="F1957" s="184"/>
      <c r="G1957" s="184"/>
      <c r="H1957" s="184"/>
      <c r="I1957" s="184"/>
      <c r="J1957" s="184"/>
      <c r="K1957" s="184"/>
      <c r="L1957" s="184"/>
      <c r="M1957" s="184"/>
      <c r="N1957" s="184"/>
      <c r="O1957" s="184"/>
      <c r="P1957" s="184"/>
      <c r="Q1957" s="184"/>
      <c r="R1957" s="184"/>
      <c r="S1957" s="184"/>
      <c r="T1957" s="184"/>
    </row>
    <row r="1958">
      <c r="A1958" s="184"/>
      <c r="B1958" s="184"/>
      <c r="C1958" s="184"/>
      <c r="D1958" s="184"/>
      <c r="E1958" s="184"/>
      <c r="F1958" s="184"/>
      <c r="G1958" s="184"/>
      <c r="H1958" s="184"/>
      <c r="I1958" s="184"/>
      <c r="J1958" s="184"/>
      <c r="K1958" s="184"/>
      <c r="L1958" s="184"/>
      <c r="M1958" s="184"/>
      <c r="N1958" s="184"/>
      <c r="O1958" s="184"/>
      <c r="P1958" s="184"/>
      <c r="Q1958" s="184"/>
      <c r="R1958" s="184"/>
      <c r="S1958" s="184"/>
      <c r="T1958" s="184"/>
    </row>
    <row r="1959">
      <c r="A1959" s="184"/>
      <c r="B1959" s="184"/>
      <c r="C1959" s="184"/>
      <c r="D1959" s="184"/>
      <c r="E1959" s="184"/>
      <c r="F1959" s="184"/>
      <c r="G1959" s="184"/>
      <c r="H1959" s="184"/>
      <c r="I1959" s="184"/>
      <c r="J1959" s="184"/>
      <c r="K1959" s="184"/>
      <c r="L1959" s="184"/>
      <c r="M1959" s="184"/>
      <c r="N1959" s="184"/>
      <c r="O1959" s="184"/>
      <c r="P1959" s="184"/>
      <c r="Q1959" s="184"/>
      <c r="R1959" s="184"/>
      <c r="S1959" s="184"/>
      <c r="T1959" s="184"/>
    </row>
    <row r="1960">
      <c r="A1960" s="184"/>
      <c r="B1960" s="184"/>
      <c r="C1960" s="184"/>
      <c r="D1960" s="184"/>
      <c r="E1960" s="184"/>
      <c r="F1960" s="184"/>
      <c r="G1960" s="184"/>
      <c r="H1960" s="184"/>
      <c r="I1960" s="184"/>
      <c r="J1960" s="184"/>
      <c r="K1960" s="184"/>
      <c r="L1960" s="184"/>
      <c r="M1960" s="184"/>
      <c r="N1960" s="184"/>
      <c r="O1960" s="184"/>
      <c r="P1960" s="184"/>
      <c r="Q1960" s="184"/>
      <c r="R1960" s="184"/>
      <c r="S1960" s="184"/>
      <c r="T1960" s="184"/>
    </row>
    <row r="1961">
      <c r="A1961" s="184"/>
      <c r="B1961" s="184"/>
      <c r="C1961" s="184"/>
      <c r="D1961" s="184"/>
      <c r="E1961" s="184"/>
      <c r="F1961" s="184"/>
      <c r="G1961" s="184"/>
      <c r="H1961" s="184"/>
      <c r="I1961" s="184"/>
      <c r="J1961" s="184"/>
      <c r="K1961" s="184"/>
      <c r="L1961" s="184"/>
      <c r="M1961" s="184"/>
      <c r="N1961" s="184"/>
      <c r="O1961" s="184"/>
      <c r="P1961" s="184"/>
      <c r="Q1961" s="184"/>
      <c r="R1961" s="184"/>
      <c r="S1961" s="184"/>
      <c r="T1961" s="184"/>
    </row>
    <row r="1962">
      <c r="A1962" s="184"/>
      <c r="B1962" s="184"/>
      <c r="C1962" s="184"/>
      <c r="D1962" s="184"/>
      <c r="E1962" s="184"/>
      <c r="F1962" s="184"/>
      <c r="G1962" s="184"/>
      <c r="H1962" s="184"/>
      <c r="I1962" s="184"/>
      <c r="J1962" s="184"/>
      <c r="K1962" s="184"/>
      <c r="L1962" s="184"/>
      <c r="M1962" s="184"/>
      <c r="N1962" s="184"/>
      <c r="O1962" s="184"/>
      <c r="P1962" s="184"/>
      <c r="Q1962" s="184"/>
      <c r="R1962" s="184"/>
      <c r="S1962" s="184"/>
      <c r="T1962" s="184"/>
    </row>
    <row r="1963">
      <c r="A1963" s="184"/>
      <c r="B1963" s="184"/>
      <c r="C1963" s="184"/>
      <c r="D1963" s="184"/>
      <c r="E1963" s="184"/>
      <c r="F1963" s="184"/>
      <c r="G1963" s="184"/>
      <c r="H1963" s="184"/>
      <c r="I1963" s="184"/>
      <c r="J1963" s="184"/>
      <c r="K1963" s="184"/>
      <c r="L1963" s="184"/>
      <c r="M1963" s="184"/>
      <c r="N1963" s="184"/>
      <c r="O1963" s="184"/>
      <c r="P1963" s="184"/>
      <c r="Q1963" s="184"/>
      <c r="R1963" s="184"/>
      <c r="S1963" s="184"/>
      <c r="T1963" s="184"/>
    </row>
    <row r="1964">
      <c r="A1964" s="184"/>
      <c r="B1964" s="184"/>
      <c r="C1964" s="184"/>
      <c r="D1964" s="184"/>
      <c r="E1964" s="184"/>
      <c r="F1964" s="184"/>
      <c r="G1964" s="184"/>
      <c r="H1964" s="184"/>
      <c r="I1964" s="184"/>
      <c r="J1964" s="184"/>
      <c r="K1964" s="184"/>
      <c r="L1964" s="184"/>
      <c r="M1964" s="184"/>
      <c r="N1964" s="184"/>
      <c r="O1964" s="184"/>
      <c r="P1964" s="184"/>
      <c r="Q1964" s="184"/>
      <c r="R1964" s="184"/>
      <c r="S1964" s="184"/>
      <c r="T1964" s="184"/>
    </row>
    <row r="1965">
      <c r="A1965" s="184"/>
      <c r="B1965" s="184"/>
      <c r="C1965" s="184"/>
      <c r="D1965" s="184"/>
      <c r="E1965" s="184"/>
      <c r="F1965" s="184"/>
      <c r="G1965" s="184"/>
      <c r="H1965" s="184"/>
      <c r="I1965" s="184"/>
      <c r="J1965" s="184"/>
      <c r="K1965" s="184"/>
      <c r="L1965" s="184"/>
      <c r="M1965" s="184"/>
      <c r="N1965" s="184"/>
      <c r="O1965" s="184"/>
      <c r="P1965" s="184"/>
      <c r="Q1965" s="184"/>
      <c r="R1965" s="184"/>
      <c r="S1965" s="184"/>
      <c r="T1965" s="184"/>
    </row>
    <row r="1966">
      <c r="A1966" s="184"/>
      <c r="B1966" s="184"/>
      <c r="C1966" s="184"/>
      <c r="D1966" s="184"/>
      <c r="E1966" s="184"/>
      <c r="F1966" s="184"/>
      <c r="G1966" s="184"/>
      <c r="H1966" s="184"/>
      <c r="I1966" s="184"/>
      <c r="J1966" s="184"/>
      <c r="K1966" s="184"/>
      <c r="L1966" s="184"/>
      <c r="M1966" s="184"/>
      <c r="N1966" s="184"/>
      <c r="O1966" s="184"/>
      <c r="P1966" s="184"/>
      <c r="Q1966" s="184"/>
      <c r="R1966" s="184"/>
      <c r="S1966" s="184"/>
      <c r="T1966" s="184"/>
    </row>
    <row r="1967">
      <c r="A1967" s="184"/>
      <c r="B1967" s="184"/>
      <c r="C1967" s="184"/>
      <c r="D1967" s="184"/>
      <c r="E1967" s="184"/>
      <c r="F1967" s="184"/>
      <c r="G1967" s="184"/>
      <c r="H1967" s="184"/>
      <c r="I1967" s="184"/>
      <c r="J1967" s="184"/>
      <c r="K1967" s="184"/>
      <c r="L1967" s="184"/>
      <c r="M1967" s="184"/>
      <c r="N1967" s="184"/>
      <c r="O1967" s="184"/>
      <c r="P1967" s="184"/>
      <c r="Q1967" s="184"/>
      <c r="R1967" s="184"/>
      <c r="S1967" s="184"/>
      <c r="T1967" s="184"/>
    </row>
    <row r="1968">
      <c r="A1968" s="184"/>
      <c r="B1968" s="184"/>
      <c r="C1968" s="184"/>
      <c r="D1968" s="184"/>
      <c r="E1968" s="184"/>
      <c r="F1968" s="184"/>
      <c r="G1968" s="184"/>
      <c r="H1968" s="184"/>
      <c r="I1968" s="184"/>
      <c r="J1968" s="184"/>
      <c r="K1968" s="184"/>
      <c r="L1968" s="184"/>
      <c r="M1968" s="184"/>
      <c r="N1968" s="184"/>
      <c r="O1968" s="184"/>
      <c r="P1968" s="184"/>
      <c r="Q1968" s="184"/>
      <c r="R1968" s="184"/>
      <c r="S1968" s="184"/>
      <c r="T1968" s="184"/>
    </row>
    <row r="1969">
      <c r="A1969" s="184"/>
      <c r="B1969" s="184"/>
      <c r="C1969" s="184"/>
      <c r="D1969" s="184"/>
      <c r="E1969" s="184"/>
      <c r="F1969" s="184"/>
      <c r="G1969" s="184"/>
      <c r="H1969" s="184"/>
      <c r="I1969" s="184"/>
      <c r="J1969" s="184"/>
      <c r="K1969" s="184"/>
      <c r="L1969" s="184"/>
      <c r="M1969" s="184"/>
      <c r="N1969" s="184"/>
      <c r="O1969" s="184"/>
      <c r="P1969" s="184"/>
      <c r="Q1969" s="184"/>
      <c r="R1969" s="184"/>
      <c r="S1969" s="184"/>
      <c r="T1969" s="184"/>
    </row>
    <row r="1970">
      <c r="A1970" s="184"/>
      <c r="B1970" s="184"/>
      <c r="C1970" s="184"/>
      <c r="D1970" s="184"/>
      <c r="E1970" s="184"/>
      <c r="F1970" s="184"/>
      <c r="G1970" s="184"/>
      <c r="H1970" s="184"/>
      <c r="I1970" s="184"/>
      <c r="J1970" s="184"/>
      <c r="K1970" s="184"/>
      <c r="L1970" s="184"/>
      <c r="M1970" s="184"/>
      <c r="N1970" s="184"/>
      <c r="O1970" s="184"/>
      <c r="P1970" s="184"/>
      <c r="Q1970" s="184"/>
      <c r="R1970" s="184"/>
      <c r="S1970" s="184"/>
      <c r="T1970" s="184"/>
    </row>
    <row r="1971">
      <c r="A1971" s="184"/>
      <c r="B1971" s="184"/>
      <c r="C1971" s="184"/>
      <c r="D1971" s="184"/>
      <c r="E1971" s="184"/>
      <c r="F1971" s="184"/>
      <c r="G1971" s="184"/>
      <c r="H1971" s="184"/>
      <c r="I1971" s="184"/>
      <c r="J1971" s="184"/>
      <c r="K1971" s="184"/>
      <c r="L1971" s="184"/>
      <c r="M1971" s="184"/>
      <c r="N1971" s="184"/>
      <c r="O1971" s="184"/>
      <c r="P1971" s="184"/>
      <c r="Q1971" s="184"/>
      <c r="R1971" s="184"/>
      <c r="S1971" s="184"/>
      <c r="T1971" s="184"/>
    </row>
    <row r="1972">
      <c r="A1972" s="184"/>
      <c r="B1972" s="184"/>
      <c r="C1972" s="184"/>
      <c r="D1972" s="184"/>
      <c r="E1972" s="184"/>
      <c r="F1972" s="184"/>
      <c r="G1972" s="184"/>
      <c r="H1972" s="184"/>
      <c r="I1972" s="184"/>
      <c r="J1972" s="184"/>
      <c r="K1972" s="184"/>
      <c r="L1972" s="184"/>
      <c r="M1972" s="184"/>
      <c r="N1972" s="184"/>
      <c r="O1972" s="184"/>
      <c r="P1972" s="184"/>
      <c r="Q1972" s="184"/>
      <c r="R1972" s="184"/>
      <c r="S1972" s="184"/>
      <c r="T1972" s="184"/>
    </row>
    <row r="1973">
      <c r="A1973" s="184"/>
      <c r="B1973" s="184"/>
      <c r="C1973" s="184"/>
      <c r="D1973" s="184"/>
      <c r="E1973" s="184"/>
      <c r="F1973" s="184"/>
      <c r="G1973" s="184"/>
      <c r="H1973" s="184"/>
      <c r="I1973" s="184"/>
      <c r="J1973" s="184"/>
      <c r="K1973" s="184"/>
      <c r="L1973" s="184"/>
      <c r="M1973" s="184"/>
      <c r="N1973" s="184"/>
      <c r="O1973" s="184"/>
      <c r="P1973" s="184"/>
      <c r="Q1973" s="184"/>
      <c r="R1973" s="184"/>
      <c r="S1973" s="184"/>
      <c r="T1973" s="184"/>
    </row>
    <row r="1974">
      <c r="A1974" s="184"/>
      <c r="B1974" s="184"/>
      <c r="C1974" s="184"/>
      <c r="D1974" s="184"/>
      <c r="E1974" s="184"/>
      <c r="F1974" s="184"/>
      <c r="G1974" s="184"/>
      <c r="H1974" s="184"/>
      <c r="I1974" s="184"/>
      <c r="J1974" s="184"/>
      <c r="K1974" s="184"/>
      <c r="L1974" s="184"/>
      <c r="M1974" s="184"/>
      <c r="N1974" s="184"/>
      <c r="O1974" s="184"/>
      <c r="P1974" s="184"/>
      <c r="Q1974" s="184"/>
      <c r="R1974" s="184"/>
      <c r="S1974" s="184"/>
      <c r="T1974" s="184"/>
    </row>
    <row r="1975">
      <c r="A1975" s="184"/>
      <c r="B1975" s="184"/>
      <c r="C1975" s="184"/>
      <c r="D1975" s="184"/>
      <c r="E1975" s="184"/>
      <c r="F1975" s="184"/>
      <c r="G1975" s="184"/>
      <c r="H1975" s="184"/>
      <c r="I1975" s="184"/>
      <c r="J1975" s="184"/>
      <c r="K1975" s="184"/>
      <c r="L1975" s="184"/>
      <c r="M1975" s="184"/>
      <c r="N1975" s="184"/>
      <c r="O1975" s="184"/>
      <c r="P1975" s="184"/>
      <c r="Q1975" s="184"/>
      <c r="R1975" s="184"/>
      <c r="S1975" s="184"/>
      <c r="T1975" s="184"/>
    </row>
    <row r="1976">
      <c r="A1976" s="184"/>
      <c r="B1976" s="184"/>
      <c r="C1976" s="184"/>
      <c r="D1976" s="184"/>
      <c r="E1976" s="184"/>
      <c r="F1976" s="184"/>
      <c r="G1976" s="184"/>
      <c r="H1976" s="184"/>
      <c r="I1976" s="184"/>
      <c r="J1976" s="184"/>
      <c r="K1976" s="184"/>
      <c r="L1976" s="184"/>
      <c r="M1976" s="184"/>
      <c r="N1976" s="184"/>
      <c r="O1976" s="184"/>
      <c r="P1976" s="184"/>
      <c r="Q1976" s="184"/>
      <c r="R1976" s="184"/>
      <c r="S1976" s="184"/>
      <c r="T1976" s="184"/>
    </row>
    <row r="1977">
      <c r="A1977" s="184"/>
      <c r="B1977" s="184"/>
      <c r="C1977" s="184"/>
      <c r="D1977" s="184"/>
      <c r="E1977" s="184"/>
      <c r="F1977" s="184"/>
      <c r="G1977" s="184"/>
      <c r="H1977" s="184"/>
      <c r="I1977" s="184"/>
      <c r="J1977" s="184"/>
      <c r="K1977" s="184"/>
      <c r="L1977" s="184"/>
      <c r="M1977" s="184"/>
      <c r="N1977" s="184"/>
      <c r="O1977" s="184"/>
      <c r="P1977" s="184"/>
      <c r="Q1977" s="184"/>
      <c r="R1977" s="184"/>
      <c r="S1977" s="184"/>
      <c r="T1977" s="184"/>
    </row>
    <row r="1978">
      <c r="A1978" s="184"/>
      <c r="B1978" s="184"/>
      <c r="C1978" s="184"/>
      <c r="D1978" s="184"/>
      <c r="E1978" s="184"/>
      <c r="F1978" s="184"/>
      <c r="G1978" s="184"/>
      <c r="H1978" s="184"/>
      <c r="I1978" s="184"/>
      <c r="J1978" s="184"/>
      <c r="K1978" s="184"/>
      <c r="L1978" s="184"/>
      <c r="M1978" s="184"/>
      <c r="N1978" s="184"/>
      <c r="O1978" s="184"/>
      <c r="P1978" s="184"/>
      <c r="Q1978" s="184"/>
      <c r="R1978" s="184"/>
      <c r="S1978" s="184"/>
      <c r="T1978" s="184"/>
    </row>
    <row r="1979">
      <c r="A1979" s="184"/>
      <c r="B1979" s="184"/>
      <c r="C1979" s="184"/>
      <c r="D1979" s="184"/>
      <c r="E1979" s="184"/>
      <c r="F1979" s="184"/>
      <c r="G1979" s="184"/>
      <c r="H1979" s="184"/>
      <c r="I1979" s="184"/>
      <c r="J1979" s="184"/>
      <c r="K1979" s="184"/>
      <c r="L1979" s="184"/>
      <c r="M1979" s="184"/>
      <c r="N1979" s="184"/>
      <c r="O1979" s="184"/>
      <c r="P1979" s="184"/>
      <c r="Q1979" s="184"/>
      <c r="R1979" s="184"/>
      <c r="S1979" s="184"/>
      <c r="T1979" s="184"/>
    </row>
    <row r="1980">
      <c r="A1980" s="184"/>
      <c r="B1980" s="184"/>
      <c r="C1980" s="184"/>
      <c r="D1980" s="184"/>
      <c r="E1980" s="184"/>
      <c r="F1980" s="184"/>
      <c r="G1980" s="184"/>
      <c r="H1980" s="184"/>
      <c r="I1980" s="184"/>
      <c r="J1980" s="184"/>
      <c r="K1980" s="184"/>
      <c r="L1980" s="184"/>
      <c r="M1980" s="184"/>
      <c r="N1980" s="184"/>
      <c r="O1980" s="184"/>
      <c r="P1980" s="184"/>
      <c r="Q1980" s="184"/>
      <c r="R1980" s="184"/>
      <c r="S1980" s="184"/>
      <c r="T1980" s="184"/>
    </row>
    <row r="1981">
      <c r="A1981" s="184"/>
      <c r="B1981" s="184"/>
      <c r="C1981" s="184"/>
      <c r="D1981" s="184"/>
      <c r="E1981" s="184"/>
      <c r="F1981" s="184"/>
      <c r="G1981" s="184"/>
      <c r="H1981" s="184"/>
      <c r="I1981" s="184"/>
      <c r="J1981" s="184"/>
      <c r="K1981" s="184"/>
      <c r="L1981" s="184"/>
      <c r="M1981" s="184"/>
      <c r="N1981" s="184"/>
      <c r="O1981" s="184"/>
      <c r="P1981" s="184"/>
      <c r="Q1981" s="184"/>
      <c r="R1981" s="184"/>
      <c r="S1981" s="184"/>
      <c r="T1981" s="184"/>
    </row>
    <row r="1982">
      <c r="A1982" s="184"/>
      <c r="B1982" s="184"/>
      <c r="C1982" s="184"/>
      <c r="D1982" s="184"/>
      <c r="E1982" s="184"/>
      <c r="F1982" s="184"/>
      <c r="G1982" s="184"/>
      <c r="H1982" s="184"/>
      <c r="I1982" s="184"/>
      <c r="J1982" s="184"/>
      <c r="K1982" s="184"/>
      <c r="L1982" s="184"/>
      <c r="M1982" s="184"/>
      <c r="N1982" s="184"/>
      <c r="O1982" s="184"/>
      <c r="P1982" s="184"/>
      <c r="Q1982" s="184"/>
      <c r="R1982" s="184"/>
      <c r="S1982" s="184"/>
      <c r="T1982" s="184"/>
    </row>
    <row r="1983">
      <c r="A1983" s="184"/>
      <c r="B1983" s="184"/>
      <c r="C1983" s="184"/>
      <c r="D1983" s="184"/>
      <c r="E1983" s="184"/>
      <c r="F1983" s="184"/>
      <c r="G1983" s="184"/>
      <c r="H1983" s="184"/>
      <c r="I1983" s="184"/>
      <c r="J1983" s="184"/>
      <c r="K1983" s="184"/>
      <c r="L1983" s="184"/>
      <c r="M1983" s="184"/>
      <c r="N1983" s="184"/>
      <c r="O1983" s="184"/>
      <c r="P1983" s="184"/>
      <c r="Q1983" s="184"/>
      <c r="R1983" s="184"/>
      <c r="S1983" s="184"/>
      <c r="T1983" s="184"/>
    </row>
    <row r="1984">
      <c r="A1984" s="184"/>
      <c r="B1984" s="184"/>
      <c r="C1984" s="184"/>
      <c r="D1984" s="184"/>
      <c r="E1984" s="184"/>
      <c r="F1984" s="184"/>
      <c r="G1984" s="184"/>
      <c r="H1984" s="184"/>
      <c r="I1984" s="184"/>
      <c r="J1984" s="184"/>
      <c r="K1984" s="184"/>
      <c r="L1984" s="184"/>
      <c r="M1984" s="184"/>
      <c r="N1984" s="184"/>
      <c r="O1984" s="184"/>
      <c r="P1984" s="184"/>
      <c r="Q1984" s="184"/>
      <c r="R1984" s="184"/>
      <c r="S1984" s="184"/>
      <c r="T1984" s="184"/>
    </row>
    <row r="1985">
      <c r="A1985" s="184"/>
      <c r="B1985" s="184"/>
      <c r="C1985" s="184"/>
      <c r="D1985" s="184"/>
      <c r="E1985" s="184"/>
      <c r="F1985" s="184"/>
      <c r="G1985" s="184"/>
      <c r="H1985" s="184"/>
      <c r="I1985" s="184"/>
      <c r="J1985" s="184"/>
      <c r="K1985" s="184"/>
      <c r="L1985" s="184"/>
      <c r="M1985" s="184"/>
      <c r="N1985" s="184"/>
      <c r="O1985" s="184"/>
      <c r="P1985" s="184"/>
      <c r="Q1985" s="184"/>
      <c r="R1985" s="184"/>
      <c r="S1985" s="184"/>
      <c r="T1985" s="184"/>
    </row>
    <row r="1986">
      <c r="A1986" s="184"/>
      <c r="B1986" s="184"/>
      <c r="C1986" s="184"/>
      <c r="D1986" s="184"/>
      <c r="E1986" s="184"/>
      <c r="F1986" s="184"/>
      <c r="G1986" s="184"/>
      <c r="H1986" s="184"/>
      <c r="I1986" s="184"/>
      <c r="J1986" s="184"/>
      <c r="K1986" s="184"/>
      <c r="L1986" s="184"/>
      <c r="M1986" s="184"/>
      <c r="N1986" s="184"/>
      <c r="O1986" s="184"/>
      <c r="P1986" s="184"/>
      <c r="Q1986" s="184"/>
      <c r="R1986" s="184"/>
      <c r="S1986" s="184"/>
      <c r="T1986" s="184"/>
    </row>
    <row r="1987">
      <c r="A1987" s="184"/>
      <c r="B1987" s="184"/>
      <c r="C1987" s="184"/>
      <c r="D1987" s="184"/>
      <c r="E1987" s="184"/>
      <c r="F1987" s="184"/>
      <c r="G1987" s="184"/>
      <c r="H1987" s="184"/>
      <c r="I1987" s="184"/>
      <c r="J1987" s="184"/>
      <c r="K1987" s="184"/>
      <c r="L1987" s="184"/>
      <c r="M1987" s="184"/>
      <c r="N1987" s="184"/>
      <c r="O1987" s="184"/>
      <c r="P1987" s="184"/>
      <c r="Q1987" s="184"/>
      <c r="R1987" s="184"/>
      <c r="S1987" s="184"/>
      <c r="T1987" s="184"/>
    </row>
    <row r="1988">
      <c r="A1988" s="184"/>
      <c r="B1988" s="184"/>
      <c r="C1988" s="184"/>
      <c r="D1988" s="184"/>
      <c r="E1988" s="184"/>
      <c r="F1988" s="184"/>
      <c r="G1988" s="184"/>
      <c r="H1988" s="184"/>
      <c r="I1988" s="184"/>
      <c r="J1988" s="184"/>
      <c r="K1988" s="184"/>
      <c r="L1988" s="184"/>
      <c r="M1988" s="184"/>
      <c r="N1988" s="184"/>
      <c r="O1988" s="184"/>
      <c r="P1988" s="184"/>
      <c r="Q1988" s="184"/>
      <c r="R1988" s="184"/>
      <c r="S1988" s="184"/>
      <c r="T1988" s="184"/>
    </row>
    <row r="1989">
      <c r="A1989" s="184"/>
      <c r="B1989" s="184"/>
      <c r="C1989" s="184"/>
      <c r="D1989" s="184"/>
      <c r="E1989" s="184"/>
      <c r="F1989" s="184"/>
      <c r="G1989" s="184"/>
      <c r="H1989" s="184"/>
      <c r="I1989" s="184"/>
      <c r="J1989" s="184"/>
      <c r="K1989" s="184"/>
      <c r="L1989" s="184"/>
      <c r="M1989" s="184"/>
      <c r="N1989" s="184"/>
      <c r="O1989" s="184"/>
      <c r="P1989" s="184"/>
      <c r="Q1989" s="184"/>
      <c r="R1989" s="184"/>
      <c r="S1989" s="184"/>
      <c r="T1989" s="184"/>
    </row>
    <row r="1990">
      <c r="A1990" s="184"/>
      <c r="B1990" s="184"/>
      <c r="C1990" s="184"/>
      <c r="D1990" s="184"/>
      <c r="E1990" s="184"/>
      <c r="F1990" s="184"/>
      <c r="G1990" s="184"/>
      <c r="H1990" s="184"/>
      <c r="I1990" s="184"/>
      <c r="J1990" s="184"/>
      <c r="K1990" s="184"/>
      <c r="L1990" s="184"/>
      <c r="M1990" s="184"/>
      <c r="N1990" s="184"/>
      <c r="O1990" s="184"/>
      <c r="P1990" s="184"/>
      <c r="Q1990" s="184"/>
      <c r="R1990" s="184"/>
      <c r="S1990" s="184"/>
      <c r="T1990" s="184"/>
    </row>
    <row r="1991">
      <c r="A1991" s="184"/>
      <c r="B1991" s="184"/>
      <c r="C1991" s="184"/>
      <c r="D1991" s="184"/>
      <c r="E1991" s="184"/>
      <c r="F1991" s="184"/>
      <c r="G1991" s="184"/>
      <c r="H1991" s="184"/>
      <c r="I1991" s="184"/>
      <c r="J1991" s="184"/>
      <c r="K1991" s="184"/>
      <c r="L1991" s="184"/>
      <c r="M1991" s="184"/>
      <c r="N1991" s="184"/>
      <c r="O1991" s="184"/>
      <c r="P1991" s="184"/>
      <c r="Q1991" s="184"/>
      <c r="R1991" s="184"/>
      <c r="S1991" s="184"/>
      <c r="T1991" s="184"/>
    </row>
    <row r="1992">
      <c r="A1992" s="184"/>
      <c r="B1992" s="184"/>
      <c r="C1992" s="184"/>
      <c r="D1992" s="184"/>
      <c r="E1992" s="184"/>
      <c r="F1992" s="184"/>
      <c r="G1992" s="184"/>
      <c r="H1992" s="184"/>
      <c r="I1992" s="184"/>
      <c r="J1992" s="184"/>
      <c r="K1992" s="184"/>
      <c r="L1992" s="184"/>
      <c r="M1992" s="184"/>
      <c r="N1992" s="184"/>
      <c r="O1992" s="184"/>
      <c r="P1992" s="184"/>
      <c r="Q1992" s="184"/>
      <c r="R1992" s="184"/>
      <c r="S1992" s="184"/>
      <c r="T1992" s="184"/>
    </row>
    <row r="1993">
      <c r="A1993" s="184"/>
      <c r="B1993" s="184"/>
      <c r="C1993" s="184"/>
      <c r="D1993" s="184"/>
      <c r="E1993" s="184"/>
      <c r="F1993" s="184"/>
      <c r="G1993" s="184"/>
      <c r="H1993" s="184"/>
      <c r="I1993" s="184"/>
      <c r="J1993" s="184"/>
      <c r="K1993" s="184"/>
      <c r="L1993" s="184"/>
      <c r="M1993" s="184"/>
      <c r="N1993" s="184"/>
      <c r="O1993" s="184"/>
      <c r="P1993" s="184"/>
      <c r="Q1993" s="184"/>
      <c r="R1993" s="184"/>
      <c r="S1993" s="184"/>
      <c r="T1993" s="184"/>
    </row>
    <row r="1994">
      <c r="A1994" s="184"/>
      <c r="B1994" s="184"/>
      <c r="C1994" s="184"/>
      <c r="D1994" s="184"/>
      <c r="E1994" s="184"/>
      <c r="F1994" s="184"/>
      <c r="G1994" s="184"/>
      <c r="H1994" s="184"/>
      <c r="I1994" s="184"/>
      <c r="J1994" s="184"/>
      <c r="K1994" s="184"/>
      <c r="L1994" s="184"/>
      <c r="M1994" s="184"/>
      <c r="N1994" s="184"/>
      <c r="O1994" s="184"/>
      <c r="P1994" s="184"/>
      <c r="Q1994" s="184"/>
      <c r="R1994" s="184"/>
      <c r="S1994" s="184"/>
      <c r="T1994" s="184"/>
    </row>
    <row r="1995">
      <c r="A1995" s="184"/>
      <c r="B1995" s="184"/>
      <c r="C1995" s="184"/>
      <c r="D1995" s="184"/>
      <c r="E1995" s="184"/>
      <c r="F1995" s="184"/>
      <c r="G1995" s="184"/>
      <c r="H1995" s="184"/>
      <c r="I1995" s="184"/>
      <c r="J1995" s="184"/>
      <c r="K1995" s="184"/>
      <c r="L1995" s="184"/>
      <c r="M1995" s="184"/>
      <c r="N1995" s="184"/>
      <c r="O1995" s="184"/>
      <c r="P1995" s="184"/>
      <c r="Q1995" s="184"/>
      <c r="R1995" s="184"/>
      <c r="S1995" s="184"/>
      <c r="T1995" s="184"/>
    </row>
    <row r="1996">
      <c r="A1996" s="184"/>
      <c r="B1996" s="184"/>
      <c r="C1996" s="184"/>
      <c r="D1996" s="184"/>
      <c r="E1996" s="184"/>
      <c r="F1996" s="184"/>
      <c r="G1996" s="184"/>
      <c r="H1996" s="184"/>
      <c r="I1996" s="184"/>
      <c r="J1996" s="184"/>
      <c r="K1996" s="184"/>
      <c r="L1996" s="184"/>
      <c r="M1996" s="184"/>
      <c r="N1996" s="184"/>
      <c r="O1996" s="184"/>
      <c r="P1996" s="184"/>
      <c r="Q1996" s="184"/>
      <c r="R1996" s="184"/>
      <c r="S1996" s="184"/>
      <c r="T1996" s="184"/>
    </row>
    <row r="1997">
      <c r="A1997" s="184"/>
      <c r="B1997" s="184"/>
      <c r="C1997" s="184"/>
      <c r="D1997" s="184"/>
      <c r="E1997" s="184"/>
      <c r="F1997" s="184"/>
      <c r="G1997" s="184"/>
      <c r="H1997" s="184"/>
      <c r="I1997" s="184"/>
      <c r="J1997" s="184"/>
      <c r="K1997" s="184"/>
      <c r="L1997" s="184"/>
      <c r="M1997" s="184"/>
      <c r="N1997" s="184"/>
      <c r="O1997" s="184"/>
      <c r="P1997" s="184"/>
      <c r="Q1997" s="184"/>
      <c r="R1997" s="184"/>
      <c r="S1997" s="184"/>
      <c r="T1997" s="184"/>
    </row>
    <row r="1998">
      <c r="A1998" s="184"/>
      <c r="B1998" s="184"/>
      <c r="C1998" s="184"/>
      <c r="D1998" s="184"/>
      <c r="E1998" s="184"/>
      <c r="F1998" s="184"/>
      <c r="G1998" s="184"/>
      <c r="H1998" s="184"/>
      <c r="I1998" s="184"/>
      <c r="J1998" s="184"/>
      <c r="K1998" s="184"/>
      <c r="L1998" s="184"/>
      <c r="M1998" s="184"/>
      <c r="N1998" s="184"/>
      <c r="O1998" s="184"/>
      <c r="P1998" s="184"/>
      <c r="Q1998" s="184"/>
      <c r="R1998" s="184"/>
      <c r="S1998" s="184"/>
      <c r="T1998" s="184"/>
    </row>
    <row r="1999">
      <c r="A1999" s="184"/>
      <c r="B1999" s="184"/>
      <c r="C1999" s="184"/>
      <c r="D1999" s="184"/>
      <c r="E1999" s="184"/>
      <c r="F1999" s="184"/>
      <c r="G1999" s="184"/>
      <c r="H1999" s="184"/>
      <c r="I1999" s="184"/>
      <c r="J1999" s="184"/>
      <c r="K1999" s="184"/>
      <c r="L1999" s="184"/>
      <c r="M1999" s="184"/>
      <c r="N1999" s="184"/>
      <c r="O1999" s="184"/>
      <c r="P1999" s="184"/>
      <c r="Q1999" s="184"/>
      <c r="R1999" s="184"/>
      <c r="S1999" s="184"/>
      <c r="T1999" s="184"/>
    </row>
    <row r="2000">
      <c r="A2000" s="184"/>
      <c r="B2000" s="184"/>
      <c r="C2000" s="184"/>
      <c r="D2000" s="184"/>
      <c r="E2000" s="184"/>
      <c r="F2000" s="184"/>
      <c r="G2000" s="184"/>
      <c r="H2000" s="184"/>
      <c r="I2000" s="184"/>
      <c r="J2000" s="184"/>
      <c r="K2000" s="184"/>
      <c r="L2000" s="184"/>
      <c r="M2000" s="184"/>
      <c r="N2000" s="184"/>
      <c r="O2000" s="184"/>
      <c r="P2000" s="184"/>
      <c r="Q2000" s="184"/>
      <c r="R2000" s="184"/>
      <c r="S2000" s="184"/>
      <c r="T2000" s="184"/>
    </row>
    <row r="2001">
      <c r="A2001" s="184"/>
      <c r="B2001" s="184"/>
      <c r="C2001" s="184"/>
      <c r="D2001" s="184"/>
      <c r="E2001" s="184"/>
      <c r="F2001" s="184"/>
      <c r="G2001" s="184"/>
      <c r="H2001" s="184"/>
      <c r="I2001" s="184"/>
      <c r="J2001" s="184"/>
      <c r="K2001" s="184"/>
      <c r="L2001" s="184"/>
      <c r="M2001" s="184"/>
      <c r="N2001" s="184"/>
      <c r="O2001" s="184"/>
      <c r="P2001" s="184"/>
      <c r="Q2001" s="184"/>
      <c r="R2001" s="184"/>
      <c r="S2001" s="184"/>
      <c r="T2001" s="184"/>
    </row>
    <row r="2002">
      <c r="A2002" s="184"/>
      <c r="B2002" s="184"/>
      <c r="C2002" s="184"/>
      <c r="D2002" s="184"/>
      <c r="E2002" s="184"/>
      <c r="F2002" s="184"/>
      <c r="G2002" s="184"/>
      <c r="H2002" s="184"/>
      <c r="I2002" s="184"/>
      <c r="J2002" s="184"/>
      <c r="K2002" s="184"/>
      <c r="L2002" s="184"/>
      <c r="M2002" s="184"/>
      <c r="N2002" s="184"/>
      <c r="O2002" s="184"/>
      <c r="P2002" s="184"/>
      <c r="Q2002" s="184"/>
      <c r="R2002" s="184"/>
      <c r="S2002" s="184"/>
      <c r="T2002" s="184"/>
    </row>
    <row r="2003">
      <c r="A2003" s="184"/>
      <c r="B2003" s="184"/>
      <c r="C2003" s="184"/>
      <c r="D2003" s="184"/>
      <c r="E2003" s="184"/>
      <c r="F2003" s="184"/>
      <c r="G2003" s="184"/>
      <c r="H2003" s="184"/>
      <c r="I2003" s="184"/>
      <c r="J2003" s="184"/>
      <c r="K2003" s="184"/>
      <c r="L2003" s="184"/>
      <c r="M2003" s="184"/>
      <c r="N2003" s="184"/>
      <c r="O2003" s="184"/>
      <c r="P2003" s="184"/>
      <c r="Q2003" s="184"/>
      <c r="R2003" s="184"/>
      <c r="S2003" s="184"/>
      <c r="T2003" s="184"/>
    </row>
    <row r="2004">
      <c r="A2004" s="184"/>
      <c r="B2004" s="184"/>
      <c r="C2004" s="184"/>
      <c r="D2004" s="184"/>
      <c r="E2004" s="184"/>
      <c r="F2004" s="184"/>
      <c r="G2004" s="184"/>
      <c r="H2004" s="184"/>
      <c r="I2004" s="184"/>
      <c r="J2004" s="184"/>
      <c r="K2004" s="184"/>
      <c r="L2004" s="184"/>
      <c r="M2004" s="184"/>
      <c r="N2004" s="184"/>
      <c r="O2004" s="184"/>
      <c r="P2004" s="184"/>
      <c r="Q2004" s="184"/>
      <c r="R2004" s="184"/>
      <c r="S2004" s="184"/>
      <c r="T2004" s="184"/>
    </row>
    <row r="2005">
      <c r="A2005" s="184"/>
      <c r="B2005" s="184"/>
      <c r="C2005" s="184"/>
      <c r="D2005" s="184"/>
      <c r="E2005" s="184"/>
      <c r="F2005" s="184"/>
      <c r="G2005" s="184"/>
      <c r="H2005" s="184"/>
      <c r="I2005" s="184"/>
      <c r="J2005" s="184"/>
      <c r="K2005" s="184"/>
      <c r="L2005" s="184"/>
      <c r="M2005" s="184"/>
      <c r="N2005" s="184"/>
      <c r="O2005" s="184"/>
      <c r="P2005" s="184"/>
      <c r="Q2005" s="184"/>
      <c r="R2005" s="184"/>
      <c r="S2005" s="184"/>
      <c r="T2005" s="184"/>
    </row>
    <row r="2006">
      <c r="A2006" s="184"/>
      <c r="B2006" s="184"/>
      <c r="C2006" s="184"/>
      <c r="D2006" s="184"/>
      <c r="E2006" s="184"/>
      <c r="F2006" s="184"/>
      <c r="G2006" s="184"/>
      <c r="H2006" s="184"/>
      <c r="I2006" s="184"/>
      <c r="J2006" s="184"/>
      <c r="K2006" s="184"/>
      <c r="L2006" s="184"/>
      <c r="M2006" s="184"/>
      <c r="N2006" s="184"/>
      <c r="O2006" s="184"/>
      <c r="P2006" s="184"/>
      <c r="Q2006" s="184"/>
      <c r="R2006" s="184"/>
      <c r="S2006" s="184"/>
      <c r="T2006" s="184"/>
    </row>
    <row r="2007">
      <c r="A2007" s="184"/>
      <c r="B2007" s="184"/>
      <c r="C2007" s="184"/>
      <c r="D2007" s="184"/>
      <c r="E2007" s="184"/>
      <c r="F2007" s="184"/>
      <c r="G2007" s="184"/>
      <c r="H2007" s="184"/>
      <c r="I2007" s="184"/>
      <c r="J2007" s="184"/>
      <c r="K2007" s="184"/>
      <c r="L2007" s="184"/>
      <c r="M2007" s="184"/>
      <c r="N2007" s="184"/>
      <c r="O2007" s="184"/>
      <c r="P2007" s="184"/>
      <c r="Q2007" s="184"/>
      <c r="R2007" s="184"/>
      <c r="S2007" s="184"/>
      <c r="T2007" s="184"/>
    </row>
    <row r="2008">
      <c r="A2008" s="184"/>
      <c r="B2008" s="184"/>
      <c r="C2008" s="184"/>
      <c r="D2008" s="184"/>
      <c r="E2008" s="184"/>
      <c r="F2008" s="184"/>
      <c r="G2008" s="184"/>
      <c r="H2008" s="184"/>
      <c r="I2008" s="184"/>
      <c r="J2008" s="184"/>
      <c r="K2008" s="184"/>
      <c r="L2008" s="184"/>
      <c r="M2008" s="184"/>
      <c r="N2008" s="184"/>
      <c r="O2008" s="184"/>
      <c r="P2008" s="184"/>
      <c r="Q2008" s="184"/>
      <c r="R2008" s="184"/>
      <c r="S2008" s="184"/>
      <c r="T2008" s="184"/>
    </row>
    <row r="2009">
      <c r="A2009" s="184"/>
      <c r="B2009" s="184"/>
      <c r="C2009" s="184"/>
      <c r="D2009" s="184"/>
      <c r="E2009" s="184"/>
      <c r="F2009" s="184"/>
      <c r="G2009" s="184"/>
      <c r="H2009" s="184"/>
      <c r="I2009" s="184"/>
      <c r="J2009" s="184"/>
      <c r="K2009" s="184"/>
      <c r="L2009" s="184"/>
      <c r="M2009" s="184"/>
      <c r="N2009" s="184"/>
      <c r="O2009" s="184"/>
      <c r="P2009" s="184"/>
      <c r="Q2009" s="184"/>
      <c r="R2009" s="184"/>
      <c r="S2009" s="184"/>
      <c r="T2009" s="184"/>
    </row>
    <row r="2010">
      <c r="A2010" s="184"/>
      <c r="B2010" s="184"/>
      <c r="C2010" s="184"/>
      <c r="D2010" s="184"/>
      <c r="E2010" s="184"/>
      <c r="F2010" s="184"/>
      <c r="G2010" s="184"/>
      <c r="H2010" s="184"/>
      <c r="I2010" s="184"/>
      <c r="J2010" s="184"/>
      <c r="K2010" s="184"/>
      <c r="L2010" s="184"/>
      <c r="M2010" s="184"/>
      <c r="N2010" s="184"/>
      <c r="O2010" s="184"/>
      <c r="P2010" s="184"/>
      <c r="Q2010" s="184"/>
      <c r="R2010" s="184"/>
      <c r="S2010" s="184"/>
      <c r="T2010" s="184"/>
    </row>
    <row r="2011">
      <c r="A2011" s="184"/>
      <c r="B2011" s="184"/>
      <c r="C2011" s="184"/>
      <c r="D2011" s="184"/>
      <c r="E2011" s="184"/>
      <c r="F2011" s="184"/>
      <c r="G2011" s="184"/>
      <c r="H2011" s="184"/>
      <c r="I2011" s="184"/>
      <c r="J2011" s="184"/>
      <c r="K2011" s="184"/>
      <c r="L2011" s="184"/>
      <c r="M2011" s="184"/>
      <c r="N2011" s="184"/>
      <c r="O2011" s="184"/>
      <c r="P2011" s="184"/>
      <c r="Q2011" s="184"/>
      <c r="R2011" s="184"/>
      <c r="S2011" s="184"/>
      <c r="T2011" s="184"/>
    </row>
    <row r="2012">
      <c r="A2012" s="184"/>
      <c r="B2012" s="184"/>
      <c r="C2012" s="184"/>
      <c r="D2012" s="184"/>
      <c r="E2012" s="184"/>
      <c r="F2012" s="184"/>
      <c r="G2012" s="184"/>
      <c r="H2012" s="184"/>
      <c r="I2012" s="184"/>
      <c r="J2012" s="184"/>
      <c r="K2012" s="184"/>
      <c r="L2012" s="184"/>
      <c r="M2012" s="184"/>
      <c r="N2012" s="184"/>
      <c r="O2012" s="184"/>
      <c r="P2012" s="184"/>
      <c r="Q2012" s="184"/>
      <c r="R2012" s="184"/>
      <c r="S2012" s="184"/>
      <c r="T2012" s="184"/>
    </row>
    <row r="2013">
      <c r="A2013" s="184"/>
      <c r="B2013" s="184"/>
      <c r="C2013" s="184"/>
      <c r="D2013" s="184"/>
      <c r="E2013" s="184"/>
      <c r="F2013" s="184"/>
      <c r="G2013" s="184"/>
      <c r="H2013" s="184"/>
      <c r="I2013" s="184"/>
      <c r="J2013" s="184"/>
      <c r="K2013" s="184"/>
      <c r="L2013" s="184"/>
      <c r="M2013" s="184"/>
      <c r="N2013" s="184"/>
      <c r="O2013" s="184"/>
      <c r="P2013" s="184"/>
      <c r="Q2013" s="184"/>
      <c r="R2013" s="184"/>
      <c r="S2013" s="184"/>
      <c r="T2013" s="184"/>
    </row>
    <row r="2014">
      <c r="A2014" s="184"/>
      <c r="B2014" s="184"/>
      <c r="C2014" s="184"/>
      <c r="D2014" s="184"/>
      <c r="E2014" s="184"/>
      <c r="F2014" s="184"/>
      <c r="G2014" s="184"/>
      <c r="H2014" s="184"/>
      <c r="I2014" s="184"/>
      <c r="J2014" s="184"/>
      <c r="K2014" s="184"/>
      <c r="L2014" s="184"/>
      <c r="M2014" s="184"/>
      <c r="N2014" s="184"/>
      <c r="O2014" s="184"/>
      <c r="P2014" s="184"/>
      <c r="Q2014" s="184"/>
      <c r="R2014" s="184"/>
      <c r="S2014" s="184"/>
      <c r="T2014" s="184"/>
    </row>
    <row r="2015">
      <c r="A2015" s="184"/>
      <c r="B2015" s="184"/>
      <c r="C2015" s="184"/>
      <c r="D2015" s="184"/>
      <c r="E2015" s="184"/>
      <c r="F2015" s="184"/>
      <c r="G2015" s="184"/>
      <c r="H2015" s="184"/>
      <c r="I2015" s="184"/>
      <c r="J2015" s="184"/>
      <c r="K2015" s="184"/>
      <c r="L2015" s="184"/>
      <c r="M2015" s="184"/>
      <c r="N2015" s="184"/>
      <c r="O2015" s="184"/>
      <c r="P2015" s="184"/>
      <c r="Q2015" s="184"/>
      <c r="R2015" s="184"/>
      <c r="S2015" s="184"/>
      <c r="T2015" s="184"/>
    </row>
    <row r="2016">
      <c r="A2016" s="184"/>
      <c r="B2016" s="184"/>
      <c r="C2016" s="184"/>
      <c r="D2016" s="184"/>
      <c r="E2016" s="184"/>
      <c r="F2016" s="184"/>
      <c r="G2016" s="184"/>
      <c r="H2016" s="184"/>
      <c r="I2016" s="184"/>
      <c r="J2016" s="184"/>
      <c r="K2016" s="184"/>
      <c r="L2016" s="184"/>
      <c r="M2016" s="184"/>
      <c r="N2016" s="184"/>
      <c r="O2016" s="184"/>
      <c r="P2016" s="184"/>
      <c r="Q2016" s="184"/>
      <c r="R2016" s="184"/>
      <c r="S2016" s="184"/>
      <c r="T2016" s="184"/>
    </row>
    <row r="2017">
      <c r="A2017" s="184"/>
      <c r="B2017" s="184"/>
      <c r="C2017" s="184"/>
      <c r="D2017" s="184"/>
      <c r="E2017" s="184"/>
      <c r="F2017" s="184"/>
      <c r="G2017" s="184"/>
      <c r="H2017" s="184"/>
      <c r="I2017" s="184"/>
      <c r="J2017" s="184"/>
      <c r="K2017" s="184"/>
      <c r="L2017" s="184"/>
      <c r="M2017" s="184"/>
      <c r="N2017" s="184"/>
      <c r="O2017" s="184"/>
      <c r="P2017" s="184"/>
      <c r="Q2017" s="184"/>
      <c r="R2017" s="184"/>
      <c r="S2017" s="184"/>
      <c r="T2017" s="184"/>
    </row>
    <row r="2018">
      <c r="A2018" s="184"/>
      <c r="B2018" s="184"/>
      <c r="C2018" s="184"/>
      <c r="D2018" s="184"/>
      <c r="E2018" s="184"/>
      <c r="F2018" s="184"/>
      <c r="G2018" s="184"/>
      <c r="H2018" s="184"/>
      <c r="I2018" s="184"/>
      <c r="J2018" s="184"/>
      <c r="K2018" s="184"/>
      <c r="L2018" s="184"/>
      <c r="M2018" s="184"/>
      <c r="N2018" s="184"/>
      <c r="O2018" s="184"/>
      <c r="P2018" s="184"/>
      <c r="Q2018" s="184"/>
      <c r="R2018" s="184"/>
      <c r="S2018" s="184"/>
      <c r="T2018" s="184"/>
    </row>
    <row r="2019">
      <c r="A2019" s="184"/>
      <c r="B2019" s="184"/>
      <c r="C2019" s="184"/>
      <c r="D2019" s="184"/>
      <c r="E2019" s="184"/>
      <c r="F2019" s="184"/>
      <c r="G2019" s="184"/>
      <c r="H2019" s="184"/>
      <c r="I2019" s="184"/>
      <c r="J2019" s="184"/>
      <c r="K2019" s="184"/>
      <c r="L2019" s="184"/>
      <c r="M2019" s="184"/>
      <c r="N2019" s="184"/>
      <c r="O2019" s="184"/>
      <c r="P2019" s="184"/>
      <c r="Q2019" s="184"/>
      <c r="R2019" s="184"/>
      <c r="S2019" s="184"/>
      <c r="T2019" s="184"/>
    </row>
    <row r="2020">
      <c r="A2020" s="184"/>
      <c r="B2020" s="184"/>
      <c r="C2020" s="184"/>
      <c r="D2020" s="184"/>
      <c r="E2020" s="184"/>
      <c r="F2020" s="184"/>
      <c r="G2020" s="184"/>
      <c r="H2020" s="184"/>
      <c r="I2020" s="184"/>
      <c r="J2020" s="184"/>
      <c r="K2020" s="184"/>
      <c r="L2020" s="184"/>
      <c r="M2020" s="184"/>
      <c r="N2020" s="184"/>
      <c r="O2020" s="184"/>
      <c r="P2020" s="184"/>
      <c r="Q2020" s="184"/>
      <c r="R2020" s="184"/>
      <c r="S2020" s="184"/>
      <c r="T2020" s="184"/>
    </row>
    <row r="2021">
      <c r="A2021" s="184"/>
      <c r="B2021" s="184"/>
      <c r="C2021" s="184"/>
      <c r="D2021" s="184"/>
      <c r="E2021" s="184"/>
      <c r="F2021" s="184"/>
      <c r="G2021" s="184"/>
      <c r="H2021" s="184"/>
      <c r="I2021" s="184"/>
      <c r="J2021" s="184"/>
      <c r="K2021" s="184"/>
      <c r="L2021" s="184"/>
      <c r="M2021" s="184"/>
      <c r="N2021" s="184"/>
      <c r="O2021" s="184"/>
      <c r="P2021" s="184"/>
      <c r="Q2021" s="184"/>
      <c r="R2021" s="184"/>
      <c r="S2021" s="184"/>
      <c r="T2021" s="184"/>
    </row>
    <row r="2022">
      <c r="A2022" s="184"/>
      <c r="B2022" s="184"/>
      <c r="C2022" s="184"/>
      <c r="D2022" s="184"/>
      <c r="E2022" s="184"/>
      <c r="F2022" s="184"/>
      <c r="G2022" s="184"/>
      <c r="H2022" s="184"/>
      <c r="I2022" s="184"/>
      <c r="J2022" s="184"/>
      <c r="K2022" s="184"/>
      <c r="L2022" s="184"/>
      <c r="M2022" s="184"/>
      <c r="N2022" s="184"/>
      <c r="O2022" s="184"/>
      <c r="P2022" s="184"/>
      <c r="Q2022" s="184"/>
      <c r="R2022" s="184"/>
      <c r="S2022" s="184"/>
      <c r="T2022" s="184"/>
    </row>
    <row r="2023">
      <c r="A2023" s="184"/>
      <c r="B2023" s="184"/>
      <c r="C2023" s="184"/>
      <c r="D2023" s="184"/>
      <c r="E2023" s="184"/>
      <c r="F2023" s="184"/>
      <c r="G2023" s="184"/>
      <c r="H2023" s="184"/>
      <c r="I2023" s="184"/>
      <c r="J2023" s="184"/>
      <c r="K2023" s="184"/>
      <c r="L2023" s="184"/>
      <c r="M2023" s="184"/>
      <c r="N2023" s="184"/>
      <c r="O2023" s="184"/>
      <c r="P2023" s="184"/>
      <c r="Q2023" s="184"/>
      <c r="R2023" s="184"/>
      <c r="S2023" s="184"/>
      <c r="T2023" s="184"/>
    </row>
    <row r="2024">
      <c r="A2024" s="184"/>
      <c r="B2024" s="184"/>
      <c r="C2024" s="184"/>
      <c r="D2024" s="184"/>
      <c r="E2024" s="184"/>
      <c r="F2024" s="184"/>
      <c r="G2024" s="184"/>
      <c r="H2024" s="184"/>
      <c r="I2024" s="184"/>
      <c r="J2024" s="184"/>
      <c r="K2024" s="184"/>
      <c r="L2024" s="184"/>
      <c r="M2024" s="184"/>
      <c r="N2024" s="184"/>
      <c r="O2024" s="184"/>
      <c r="P2024" s="184"/>
      <c r="Q2024" s="184"/>
      <c r="R2024" s="184"/>
      <c r="S2024" s="184"/>
      <c r="T2024" s="184"/>
    </row>
    <row r="2025">
      <c r="A2025" s="184"/>
      <c r="B2025" s="184"/>
      <c r="C2025" s="184"/>
      <c r="D2025" s="184"/>
      <c r="E2025" s="184"/>
      <c r="F2025" s="184"/>
      <c r="G2025" s="184"/>
      <c r="H2025" s="184"/>
      <c r="I2025" s="184"/>
      <c r="J2025" s="184"/>
      <c r="K2025" s="184"/>
      <c r="L2025" s="184"/>
      <c r="M2025" s="184"/>
      <c r="N2025" s="184"/>
      <c r="O2025" s="184"/>
      <c r="P2025" s="184"/>
      <c r="Q2025" s="184"/>
      <c r="R2025" s="184"/>
      <c r="S2025" s="184"/>
      <c r="T2025" s="184"/>
    </row>
    <row r="2026">
      <c r="A2026" s="184"/>
      <c r="B2026" s="184"/>
      <c r="C2026" s="184"/>
      <c r="D2026" s="184"/>
      <c r="E2026" s="184"/>
      <c r="F2026" s="184"/>
      <c r="G2026" s="184"/>
      <c r="H2026" s="184"/>
      <c r="I2026" s="184"/>
      <c r="J2026" s="184"/>
      <c r="K2026" s="184"/>
      <c r="L2026" s="184"/>
      <c r="M2026" s="184"/>
      <c r="N2026" s="184"/>
      <c r="O2026" s="184"/>
      <c r="P2026" s="184"/>
      <c r="Q2026" s="184"/>
      <c r="R2026" s="184"/>
      <c r="S2026" s="184"/>
      <c r="T2026" s="184"/>
    </row>
    <row r="2027">
      <c r="A2027" s="184"/>
      <c r="B2027" s="184"/>
      <c r="C2027" s="184"/>
      <c r="D2027" s="184"/>
      <c r="E2027" s="184"/>
      <c r="F2027" s="184"/>
      <c r="G2027" s="184"/>
      <c r="H2027" s="184"/>
      <c r="I2027" s="184"/>
      <c r="J2027" s="184"/>
      <c r="K2027" s="184"/>
      <c r="L2027" s="184"/>
      <c r="M2027" s="184"/>
      <c r="N2027" s="184"/>
      <c r="O2027" s="184"/>
      <c r="P2027" s="184"/>
      <c r="Q2027" s="184"/>
      <c r="R2027" s="184"/>
      <c r="S2027" s="184"/>
      <c r="T2027" s="184"/>
    </row>
    <row r="2028">
      <c r="A2028" s="184"/>
      <c r="B2028" s="184"/>
      <c r="C2028" s="184"/>
      <c r="D2028" s="184"/>
      <c r="E2028" s="184"/>
      <c r="F2028" s="184"/>
      <c r="G2028" s="184"/>
      <c r="H2028" s="184"/>
      <c r="I2028" s="184"/>
      <c r="J2028" s="184"/>
      <c r="K2028" s="184"/>
      <c r="L2028" s="184"/>
      <c r="M2028" s="184"/>
      <c r="N2028" s="184"/>
      <c r="O2028" s="184"/>
      <c r="P2028" s="184"/>
      <c r="Q2028" s="184"/>
      <c r="R2028" s="184"/>
      <c r="S2028" s="184"/>
      <c r="T2028" s="184"/>
    </row>
    <row r="2029">
      <c r="A2029" s="184"/>
      <c r="B2029" s="184"/>
      <c r="C2029" s="184"/>
      <c r="D2029" s="184"/>
      <c r="E2029" s="184"/>
      <c r="F2029" s="184"/>
      <c r="G2029" s="184"/>
      <c r="H2029" s="184"/>
      <c r="I2029" s="184"/>
      <c r="J2029" s="184"/>
      <c r="K2029" s="184"/>
      <c r="L2029" s="184"/>
      <c r="M2029" s="184"/>
      <c r="N2029" s="184"/>
      <c r="O2029" s="184"/>
      <c r="P2029" s="184"/>
      <c r="Q2029" s="184"/>
      <c r="R2029" s="184"/>
      <c r="S2029" s="184"/>
      <c r="T2029" s="184"/>
    </row>
    <row r="2030">
      <c r="A2030" s="184"/>
      <c r="B2030" s="184"/>
      <c r="C2030" s="184"/>
      <c r="D2030" s="184"/>
      <c r="E2030" s="184"/>
      <c r="F2030" s="184"/>
      <c r="G2030" s="184"/>
      <c r="H2030" s="184"/>
      <c r="I2030" s="184"/>
      <c r="J2030" s="184"/>
      <c r="K2030" s="184"/>
      <c r="L2030" s="184"/>
      <c r="M2030" s="184"/>
      <c r="N2030" s="184"/>
      <c r="O2030" s="184"/>
      <c r="P2030" s="184"/>
      <c r="Q2030" s="184"/>
      <c r="R2030" s="184"/>
      <c r="S2030" s="184"/>
      <c r="T2030" s="184"/>
    </row>
    <row r="2031">
      <c r="A2031" s="184"/>
      <c r="B2031" s="184"/>
      <c r="C2031" s="184"/>
      <c r="D2031" s="184"/>
      <c r="E2031" s="184"/>
      <c r="F2031" s="184"/>
      <c r="G2031" s="184"/>
      <c r="H2031" s="184"/>
      <c r="I2031" s="184"/>
      <c r="J2031" s="184"/>
      <c r="K2031" s="184"/>
      <c r="L2031" s="184"/>
      <c r="M2031" s="184"/>
      <c r="N2031" s="184"/>
      <c r="O2031" s="184"/>
      <c r="P2031" s="184"/>
      <c r="Q2031" s="184"/>
      <c r="R2031" s="184"/>
      <c r="S2031" s="184"/>
      <c r="T2031" s="184"/>
    </row>
    <row r="2032">
      <c r="A2032" s="184"/>
      <c r="B2032" s="184"/>
      <c r="C2032" s="184"/>
      <c r="D2032" s="184"/>
      <c r="E2032" s="184"/>
      <c r="F2032" s="184"/>
      <c r="G2032" s="184"/>
      <c r="H2032" s="184"/>
      <c r="I2032" s="184"/>
      <c r="J2032" s="184"/>
      <c r="K2032" s="184"/>
      <c r="L2032" s="184"/>
      <c r="M2032" s="184"/>
      <c r="N2032" s="184"/>
      <c r="O2032" s="184"/>
      <c r="P2032" s="184"/>
      <c r="Q2032" s="184"/>
      <c r="R2032" s="184"/>
      <c r="S2032" s="184"/>
      <c r="T2032" s="184"/>
    </row>
    <row r="2033">
      <c r="A2033" s="184"/>
      <c r="B2033" s="184"/>
      <c r="C2033" s="184"/>
      <c r="D2033" s="184"/>
      <c r="E2033" s="184"/>
      <c r="F2033" s="184"/>
      <c r="G2033" s="184"/>
      <c r="H2033" s="184"/>
      <c r="I2033" s="184"/>
      <c r="J2033" s="184"/>
      <c r="K2033" s="184"/>
      <c r="L2033" s="184"/>
      <c r="M2033" s="184"/>
      <c r="N2033" s="184"/>
      <c r="O2033" s="184"/>
      <c r="P2033" s="184"/>
      <c r="Q2033" s="184"/>
      <c r="R2033" s="184"/>
      <c r="S2033" s="184"/>
      <c r="T2033" s="184"/>
    </row>
    <row r="2034">
      <c r="A2034" s="184"/>
      <c r="B2034" s="184"/>
      <c r="C2034" s="184"/>
      <c r="D2034" s="184"/>
      <c r="E2034" s="184"/>
      <c r="F2034" s="184"/>
      <c r="G2034" s="184"/>
      <c r="H2034" s="184"/>
      <c r="I2034" s="184"/>
      <c r="J2034" s="184"/>
      <c r="K2034" s="184"/>
      <c r="L2034" s="184"/>
      <c r="M2034" s="184"/>
      <c r="N2034" s="184"/>
      <c r="O2034" s="184"/>
      <c r="P2034" s="184"/>
      <c r="Q2034" s="184"/>
      <c r="R2034" s="184"/>
      <c r="S2034" s="184"/>
      <c r="T2034" s="184"/>
    </row>
    <row r="2035">
      <c r="A2035" s="184"/>
      <c r="B2035" s="184"/>
      <c r="C2035" s="184"/>
      <c r="D2035" s="184"/>
      <c r="E2035" s="184"/>
      <c r="F2035" s="184"/>
      <c r="G2035" s="184"/>
      <c r="H2035" s="184"/>
      <c r="I2035" s="184"/>
      <c r="J2035" s="184"/>
      <c r="K2035" s="184"/>
      <c r="L2035" s="184"/>
      <c r="M2035" s="184"/>
      <c r="N2035" s="184"/>
      <c r="O2035" s="184"/>
      <c r="P2035" s="184"/>
      <c r="Q2035" s="184"/>
      <c r="R2035" s="184"/>
      <c r="S2035" s="184"/>
      <c r="T2035" s="184"/>
    </row>
    <row r="2036">
      <c r="A2036" s="184"/>
      <c r="B2036" s="184"/>
      <c r="C2036" s="184"/>
      <c r="D2036" s="184"/>
      <c r="E2036" s="184"/>
      <c r="F2036" s="184"/>
      <c r="G2036" s="184"/>
      <c r="H2036" s="184"/>
      <c r="I2036" s="184"/>
      <c r="J2036" s="184"/>
      <c r="K2036" s="184"/>
      <c r="L2036" s="184"/>
      <c r="M2036" s="184"/>
      <c r="N2036" s="184"/>
      <c r="O2036" s="184"/>
      <c r="P2036" s="184"/>
      <c r="Q2036" s="184"/>
      <c r="R2036" s="184"/>
      <c r="S2036" s="184"/>
      <c r="T2036" s="184"/>
    </row>
    <row r="2037">
      <c r="A2037" s="184"/>
      <c r="B2037" s="184"/>
      <c r="C2037" s="184"/>
      <c r="D2037" s="184"/>
      <c r="E2037" s="184"/>
      <c r="F2037" s="184"/>
      <c r="G2037" s="184"/>
      <c r="H2037" s="184"/>
      <c r="I2037" s="184"/>
      <c r="J2037" s="184"/>
      <c r="K2037" s="184"/>
      <c r="L2037" s="184"/>
      <c r="M2037" s="184"/>
      <c r="N2037" s="184"/>
      <c r="O2037" s="184"/>
      <c r="P2037" s="184"/>
      <c r="Q2037" s="184"/>
      <c r="R2037" s="184"/>
      <c r="S2037" s="184"/>
      <c r="T2037" s="184"/>
    </row>
    <row r="2038">
      <c r="A2038" s="184"/>
      <c r="B2038" s="184"/>
      <c r="C2038" s="184"/>
      <c r="D2038" s="184"/>
      <c r="E2038" s="184"/>
      <c r="F2038" s="184"/>
      <c r="G2038" s="184"/>
      <c r="H2038" s="184"/>
      <c r="I2038" s="184"/>
      <c r="J2038" s="184"/>
      <c r="K2038" s="184"/>
      <c r="L2038" s="184"/>
      <c r="M2038" s="184"/>
      <c r="N2038" s="184"/>
      <c r="O2038" s="184"/>
      <c r="P2038" s="184"/>
      <c r="Q2038" s="184"/>
      <c r="R2038" s="184"/>
      <c r="S2038" s="184"/>
      <c r="T2038" s="184"/>
    </row>
    <row r="2039">
      <c r="A2039" s="184"/>
      <c r="B2039" s="184"/>
      <c r="C2039" s="184"/>
      <c r="D2039" s="184"/>
      <c r="E2039" s="184"/>
      <c r="F2039" s="184"/>
      <c r="G2039" s="184"/>
      <c r="H2039" s="184"/>
      <c r="I2039" s="184"/>
      <c r="J2039" s="184"/>
      <c r="K2039" s="184"/>
      <c r="L2039" s="184"/>
      <c r="M2039" s="184"/>
      <c r="N2039" s="184"/>
      <c r="O2039" s="184"/>
      <c r="P2039" s="184"/>
      <c r="Q2039" s="184"/>
      <c r="R2039" s="184"/>
      <c r="S2039" s="184"/>
      <c r="T2039" s="184"/>
    </row>
    <row r="2040">
      <c r="A2040" s="184"/>
      <c r="B2040" s="184"/>
      <c r="C2040" s="184"/>
      <c r="D2040" s="184"/>
      <c r="E2040" s="184"/>
      <c r="F2040" s="184"/>
      <c r="G2040" s="184"/>
      <c r="H2040" s="184"/>
      <c r="I2040" s="184"/>
      <c r="J2040" s="184"/>
      <c r="K2040" s="184"/>
      <c r="L2040" s="184"/>
      <c r="M2040" s="184"/>
      <c r="N2040" s="184"/>
      <c r="O2040" s="184"/>
      <c r="P2040" s="184"/>
      <c r="Q2040" s="184"/>
      <c r="R2040" s="184"/>
      <c r="S2040" s="184"/>
      <c r="T2040" s="184"/>
    </row>
    <row r="2041">
      <c r="A2041" s="184"/>
      <c r="B2041" s="184"/>
      <c r="C2041" s="184"/>
      <c r="D2041" s="184"/>
      <c r="E2041" s="184"/>
      <c r="F2041" s="184"/>
      <c r="G2041" s="184"/>
      <c r="H2041" s="184"/>
      <c r="I2041" s="184"/>
      <c r="J2041" s="184"/>
      <c r="K2041" s="184"/>
      <c r="L2041" s="184"/>
      <c r="M2041" s="184"/>
      <c r="N2041" s="184"/>
      <c r="O2041" s="184"/>
      <c r="P2041" s="184"/>
      <c r="Q2041" s="184"/>
      <c r="R2041" s="184"/>
      <c r="S2041" s="184"/>
      <c r="T2041" s="184"/>
    </row>
    <row r="2042">
      <c r="A2042" s="184"/>
      <c r="B2042" s="184"/>
      <c r="C2042" s="184"/>
      <c r="D2042" s="184"/>
      <c r="E2042" s="184"/>
      <c r="F2042" s="184"/>
      <c r="G2042" s="184"/>
      <c r="H2042" s="184"/>
      <c r="I2042" s="184"/>
      <c r="J2042" s="184"/>
      <c r="K2042" s="184"/>
      <c r="L2042" s="184"/>
      <c r="M2042" s="184"/>
      <c r="N2042" s="184"/>
      <c r="O2042" s="184"/>
      <c r="P2042" s="184"/>
      <c r="Q2042" s="184"/>
      <c r="R2042" s="184"/>
      <c r="S2042" s="184"/>
      <c r="T2042" s="184"/>
    </row>
    <row r="2043">
      <c r="A2043" s="184"/>
      <c r="B2043" s="184"/>
      <c r="C2043" s="184"/>
      <c r="D2043" s="184"/>
      <c r="E2043" s="184"/>
      <c r="F2043" s="184"/>
      <c r="G2043" s="184"/>
      <c r="H2043" s="184"/>
      <c r="I2043" s="184"/>
      <c r="J2043" s="184"/>
      <c r="K2043" s="184"/>
      <c r="L2043" s="184"/>
      <c r="M2043" s="184"/>
      <c r="N2043" s="184"/>
      <c r="O2043" s="184"/>
      <c r="P2043" s="184"/>
      <c r="Q2043" s="184"/>
      <c r="R2043" s="184"/>
      <c r="S2043" s="184"/>
      <c r="T2043" s="184"/>
    </row>
    <row r="2044">
      <c r="A2044" s="184"/>
      <c r="B2044" s="184"/>
      <c r="C2044" s="184"/>
      <c r="D2044" s="184"/>
      <c r="E2044" s="184"/>
      <c r="F2044" s="184"/>
      <c r="G2044" s="184"/>
      <c r="H2044" s="184"/>
      <c r="I2044" s="184"/>
      <c r="J2044" s="184"/>
      <c r="K2044" s="184"/>
      <c r="L2044" s="184"/>
      <c r="M2044" s="184"/>
      <c r="N2044" s="184"/>
      <c r="O2044" s="184"/>
      <c r="P2044" s="184"/>
      <c r="Q2044" s="184"/>
      <c r="R2044" s="184"/>
      <c r="S2044" s="184"/>
      <c r="T2044" s="184"/>
    </row>
    <row r="2045">
      <c r="A2045" s="184"/>
      <c r="B2045" s="184"/>
      <c r="C2045" s="184"/>
      <c r="D2045" s="184"/>
      <c r="E2045" s="184"/>
      <c r="F2045" s="184"/>
      <c r="G2045" s="184"/>
      <c r="H2045" s="184"/>
      <c r="I2045" s="184"/>
      <c r="J2045" s="184"/>
      <c r="K2045" s="184"/>
      <c r="L2045" s="184"/>
      <c r="M2045" s="184"/>
      <c r="N2045" s="184"/>
      <c r="O2045" s="184"/>
      <c r="P2045" s="184"/>
      <c r="Q2045" s="184"/>
      <c r="R2045" s="184"/>
      <c r="S2045" s="184"/>
      <c r="T2045" s="184"/>
    </row>
    <row r="2046">
      <c r="A2046" s="184"/>
      <c r="B2046" s="184"/>
      <c r="C2046" s="184"/>
      <c r="D2046" s="184"/>
      <c r="E2046" s="184"/>
      <c r="F2046" s="184"/>
      <c r="G2046" s="184"/>
      <c r="H2046" s="184"/>
      <c r="I2046" s="184"/>
      <c r="J2046" s="184"/>
      <c r="K2046" s="184"/>
      <c r="L2046" s="184"/>
      <c r="M2046" s="184"/>
      <c r="N2046" s="184"/>
      <c r="O2046" s="184"/>
      <c r="P2046" s="184"/>
      <c r="Q2046" s="184"/>
      <c r="R2046" s="184"/>
      <c r="S2046" s="184"/>
      <c r="T2046" s="184"/>
    </row>
    <row r="2047">
      <c r="A2047" s="184"/>
      <c r="B2047" s="184"/>
      <c r="C2047" s="184"/>
      <c r="D2047" s="184"/>
      <c r="E2047" s="184"/>
      <c r="F2047" s="184"/>
      <c r="G2047" s="184"/>
      <c r="H2047" s="184"/>
      <c r="I2047" s="184"/>
      <c r="J2047" s="184"/>
      <c r="K2047" s="184"/>
      <c r="L2047" s="184"/>
      <c r="M2047" s="184"/>
      <c r="N2047" s="184"/>
      <c r="O2047" s="184"/>
      <c r="P2047" s="184"/>
      <c r="Q2047" s="184"/>
      <c r="R2047" s="184"/>
      <c r="S2047" s="184"/>
      <c r="T2047" s="184"/>
    </row>
    <row r="2048">
      <c r="A2048" s="184"/>
      <c r="B2048" s="184"/>
      <c r="C2048" s="184"/>
      <c r="D2048" s="184"/>
      <c r="E2048" s="184"/>
      <c r="F2048" s="184"/>
      <c r="G2048" s="184"/>
      <c r="H2048" s="184"/>
      <c r="I2048" s="184"/>
      <c r="J2048" s="184"/>
      <c r="K2048" s="184"/>
      <c r="L2048" s="184"/>
      <c r="M2048" s="184"/>
      <c r="N2048" s="184"/>
      <c r="O2048" s="184"/>
      <c r="P2048" s="184"/>
      <c r="Q2048" s="184"/>
      <c r="R2048" s="184"/>
      <c r="S2048" s="184"/>
      <c r="T2048" s="184"/>
    </row>
    <row r="2049">
      <c r="A2049" s="184"/>
      <c r="B2049" s="184"/>
      <c r="C2049" s="184"/>
      <c r="D2049" s="184"/>
      <c r="E2049" s="184"/>
      <c r="F2049" s="184"/>
      <c r="G2049" s="184"/>
      <c r="H2049" s="184"/>
      <c r="I2049" s="184"/>
      <c r="J2049" s="184"/>
      <c r="K2049" s="184"/>
      <c r="L2049" s="184"/>
      <c r="M2049" s="184"/>
      <c r="N2049" s="184"/>
      <c r="O2049" s="184"/>
      <c r="P2049" s="184"/>
      <c r="Q2049" s="184"/>
      <c r="R2049" s="184"/>
      <c r="S2049" s="184"/>
      <c r="T2049" s="184"/>
    </row>
    <row r="2050">
      <c r="A2050" s="184"/>
      <c r="B2050" s="184"/>
      <c r="C2050" s="184"/>
      <c r="D2050" s="184"/>
      <c r="E2050" s="184"/>
      <c r="F2050" s="184"/>
      <c r="G2050" s="184"/>
      <c r="H2050" s="184"/>
      <c r="I2050" s="184"/>
      <c r="J2050" s="184"/>
      <c r="K2050" s="184"/>
      <c r="L2050" s="184"/>
      <c r="M2050" s="184"/>
      <c r="N2050" s="184"/>
      <c r="O2050" s="184"/>
      <c r="P2050" s="184"/>
      <c r="Q2050" s="184"/>
      <c r="R2050" s="184"/>
      <c r="S2050" s="184"/>
      <c r="T2050" s="184"/>
    </row>
    <row r="2051">
      <c r="A2051" s="184"/>
      <c r="B2051" s="184"/>
      <c r="C2051" s="184"/>
      <c r="D2051" s="184"/>
      <c r="E2051" s="184"/>
      <c r="F2051" s="184"/>
      <c r="G2051" s="184"/>
      <c r="H2051" s="184"/>
      <c r="I2051" s="184"/>
      <c r="J2051" s="184"/>
      <c r="K2051" s="184"/>
      <c r="L2051" s="184"/>
      <c r="M2051" s="184"/>
      <c r="N2051" s="184"/>
      <c r="O2051" s="184"/>
      <c r="P2051" s="184"/>
      <c r="Q2051" s="184"/>
      <c r="R2051" s="184"/>
      <c r="S2051" s="184"/>
      <c r="T2051" s="184"/>
    </row>
    <row r="2052">
      <c r="A2052" s="184"/>
      <c r="B2052" s="184"/>
      <c r="C2052" s="184"/>
      <c r="D2052" s="184"/>
      <c r="E2052" s="184"/>
      <c r="F2052" s="184"/>
      <c r="G2052" s="184"/>
      <c r="H2052" s="184"/>
      <c r="I2052" s="184"/>
      <c r="J2052" s="184"/>
      <c r="K2052" s="184"/>
      <c r="L2052" s="184"/>
      <c r="M2052" s="184"/>
      <c r="N2052" s="184"/>
      <c r="O2052" s="184"/>
      <c r="P2052" s="184"/>
      <c r="Q2052" s="184"/>
      <c r="R2052" s="184"/>
      <c r="S2052" s="184"/>
      <c r="T2052" s="184"/>
    </row>
    <row r="2053">
      <c r="A2053" s="184"/>
      <c r="B2053" s="184"/>
      <c r="C2053" s="184"/>
      <c r="D2053" s="184"/>
      <c r="E2053" s="184"/>
      <c r="F2053" s="184"/>
      <c r="G2053" s="184"/>
      <c r="H2053" s="184"/>
      <c r="I2053" s="184"/>
      <c r="J2053" s="184"/>
      <c r="K2053" s="184"/>
      <c r="L2053" s="184"/>
      <c r="M2053" s="184"/>
      <c r="N2053" s="184"/>
      <c r="O2053" s="184"/>
      <c r="P2053" s="184"/>
      <c r="Q2053" s="184"/>
      <c r="R2053" s="184"/>
      <c r="S2053" s="184"/>
      <c r="T2053" s="184"/>
    </row>
    <row r="2054">
      <c r="A2054" s="184"/>
      <c r="B2054" s="184"/>
      <c r="C2054" s="184"/>
      <c r="D2054" s="184"/>
      <c r="E2054" s="184"/>
      <c r="F2054" s="184"/>
      <c r="G2054" s="184"/>
      <c r="H2054" s="184"/>
      <c r="I2054" s="184"/>
      <c r="J2054" s="184"/>
      <c r="K2054" s="184"/>
      <c r="L2054" s="184"/>
      <c r="M2054" s="184"/>
      <c r="N2054" s="184"/>
      <c r="O2054" s="184"/>
      <c r="P2054" s="184"/>
      <c r="Q2054" s="184"/>
      <c r="R2054" s="184"/>
      <c r="S2054" s="184"/>
      <c r="T2054" s="184"/>
    </row>
    <row r="2055">
      <c r="A2055" s="184"/>
      <c r="B2055" s="184"/>
      <c r="C2055" s="184"/>
      <c r="D2055" s="184"/>
      <c r="E2055" s="184"/>
      <c r="F2055" s="184"/>
      <c r="G2055" s="184"/>
      <c r="H2055" s="184"/>
      <c r="I2055" s="184"/>
      <c r="J2055" s="184"/>
      <c r="K2055" s="184"/>
      <c r="L2055" s="184"/>
      <c r="M2055" s="184"/>
      <c r="N2055" s="184"/>
      <c r="O2055" s="184"/>
      <c r="P2055" s="184"/>
      <c r="Q2055" s="184"/>
      <c r="R2055" s="184"/>
      <c r="S2055" s="184"/>
      <c r="T2055" s="184"/>
    </row>
    <row r="2056">
      <c r="A2056" s="184"/>
      <c r="B2056" s="184"/>
      <c r="C2056" s="184"/>
      <c r="D2056" s="184"/>
      <c r="E2056" s="184"/>
      <c r="F2056" s="184"/>
      <c r="G2056" s="184"/>
      <c r="H2056" s="184"/>
      <c r="I2056" s="184"/>
      <c r="J2056" s="184"/>
      <c r="K2056" s="184"/>
      <c r="L2056" s="184"/>
      <c r="M2056" s="184"/>
      <c r="N2056" s="184"/>
      <c r="O2056" s="184"/>
      <c r="P2056" s="184"/>
      <c r="Q2056" s="184"/>
      <c r="R2056" s="184"/>
      <c r="S2056" s="184"/>
      <c r="T2056" s="184"/>
    </row>
    <row r="2057">
      <c r="A2057" s="184"/>
      <c r="B2057" s="184"/>
      <c r="C2057" s="184"/>
      <c r="D2057" s="184"/>
      <c r="E2057" s="184"/>
      <c r="F2057" s="184"/>
      <c r="G2057" s="184"/>
      <c r="H2057" s="184"/>
      <c r="I2057" s="184"/>
      <c r="J2057" s="184"/>
      <c r="K2057" s="184"/>
      <c r="L2057" s="184"/>
      <c r="M2057" s="184"/>
      <c r="N2057" s="184"/>
      <c r="O2057" s="184"/>
      <c r="P2057" s="184"/>
      <c r="Q2057" s="184"/>
      <c r="R2057" s="184"/>
      <c r="S2057" s="184"/>
      <c r="T2057" s="184"/>
    </row>
    <row r="2058">
      <c r="A2058" s="184"/>
      <c r="B2058" s="184"/>
      <c r="C2058" s="184"/>
      <c r="D2058" s="184"/>
      <c r="E2058" s="184"/>
      <c r="F2058" s="184"/>
      <c r="G2058" s="184"/>
      <c r="H2058" s="184"/>
      <c r="I2058" s="184"/>
      <c r="J2058" s="184"/>
      <c r="K2058" s="184"/>
      <c r="L2058" s="184"/>
      <c r="M2058" s="184"/>
      <c r="N2058" s="184"/>
      <c r="O2058" s="184"/>
      <c r="P2058" s="184"/>
      <c r="Q2058" s="184"/>
      <c r="R2058" s="184"/>
      <c r="S2058" s="184"/>
      <c r="T2058" s="184"/>
    </row>
    <row r="2059">
      <c r="A2059" s="184"/>
      <c r="B2059" s="184"/>
      <c r="C2059" s="184"/>
      <c r="D2059" s="184"/>
      <c r="E2059" s="184"/>
      <c r="F2059" s="184"/>
      <c r="G2059" s="184"/>
      <c r="H2059" s="184"/>
      <c r="I2059" s="184"/>
      <c r="J2059" s="184"/>
      <c r="K2059" s="184"/>
      <c r="L2059" s="184"/>
      <c r="M2059" s="184"/>
      <c r="N2059" s="184"/>
      <c r="O2059" s="184"/>
      <c r="P2059" s="184"/>
      <c r="Q2059" s="184"/>
      <c r="R2059" s="184"/>
      <c r="S2059" s="184"/>
      <c r="T2059" s="184"/>
    </row>
    <row r="2060">
      <c r="A2060" s="184"/>
      <c r="B2060" s="184"/>
      <c r="C2060" s="184"/>
      <c r="D2060" s="184"/>
      <c r="E2060" s="184"/>
      <c r="F2060" s="184"/>
      <c r="G2060" s="184"/>
      <c r="H2060" s="184"/>
      <c r="I2060" s="184"/>
      <c r="J2060" s="184"/>
      <c r="K2060" s="184"/>
      <c r="L2060" s="184"/>
      <c r="M2060" s="184"/>
      <c r="N2060" s="184"/>
      <c r="O2060" s="184"/>
      <c r="P2060" s="184"/>
      <c r="Q2060" s="184"/>
      <c r="R2060" s="184"/>
      <c r="S2060" s="184"/>
      <c r="T2060" s="184"/>
    </row>
    <row r="2061">
      <c r="A2061" s="184"/>
      <c r="B2061" s="184"/>
      <c r="C2061" s="184"/>
      <c r="D2061" s="184"/>
      <c r="E2061" s="184"/>
      <c r="F2061" s="184"/>
      <c r="G2061" s="184"/>
      <c r="H2061" s="184"/>
      <c r="I2061" s="184"/>
      <c r="J2061" s="184"/>
      <c r="K2061" s="184"/>
      <c r="L2061" s="184"/>
      <c r="M2061" s="184"/>
      <c r="N2061" s="184"/>
      <c r="O2061" s="184"/>
      <c r="P2061" s="184"/>
      <c r="Q2061" s="184"/>
      <c r="R2061" s="184"/>
      <c r="S2061" s="184"/>
      <c r="T2061" s="184"/>
    </row>
    <row r="2062">
      <c r="A2062" s="184"/>
      <c r="B2062" s="184"/>
      <c r="C2062" s="184"/>
      <c r="D2062" s="184"/>
      <c r="E2062" s="184"/>
      <c r="F2062" s="184"/>
      <c r="G2062" s="184"/>
      <c r="H2062" s="184"/>
      <c r="I2062" s="184"/>
      <c r="J2062" s="184"/>
      <c r="K2062" s="184"/>
      <c r="L2062" s="184"/>
      <c r="M2062" s="184"/>
      <c r="N2062" s="184"/>
      <c r="O2062" s="184"/>
      <c r="P2062" s="184"/>
      <c r="Q2062" s="184"/>
      <c r="R2062" s="184"/>
      <c r="S2062" s="184"/>
      <c r="T2062" s="184"/>
    </row>
    <row r="2063">
      <c r="A2063" s="184"/>
      <c r="B2063" s="184"/>
      <c r="C2063" s="184"/>
      <c r="D2063" s="184"/>
      <c r="E2063" s="184"/>
      <c r="F2063" s="184"/>
      <c r="G2063" s="184"/>
      <c r="H2063" s="184"/>
      <c r="I2063" s="184"/>
      <c r="J2063" s="184"/>
      <c r="K2063" s="184"/>
      <c r="L2063" s="184"/>
      <c r="M2063" s="184"/>
      <c r="N2063" s="184"/>
      <c r="O2063" s="184"/>
      <c r="P2063" s="184"/>
      <c r="Q2063" s="184"/>
      <c r="R2063" s="184"/>
      <c r="S2063" s="184"/>
      <c r="T2063" s="184"/>
    </row>
    <row r="2064">
      <c r="A2064" s="184"/>
      <c r="B2064" s="184"/>
      <c r="C2064" s="184"/>
      <c r="D2064" s="184"/>
      <c r="E2064" s="184"/>
      <c r="F2064" s="184"/>
      <c r="G2064" s="184"/>
      <c r="H2064" s="184"/>
      <c r="I2064" s="184"/>
      <c r="J2064" s="184"/>
      <c r="K2064" s="184"/>
      <c r="L2064" s="184"/>
      <c r="M2064" s="184"/>
      <c r="N2064" s="184"/>
      <c r="O2064" s="184"/>
      <c r="P2064" s="184"/>
      <c r="Q2064" s="184"/>
      <c r="R2064" s="184"/>
      <c r="S2064" s="184"/>
      <c r="T2064" s="184"/>
    </row>
    <row r="2065">
      <c r="A2065" s="184"/>
      <c r="B2065" s="184"/>
      <c r="C2065" s="184"/>
      <c r="D2065" s="184"/>
      <c r="E2065" s="184"/>
      <c r="F2065" s="184"/>
      <c r="G2065" s="184"/>
      <c r="H2065" s="184"/>
      <c r="I2065" s="184"/>
      <c r="J2065" s="184"/>
      <c r="K2065" s="184"/>
      <c r="L2065" s="184"/>
      <c r="M2065" s="184"/>
      <c r="N2065" s="184"/>
      <c r="O2065" s="184"/>
      <c r="P2065" s="184"/>
      <c r="Q2065" s="184"/>
      <c r="R2065" s="184"/>
      <c r="S2065" s="184"/>
      <c r="T2065" s="184"/>
    </row>
    <row r="2066">
      <c r="A2066" s="184"/>
      <c r="B2066" s="184"/>
      <c r="C2066" s="184"/>
      <c r="D2066" s="184"/>
      <c r="E2066" s="184"/>
      <c r="F2066" s="184"/>
      <c r="G2066" s="184"/>
      <c r="H2066" s="184"/>
      <c r="I2066" s="184"/>
      <c r="J2066" s="184"/>
      <c r="K2066" s="184"/>
      <c r="L2066" s="184"/>
      <c r="M2066" s="184"/>
      <c r="N2066" s="184"/>
      <c r="O2066" s="184"/>
      <c r="P2066" s="184"/>
      <c r="Q2066" s="184"/>
      <c r="R2066" s="184"/>
      <c r="S2066" s="184"/>
      <c r="T2066" s="184"/>
    </row>
    <row r="2067">
      <c r="A2067" s="184"/>
      <c r="B2067" s="184"/>
      <c r="C2067" s="184"/>
      <c r="D2067" s="184"/>
      <c r="E2067" s="184"/>
      <c r="F2067" s="184"/>
      <c r="G2067" s="184"/>
      <c r="H2067" s="184"/>
      <c r="I2067" s="184"/>
      <c r="J2067" s="184"/>
      <c r="K2067" s="184"/>
      <c r="L2067" s="184"/>
      <c r="M2067" s="184"/>
      <c r="N2067" s="184"/>
      <c r="O2067" s="184"/>
      <c r="P2067" s="184"/>
      <c r="Q2067" s="184"/>
      <c r="R2067" s="184"/>
      <c r="S2067" s="184"/>
      <c r="T2067" s="184"/>
    </row>
    <row r="2068">
      <c r="A2068" s="184"/>
      <c r="B2068" s="184"/>
      <c r="C2068" s="184"/>
      <c r="D2068" s="184"/>
      <c r="E2068" s="184"/>
      <c r="F2068" s="184"/>
      <c r="G2068" s="184"/>
      <c r="H2068" s="184"/>
      <c r="I2068" s="184"/>
      <c r="J2068" s="184"/>
      <c r="K2068" s="184"/>
      <c r="L2068" s="184"/>
      <c r="M2068" s="184"/>
      <c r="N2068" s="184"/>
      <c r="O2068" s="184"/>
      <c r="P2068" s="184"/>
      <c r="Q2068" s="184"/>
      <c r="R2068" s="184"/>
      <c r="S2068" s="184"/>
      <c r="T2068" s="184"/>
    </row>
    <row r="2069">
      <c r="A2069" s="184"/>
      <c r="B2069" s="184"/>
      <c r="C2069" s="184"/>
      <c r="D2069" s="184"/>
      <c r="E2069" s="184"/>
      <c r="F2069" s="184"/>
      <c r="G2069" s="184"/>
      <c r="H2069" s="184"/>
      <c r="I2069" s="184"/>
      <c r="J2069" s="184"/>
      <c r="K2069" s="184"/>
      <c r="L2069" s="184"/>
      <c r="M2069" s="184"/>
      <c r="N2069" s="184"/>
      <c r="O2069" s="184"/>
      <c r="P2069" s="184"/>
      <c r="Q2069" s="184"/>
      <c r="R2069" s="184"/>
      <c r="S2069" s="184"/>
      <c r="T2069" s="184"/>
    </row>
    <row r="2070">
      <c r="A2070" s="184"/>
      <c r="B2070" s="184"/>
      <c r="C2070" s="184"/>
      <c r="D2070" s="184"/>
      <c r="E2070" s="184"/>
      <c r="F2070" s="184"/>
      <c r="G2070" s="184"/>
      <c r="H2070" s="184"/>
      <c r="I2070" s="184"/>
      <c r="J2070" s="184"/>
      <c r="K2070" s="184"/>
      <c r="L2070" s="184"/>
      <c r="M2070" s="184"/>
      <c r="N2070" s="184"/>
      <c r="O2070" s="184"/>
      <c r="P2070" s="184"/>
      <c r="Q2070" s="184"/>
      <c r="R2070" s="184"/>
      <c r="S2070" s="184"/>
      <c r="T2070" s="184"/>
    </row>
    <row r="2071">
      <c r="A2071" s="184"/>
      <c r="B2071" s="184"/>
      <c r="C2071" s="184"/>
      <c r="D2071" s="184"/>
      <c r="E2071" s="184"/>
      <c r="F2071" s="184"/>
      <c r="G2071" s="184"/>
      <c r="H2071" s="184"/>
      <c r="I2071" s="184"/>
      <c r="J2071" s="184"/>
      <c r="K2071" s="184"/>
      <c r="L2071" s="184"/>
      <c r="M2071" s="184"/>
      <c r="N2071" s="184"/>
      <c r="O2071" s="184"/>
      <c r="P2071" s="184"/>
      <c r="Q2071" s="184"/>
      <c r="R2071" s="184"/>
      <c r="S2071" s="184"/>
      <c r="T2071" s="184"/>
    </row>
    <row r="2072">
      <c r="A2072" s="184"/>
      <c r="B2072" s="184"/>
      <c r="C2072" s="184"/>
      <c r="D2072" s="184"/>
      <c r="E2072" s="184"/>
      <c r="F2072" s="184"/>
      <c r="G2072" s="184"/>
      <c r="H2072" s="184"/>
      <c r="I2072" s="184"/>
      <c r="J2072" s="184"/>
      <c r="K2072" s="184"/>
      <c r="L2072" s="184"/>
      <c r="M2072" s="184"/>
      <c r="N2072" s="184"/>
      <c r="O2072" s="184"/>
      <c r="P2072" s="184"/>
      <c r="Q2072" s="184"/>
      <c r="R2072" s="184"/>
      <c r="S2072" s="184"/>
      <c r="T2072" s="184"/>
    </row>
    <row r="2073">
      <c r="A2073" s="184"/>
      <c r="B2073" s="184"/>
      <c r="C2073" s="184"/>
      <c r="D2073" s="184"/>
      <c r="E2073" s="184"/>
      <c r="F2073" s="184"/>
      <c r="G2073" s="184"/>
      <c r="H2073" s="184"/>
      <c r="I2073" s="184"/>
      <c r="J2073" s="184"/>
      <c r="K2073" s="184"/>
      <c r="L2073" s="184"/>
      <c r="M2073" s="184"/>
      <c r="N2073" s="184"/>
      <c r="O2073" s="184"/>
      <c r="P2073" s="184"/>
      <c r="Q2073" s="184"/>
      <c r="R2073" s="184"/>
      <c r="S2073" s="184"/>
      <c r="T2073" s="184"/>
    </row>
    <row r="2074">
      <c r="A2074" s="184"/>
      <c r="B2074" s="184"/>
      <c r="C2074" s="184"/>
      <c r="D2074" s="184"/>
      <c r="E2074" s="184"/>
      <c r="F2074" s="184"/>
      <c r="G2074" s="184"/>
      <c r="H2074" s="184"/>
      <c r="I2074" s="184"/>
      <c r="J2074" s="184"/>
      <c r="K2074" s="184"/>
      <c r="L2074" s="184"/>
      <c r="M2074" s="184"/>
      <c r="N2074" s="184"/>
      <c r="O2074" s="184"/>
      <c r="P2074" s="184"/>
      <c r="Q2074" s="184"/>
      <c r="R2074" s="184"/>
      <c r="S2074" s="184"/>
      <c r="T2074" s="184"/>
    </row>
    <row r="2075">
      <c r="A2075" s="184"/>
      <c r="B2075" s="184"/>
      <c r="C2075" s="184"/>
      <c r="D2075" s="184"/>
      <c r="E2075" s="184"/>
      <c r="F2075" s="184"/>
      <c r="G2075" s="184"/>
      <c r="H2075" s="184"/>
      <c r="I2075" s="184"/>
      <c r="J2075" s="184"/>
      <c r="K2075" s="184"/>
      <c r="L2075" s="184"/>
      <c r="M2075" s="184"/>
      <c r="N2075" s="184"/>
      <c r="O2075" s="184"/>
      <c r="P2075" s="184"/>
      <c r="Q2075" s="184"/>
      <c r="R2075" s="184"/>
      <c r="S2075" s="184"/>
      <c r="T2075" s="184"/>
    </row>
    <row r="2076">
      <c r="A2076" s="184"/>
      <c r="B2076" s="184"/>
      <c r="C2076" s="184"/>
      <c r="D2076" s="184"/>
      <c r="E2076" s="184"/>
      <c r="F2076" s="184"/>
      <c r="G2076" s="184"/>
      <c r="H2076" s="184"/>
      <c r="I2076" s="184"/>
      <c r="J2076" s="184"/>
      <c r="K2076" s="184"/>
      <c r="L2076" s="184"/>
      <c r="M2076" s="184"/>
      <c r="N2076" s="184"/>
      <c r="O2076" s="184"/>
      <c r="P2076" s="184"/>
      <c r="Q2076" s="184"/>
      <c r="R2076" s="184"/>
      <c r="S2076" s="184"/>
      <c r="T2076" s="184"/>
    </row>
    <row r="2077">
      <c r="A2077" s="184"/>
      <c r="B2077" s="184"/>
      <c r="C2077" s="184"/>
      <c r="D2077" s="184"/>
      <c r="E2077" s="184"/>
      <c r="F2077" s="184"/>
      <c r="G2077" s="184"/>
      <c r="H2077" s="184"/>
      <c r="I2077" s="184"/>
      <c r="J2077" s="184"/>
      <c r="K2077" s="184"/>
      <c r="L2077" s="184"/>
      <c r="M2077" s="184"/>
      <c r="N2077" s="184"/>
      <c r="O2077" s="184"/>
      <c r="P2077" s="184"/>
      <c r="Q2077" s="184"/>
      <c r="R2077" s="184"/>
      <c r="S2077" s="184"/>
      <c r="T2077" s="184"/>
    </row>
    <row r="2078">
      <c r="A2078" s="184"/>
      <c r="B2078" s="184"/>
      <c r="C2078" s="184"/>
      <c r="D2078" s="184"/>
      <c r="E2078" s="184"/>
      <c r="F2078" s="184"/>
      <c r="G2078" s="184"/>
      <c r="H2078" s="184"/>
      <c r="I2078" s="184"/>
      <c r="J2078" s="184"/>
      <c r="K2078" s="184"/>
      <c r="L2078" s="184"/>
      <c r="M2078" s="184"/>
      <c r="N2078" s="184"/>
      <c r="O2078" s="184"/>
      <c r="P2078" s="184"/>
      <c r="Q2078" s="184"/>
      <c r="R2078" s="184"/>
      <c r="S2078" s="184"/>
      <c r="T2078" s="184"/>
    </row>
    <row r="2079">
      <c r="A2079" s="184"/>
      <c r="B2079" s="184"/>
      <c r="C2079" s="184"/>
      <c r="D2079" s="184"/>
      <c r="E2079" s="184"/>
      <c r="F2079" s="184"/>
      <c r="G2079" s="184"/>
      <c r="H2079" s="184"/>
      <c r="I2079" s="184"/>
      <c r="J2079" s="184"/>
      <c r="K2079" s="184"/>
      <c r="L2079" s="184"/>
      <c r="M2079" s="184"/>
      <c r="N2079" s="184"/>
      <c r="O2079" s="184"/>
      <c r="P2079" s="184"/>
      <c r="Q2079" s="184"/>
      <c r="R2079" s="184"/>
      <c r="S2079" s="184"/>
      <c r="T2079" s="184"/>
    </row>
    <row r="2080">
      <c r="A2080" s="184"/>
      <c r="B2080" s="184"/>
      <c r="C2080" s="184"/>
      <c r="D2080" s="184"/>
      <c r="E2080" s="184"/>
      <c r="F2080" s="184"/>
      <c r="G2080" s="184"/>
      <c r="H2080" s="184"/>
      <c r="I2080" s="184"/>
      <c r="J2080" s="184"/>
      <c r="K2080" s="184"/>
      <c r="L2080" s="184"/>
      <c r="M2080" s="184"/>
      <c r="N2080" s="184"/>
      <c r="O2080" s="184"/>
      <c r="P2080" s="184"/>
      <c r="Q2080" s="184"/>
      <c r="R2080" s="184"/>
      <c r="S2080" s="184"/>
      <c r="T2080" s="184"/>
    </row>
    <row r="2081">
      <c r="A2081" s="184"/>
      <c r="B2081" s="184"/>
      <c r="C2081" s="184"/>
      <c r="D2081" s="184"/>
      <c r="E2081" s="184"/>
      <c r="F2081" s="184"/>
      <c r="G2081" s="184"/>
      <c r="H2081" s="184"/>
      <c r="I2081" s="184"/>
      <c r="J2081" s="184"/>
      <c r="K2081" s="184"/>
      <c r="L2081" s="184"/>
      <c r="M2081" s="184"/>
      <c r="N2081" s="184"/>
      <c r="O2081" s="184"/>
      <c r="P2081" s="184"/>
      <c r="Q2081" s="184"/>
      <c r="R2081" s="184"/>
      <c r="S2081" s="184"/>
      <c r="T2081" s="184"/>
    </row>
    <row r="2082">
      <c r="A2082" s="184"/>
      <c r="B2082" s="184"/>
      <c r="C2082" s="184"/>
      <c r="D2082" s="184"/>
      <c r="E2082" s="184"/>
      <c r="F2082" s="184"/>
      <c r="G2082" s="184"/>
      <c r="H2082" s="184"/>
      <c r="I2082" s="184"/>
      <c r="J2082" s="184"/>
      <c r="K2082" s="184"/>
      <c r="L2082" s="184"/>
      <c r="M2082" s="184"/>
      <c r="N2082" s="184"/>
      <c r="O2082" s="184"/>
      <c r="P2082" s="184"/>
      <c r="Q2082" s="184"/>
      <c r="R2082" s="184"/>
      <c r="S2082" s="184"/>
      <c r="T2082" s="184"/>
    </row>
    <row r="2083">
      <c r="A2083" s="184"/>
      <c r="B2083" s="184"/>
      <c r="C2083" s="184"/>
      <c r="D2083" s="184"/>
      <c r="E2083" s="184"/>
      <c r="F2083" s="184"/>
      <c r="G2083" s="184"/>
      <c r="H2083" s="184"/>
      <c r="I2083" s="184"/>
      <c r="J2083" s="184"/>
      <c r="K2083" s="184"/>
      <c r="L2083" s="184"/>
      <c r="M2083" s="184"/>
      <c r="N2083" s="184"/>
      <c r="O2083" s="184"/>
      <c r="P2083" s="184"/>
      <c r="Q2083" s="184"/>
      <c r="R2083" s="184"/>
      <c r="S2083" s="184"/>
      <c r="T2083" s="184"/>
    </row>
    <row r="2084">
      <c r="A2084" s="184"/>
      <c r="B2084" s="184"/>
      <c r="C2084" s="184"/>
      <c r="D2084" s="184"/>
      <c r="E2084" s="184"/>
      <c r="F2084" s="184"/>
      <c r="G2084" s="184"/>
      <c r="H2084" s="184"/>
      <c r="I2084" s="184"/>
      <c r="J2084" s="184"/>
      <c r="K2084" s="184"/>
      <c r="L2084" s="184"/>
      <c r="M2084" s="184"/>
      <c r="N2084" s="184"/>
      <c r="O2084" s="184"/>
      <c r="P2084" s="184"/>
      <c r="Q2084" s="184"/>
      <c r="R2084" s="184"/>
      <c r="S2084" s="184"/>
      <c r="T2084" s="184"/>
    </row>
    <row r="2085">
      <c r="A2085" s="184"/>
      <c r="B2085" s="184"/>
      <c r="C2085" s="184"/>
      <c r="D2085" s="184"/>
      <c r="E2085" s="184"/>
      <c r="F2085" s="184"/>
      <c r="G2085" s="184"/>
      <c r="H2085" s="184"/>
      <c r="I2085" s="184"/>
      <c r="J2085" s="184"/>
      <c r="K2085" s="184"/>
      <c r="L2085" s="184"/>
      <c r="M2085" s="184"/>
      <c r="N2085" s="184"/>
      <c r="O2085" s="184"/>
      <c r="P2085" s="184"/>
      <c r="Q2085" s="184"/>
      <c r="R2085" s="184"/>
      <c r="S2085" s="184"/>
      <c r="T2085" s="184"/>
    </row>
    <row r="2086">
      <c r="A2086" s="184"/>
      <c r="B2086" s="184"/>
      <c r="C2086" s="184"/>
      <c r="D2086" s="184"/>
      <c r="E2086" s="184"/>
      <c r="F2086" s="184"/>
      <c r="G2086" s="184"/>
      <c r="H2086" s="184"/>
      <c r="I2086" s="184"/>
      <c r="J2086" s="184"/>
      <c r="K2086" s="184"/>
      <c r="L2086" s="184"/>
      <c r="M2086" s="184"/>
      <c r="N2086" s="184"/>
      <c r="O2086" s="184"/>
      <c r="P2086" s="184"/>
      <c r="Q2086" s="184"/>
      <c r="R2086" s="184"/>
      <c r="S2086" s="184"/>
      <c r="T2086" s="184"/>
    </row>
    <row r="2087">
      <c r="A2087" s="184"/>
      <c r="B2087" s="184"/>
      <c r="C2087" s="184"/>
      <c r="D2087" s="184"/>
      <c r="E2087" s="184"/>
      <c r="F2087" s="184"/>
      <c r="G2087" s="184"/>
      <c r="H2087" s="184"/>
      <c r="I2087" s="184"/>
      <c r="J2087" s="184"/>
      <c r="K2087" s="184"/>
      <c r="L2087" s="184"/>
      <c r="M2087" s="184"/>
      <c r="N2087" s="184"/>
      <c r="O2087" s="184"/>
      <c r="P2087" s="184"/>
      <c r="Q2087" s="184"/>
      <c r="R2087" s="184"/>
      <c r="S2087" s="184"/>
      <c r="T2087" s="184"/>
    </row>
    <row r="2088">
      <c r="A2088" s="184"/>
      <c r="B2088" s="184"/>
      <c r="C2088" s="184"/>
      <c r="D2088" s="184"/>
      <c r="E2088" s="184"/>
      <c r="F2088" s="184"/>
      <c r="G2088" s="184"/>
      <c r="H2088" s="184"/>
      <c r="I2088" s="184"/>
      <c r="J2088" s="184"/>
      <c r="K2088" s="184"/>
      <c r="L2088" s="184"/>
      <c r="M2088" s="184"/>
      <c r="N2088" s="184"/>
      <c r="O2088" s="184"/>
      <c r="P2088" s="184"/>
      <c r="Q2088" s="184"/>
      <c r="R2088" s="184"/>
      <c r="S2088" s="184"/>
      <c r="T2088" s="184"/>
    </row>
    <row r="2089">
      <c r="A2089" s="184"/>
      <c r="B2089" s="184"/>
      <c r="C2089" s="184"/>
      <c r="D2089" s="184"/>
      <c r="E2089" s="184"/>
      <c r="F2089" s="184"/>
      <c r="G2089" s="184"/>
      <c r="H2089" s="184"/>
      <c r="I2089" s="184"/>
      <c r="J2089" s="184"/>
      <c r="K2089" s="184"/>
      <c r="L2089" s="184"/>
      <c r="M2089" s="184"/>
      <c r="N2089" s="184"/>
      <c r="O2089" s="184"/>
      <c r="P2089" s="184"/>
      <c r="Q2089" s="184"/>
      <c r="R2089" s="184"/>
      <c r="S2089" s="184"/>
      <c r="T2089" s="184"/>
    </row>
    <row r="2090">
      <c r="A2090" s="184"/>
      <c r="B2090" s="184"/>
      <c r="C2090" s="184"/>
      <c r="D2090" s="184"/>
      <c r="E2090" s="184"/>
      <c r="F2090" s="184"/>
      <c r="G2090" s="184"/>
      <c r="H2090" s="184"/>
      <c r="I2090" s="184"/>
      <c r="J2090" s="184"/>
      <c r="K2090" s="184"/>
      <c r="L2090" s="184"/>
      <c r="M2090" s="184"/>
      <c r="N2090" s="184"/>
      <c r="O2090" s="184"/>
      <c r="P2090" s="184"/>
      <c r="Q2090" s="184"/>
      <c r="R2090" s="184"/>
      <c r="S2090" s="184"/>
      <c r="T2090" s="184"/>
    </row>
    <row r="2091">
      <c r="A2091" s="184"/>
      <c r="B2091" s="184"/>
      <c r="C2091" s="184"/>
      <c r="D2091" s="184"/>
      <c r="E2091" s="184"/>
      <c r="F2091" s="184"/>
      <c r="G2091" s="184"/>
      <c r="H2091" s="184"/>
      <c r="I2091" s="184"/>
      <c r="J2091" s="184"/>
      <c r="K2091" s="184"/>
      <c r="L2091" s="184"/>
      <c r="M2091" s="184"/>
      <c r="N2091" s="184"/>
      <c r="O2091" s="184"/>
      <c r="P2091" s="184"/>
      <c r="Q2091" s="184"/>
      <c r="R2091" s="184"/>
      <c r="S2091" s="184"/>
      <c r="T2091" s="184"/>
    </row>
    <row r="2092">
      <c r="A2092" s="184"/>
      <c r="B2092" s="184"/>
      <c r="C2092" s="184"/>
      <c r="D2092" s="184"/>
      <c r="E2092" s="184"/>
      <c r="F2092" s="184"/>
      <c r="G2092" s="184"/>
      <c r="H2092" s="184"/>
      <c r="I2092" s="184"/>
      <c r="J2092" s="184"/>
      <c r="K2092" s="184"/>
      <c r="L2092" s="184"/>
      <c r="M2092" s="184"/>
      <c r="N2092" s="184"/>
      <c r="O2092" s="184"/>
      <c r="P2092" s="184"/>
      <c r="Q2092" s="184"/>
      <c r="R2092" s="184"/>
      <c r="S2092" s="184"/>
      <c r="T2092" s="184"/>
    </row>
    <row r="2093">
      <c r="A2093" s="184"/>
      <c r="B2093" s="184"/>
      <c r="C2093" s="184"/>
      <c r="D2093" s="184"/>
      <c r="E2093" s="184"/>
      <c r="F2093" s="184"/>
      <c r="G2093" s="184"/>
      <c r="H2093" s="184"/>
      <c r="I2093" s="184"/>
      <c r="J2093" s="184"/>
      <c r="K2093" s="184"/>
      <c r="L2093" s="184"/>
      <c r="M2093" s="184"/>
      <c r="N2093" s="184"/>
      <c r="O2093" s="184"/>
      <c r="P2093" s="184"/>
      <c r="Q2093" s="184"/>
      <c r="R2093" s="184"/>
      <c r="S2093" s="184"/>
      <c r="T2093" s="184"/>
    </row>
    <row r="2094">
      <c r="A2094" s="184"/>
      <c r="B2094" s="184"/>
      <c r="C2094" s="184"/>
      <c r="D2094" s="184"/>
      <c r="E2094" s="184"/>
      <c r="F2094" s="184"/>
      <c r="G2094" s="184"/>
      <c r="H2094" s="184"/>
      <c r="I2094" s="184"/>
      <c r="J2094" s="184"/>
      <c r="K2094" s="184"/>
      <c r="L2094" s="184"/>
      <c r="M2094" s="184"/>
      <c r="N2094" s="184"/>
      <c r="O2094" s="184"/>
      <c r="P2094" s="184"/>
      <c r="Q2094" s="184"/>
      <c r="R2094" s="184"/>
      <c r="S2094" s="184"/>
      <c r="T2094" s="184"/>
    </row>
    <row r="2095">
      <c r="A2095" s="184"/>
      <c r="B2095" s="184"/>
      <c r="C2095" s="184"/>
      <c r="D2095" s="184"/>
      <c r="E2095" s="184"/>
      <c r="F2095" s="184"/>
      <c r="G2095" s="184"/>
      <c r="H2095" s="184"/>
      <c r="I2095" s="184"/>
      <c r="J2095" s="184"/>
      <c r="K2095" s="184"/>
      <c r="L2095" s="184"/>
      <c r="M2095" s="184"/>
      <c r="N2095" s="184"/>
      <c r="O2095" s="184"/>
      <c r="P2095" s="184"/>
      <c r="Q2095" s="184"/>
      <c r="R2095" s="184"/>
      <c r="S2095" s="184"/>
      <c r="T2095" s="184"/>
    </row>
    <row r="2096">
      <c r="A2096" s="184"/>
      <c r="B2096" s="184"/>
      <c r="C2096" s="184"/>
      <c r="D2096" s="184"/>
      <c r="E2096" s="184"/>
      <c r="F2096" s="184"/>
      <c r="G2096" s="184"/>
      <c r="H2096" s="184"/>
      <c r="I2096" s="184"/>
      <c r="J2096" s="184"/>
      <c r="K2096" s="184"/>
      <c r="L2096" s="184"/>
      <c r="M2096" s="184"/>
      <c r="N2096" s="184"/>
      <c r="O2096" s="184"/>
      <c r="P2096" s="184"/>
      <c r="Q2096" s="184"/>
      <c r="R2096" s="184"/>
      <c r="S2096" s="184"/>
      <c r="T2096" s="184"/>
    </row>
    <row r="2097">
      <c r="A2097" s="184"/>
      <c r="B2097" s="184"/>
      <c r="C2097" s="184"/>
      <c r="D2097" s="184"/>
      <c r="E2097" s="184"/>
      <c r="F2097" s="184"/>
      <c r="G2097" s="184"/>
      <c r="H2097" s="184"/>
      <c r="I2097" s="184"/>
      <c r="J2097" s="184"/>
      <c r="K2097" s="184"/>
      <c r="L2097" s="184"/>
      <c r="M2097" s="184"/>
      <c r="N2097" s="184"/>
      <c r="O2097" s="184"/>
      <c r="P2097" s="184"/>
      <c r="Q2097" s="184"/>
      <c r="R2097" s="184"/>
      <c r="S2097" s="184"/>
      <c r="T2097" s="184"/>
    </row>
    <row r="2098">
      <c r="A2098" s="184"/>
      <c r="B2098" s="184"/>
      <c r="C2098" s="184"/>
      <c r="D2098" s="184"/>
      <c r="E2098" s="184"/>
      <c r="F2098" s="184"/>
      <c r="G2098" s="184"/>
      <c r="H2098" s="184"/>
      <c r="I2098" s="184"/>
      <c r="J2098" s="184"/>
      <c r="K2098" s="184"/>
      <c r="L2098" s="184"/>
      <c r="M2098" s="184"/>
      <c r="N2098" s="184"/>
      <c r="O2098" s="184"/>
      <c r="P2098" s="184"/>
      <c r="Q2098" s="184"/>
      <c r="R2098" s="184"/>
      <c r="S2098" s="184"/>
      <c r="T2098" s="184"/>
    </row>
    <row r="2099">
      <c r="A2099" s="184"/>
      <c r="B2099" s="184"/>
      <c r="C2099" s="184"/>
      <c r="D2099" s="184"/>
      <c r="E2099" s="184"/>
      <c r="F2099" s="184"/>
      <c r="G2099" s="184"/>
      <c r="H2099" s="184"/>
      <c r="I2099" s="184"/>
      <c r="J2099" s="184"/>
      <c r="K2099" s="184"/>
      <c r="L2099" s="184"/>
      <c r="M2099" s="184"/>
      <c r="N2099" s="184"/>
      <c r="O2099" s="184"/>
      <c r="P2099" s="184"/>
      <c r="Q2099" s="184"/>
      <c r="R2099" s="184"/>
      <c r="S2099" s="184"/>
      <c r="T2099" s="184"/>
    </row>
    <row r="2100">
      <c r="A2100" s="184"/>
      <c r="B2100" s="184"/>
      <c r="C2100" s="184"/>
      <c r="D2100" s="184"/>
      <c r="E2100" s="184"/>
      <c r="F2100" s="184"/>
      <c r="G2100" s="184"/>
      <c r="H2100" s="184"/>
      <c r="I2100" s="184"/>
      <c r="J2100" s="184"/>
      <c r="K2100" s="184"/>
      <c r="L2100" s="184"/>
      <c r="M2100" s="184"/>
      <c r="N2100" s="184"/>
      <c r="O2100" s="184"/>
      <c r="P2100" s="184"/>
      <c r="Q2100" s="184"/>
      <c r="R2100" s="184"/>
      <c r="S2100" s="184"/>
      <c r="T2100" s="184"/>
    </row>
    <row r="2101">
      <c r="A2101" s="184"/>
      <c r="B2101" s="184"/>
      <c r="C2101" s="184"/>
      <c r="D2101" s="184"/>
      <c r="E2101" s="184"/>
      <c r="F2101" s="184"/>
      <c r="G2101" s="184"/>
      <c r="H2101" s="184"/>
      <c r="I2101" s="184"/>
      <c r="J2101" s="184"/>
      <c r="K2101" s="184"/>
      <c r="L2101" s="184"/>
      <c r="M2101" s="184"/>
      <c r="N2101" s="184"/>
      <c r="O2101" s="184"/>
      <c r="P2101" s="184"/>
      <c r="Q2101" s="184"/>
      <c r="R2101" s="184"/>
      <c r="S2101" s="184"/>
      <c r="T2101" s="184"/>
    </row>
    <row r="2102">
      <c r="A2102" s="184"/>
      <c r="B2102" s="184"/>
      <c r="C2102" s="184"/>
      <c r="D2102" s="184"/>
      <c r="E2102" s="184"/>
      <c r="F2102" s="184"/>
      <c r="G2102" s="184"/>
      <c r="H2102" s="184"/>
      <c r="I2102" s="184"/>
      <c r="J2102" s="184"/>
      <c r="K2102" s="184"/>
      <c r="L2102" s="184"/>
      <c r="M2102" s="184"/>
      <c r="N2102" s="184"/>
      <c r="O2102" s="184"/>
      <c r="P2102" s="184"/>
      <c r="Q2102" s="184"/>
      <c r="R2102" s="184"/>
      <c r="S2102" s="184"/>
      <c r="T2102" s="184"/>
    </row>
    <row r="2103">
      <c r="A2103" s="184"/>
      <c r="B2103" s="184"/>
      <c r="C2103" s="184"/>
      <c r="D2103" s="184"/>
      <c r="E2103" s="184"/>
      <c r="F2103" s="184"/>
      <c r="G2103" s="184"/>
      <c r="H2103" s="184"/>
      <c r="I2103" s="184"/>
      <c r="J2103" s="184"/>
      <c r="K2103" s="184"/>
      <c r="L2103" s="184"/>
      <c r="M2103" s="184"/>
      <c r="N2103" s="184"/>
      <c r="O2103" s="184"/>
      <c r="P2103" s="184"/>
      <c r="Q2103" s="184"/>
      <c r="R2103" s="184"/>
      <c r="S2103" s="184"/>
      <c r="T2103" s="184"/>
    </row>
    <row r="2104">
      <c r="A2104" s="184"/>
      <c r="B2104" s="184"/>
      <c r="C2104" s="184"/>
      <c r="D2104" s="184"/>
      <c r="E2104" s="184"/>
      <c r="F2104" s="184"/>
      <c r="G2104" s="184"/>
      <c r="H2104" s="184"/>
      <c r="I2104" s="184"/>
      <c r="J2104" s="184"/>
      <c r="K2104" s="184"/>
      <c r="L2104" s="184"/>
      <c r="M2104" s="184"/>
      <c r="N2104" s="184"/>
      <c r="O2104" s="184"/>
      <c r="P2104" s="184"/>
      <c r="Q2104" s="184"/>
      <c r="R2104" s="184"/>
      <c r="S2104" s="184"/>
      <c r="T2104" s="184"/>
    </row>
    <row r="2105">
      <c r="A2105" s="184"/>
      <c r="B2105" s="184"/>
      <c r="C2105" s="184"/>
      <c r="D2105" s="184"/>
      <c r="E2105" s="184"/>
      <c r="F2105" s="184"/>
      <c r="G2105" s="184"/>
      <c r="H2105" s="184"/>
      <c r="I2105" s="184"/>
      <c r="J2105" s="184"/>
      <c r="K2105" s="184"/>
      <c r="L2105" s="184"/>
      <c r="M2105" s="184"/>
      <c r="N2105" s="184"/>
      <c r="O2105" s="184"/>
      <c r="P2105" s="184"/>
      <c r="Q2105" s="184"/>
      <c r="R2105" s="184"/>
      <c r="S2105" s="184"/>
      <c r="T2105" s="184"/>
    </row>
    <row r="2106">
      <c r="A2106" s="184"/>
      <c r="B2106" s="184"/>
      <c r="C2106" s="184"/>
      <c r="D2106" s="184"/>
      <c r="E2106" s="184"/>
      <c r="F2106" s="184"/>
      <c r="G2106" s="184"/>
      <c r="H2106" s="184"/>
      <c r="I2106" s="184"/>
      <c r="J2106" s="184"/>
      <c r="K2106" s="184"/>
      <c r="L2106" s="184"/>
      <c r="M2106" s="184"/>
      <c r="N2106" s="184"/>
      <c r="O2106" s="184"/>
      <c r="P2106" s="184"/>
      <c r="Q2106" s="184"/>
      <c r="R2106" s="184"/>
      <c r="S2106" s="184"/>
      <c r="T2106" s="184"/>
    </row>
    <row r="2107">
      <c r="A2107" s="184"/>
      <c r="B2107" s="184"/>
      <c r="C2107" s="184"/>
      <c r="D2107" s="184"/>
      <c r="E2107" s="184"/>
      <c r="F2107" s="184"/>
      <c r="G2107" s="184"/>
      <c r="H2107" s="184"/>
      <c r="I2107" s="184"/>
      <c r="J2107" s="184"/>
      <c r="K2107" s="184"/>
      <c r="L2107" s="184"/>
      <c r="M2107" s="184"/>
      <c r="N2107" s="184"/>
      <c r="O2107" s="184"/>
      <c r="P2107" s="184"/>
      <c r="Q2107" s="184"/>
      <c r="R2107" s="184"/>
      <c r="S2107" s="184"/>
      <c r="T2107" s="184"/>
    </row>
    <row r="2108">
      <c r="A2108" s="184"/>
      <c r="B2108" s="184"/>
      <c r="C2108" s="184"/>
      <c r="D2108" s="184"/>
      <c r="E2108" s="184"/>
      <c r="F2108" s="184"/>
      <c r="G2108" s="184"/>
      <c r="H2108" s="184"/>
      <c r="I2108" s="184"/>
      <c r="J2108" s="184"/>
      <c r="K2108" s="184"/>
      <c r="L2108" s="184"/>
      <c r="M2108" s="184"/>
      <c r="N2108" s="184"/>
      <c r="O2108" s="184"/>
      <c r="P2108" s="184"/>
      <c r="Q2108" s="184"/>
      <c r="R2108" s="184"/>
      <c r="S2108" s="184"/>
      <c r="T2108" s="184"/>
    </row>
    <row r="2109">
      <c r="A2109" s="184"/>
      <c r="B2109" s="184"/>
      <c r="C2109" s="184"/>
      <c r="D2109" s="184"/>
      <c r="E2109" s="184"/>
      <c r="F2109" s="184"/>
      <c r="G2109" s="184"/>
      <c r="H2109" s="184"/>
      <c r="I2109" s="184"/>
      <c r="J2109" s="184"/>
      <c r="K2109" s="184"/>
      <c r="L2109" s="184"/>
      <c r="M2109" s="184"/>
      <c r="N2109" s="184"/>
      <c r="O2109" s="184"/>
      <c r="P2109" s="184"/>
      <c r="Q2109" s="184"/>
      <c r="R2109" s="184"/>
      <c r="S2109" s="184"/>
      <c r="T2109" s="184"/>
    </row>
    <row r="2110">
      <c r="A2110" s="184"/>
      <c r="B2110" s="184"/>
      <c r="C2110" s="184"/>
      <c r="D2110" s="184"/>
      <c r="E2110" s="184"/>
      <c r="F2110" s="184"/>
      <c r="G2110" s="184"/>
      <c r="H2110" s="184"/>
      <c r="I2110" s="184"/>
      <c r="J2110" s="184"/>
      <c r="K2110" s="184"/>
      <c r="L2110" s="184"/>
      <c r="M2110" s="184"/>
      <c r="N2110" s="184"/>
      <c r="O2110" s="184"/>
      <c r="P2110" s="184"/>
      <c r="Q2110" s="184"/>
      <c r="R2110" s="184"/>
      <c r="S2110" s="184"/>
      <c r="T2110" s="184"/>
    </row>
    <row r="2111">
      <c r="A2111" s="184"/>
      <c r="B2111" s="184"/>
      <c r="C2111" s="184"/>
      <c r="D2111" s="184"/>
      <c r="E2111" s="184"/>
      <c r="F2111" s="184"/>
      <c r="G2111" s="184"/>
      <c r="H2111" s="184"/>
      <c r="I2111" s="184"/>
      <c r="J2111" s="184"/>
      <c r="K2111" s="184"/>
      <c r="L2111" s="184"/>
      <c r="M2111" s="184"/>
      <c r="N2111" s="184"/>
      <c r="O2111" s="184"/>
      <c r="P2111" s="184"/>
      <c r="Q2111" s="184"/>
      <c r="R2111" s="184"/>
      <c r="S2111" s="184"/>
      <c r="T2111" s="184"/>
    </row>
    <row r="2112">
      <c r="A2112" s="184"/>
      <c r="B2112" s="184"/>
      <c r="C2112" s="184"/>
      <c r="D2112" s="184"/>
      <c r="E2112" s="184"/>
      <c r="F2112" s="184"/>
      <c r="G2112" s="184"/>
      <c r="H2112" s="184"/>
      <c r="I2112" s="184"/>
      <c r="J2112" s="184"/>
      <c r="K2112" s="184"/>
      <c r="L2112" s="184"/>
      <c r="M2112" s="184"/>
      <c r="N2112" s="184"/>
      <c r="O2112" s="184"/>
      <c r="P2112" s="184"/>
      <c r="Q2112" s="184"/>
      <c r="R2112" s="184"/>
      <c r="S2112" s="184"/>
      <c r="T2112" s="184"/>
    </row>
    <row r="2113">
      <c r="A2113" s="184"/>
      <c r="B2113" s="184"/>
      <c r="C2113" s="184"/>
      <c r="D2113" s="184"/>
      <c r="E2113" s="184"/>
      <c r="F2113" s="184"/>
      <c r="G2113" s="184"/>
      <c r="H2113" s="184"/>
      <c r="I2113" s="184"/>
      <c r="J2113" s="184"/>
      <c r="K2113" s="184"/>
      <c r="L2113" s="184"/>
      <c r="M2113" s="184"/>
      <c r="N2113" s="184"/>
      <c r="O2113" s="184"/>
      <c r="P2113" s="184"/>
      <c r="Q2113" s="184"/>
      <c r="R2113" s="184"/>
      <c r="S2113" s="184"/>
      <c r="T2113" s="184"/>
    </row>
    <row r="2114">
      <c r="A2114" s="184"/>
      <c r="B2114" s="184"/>
      <c r="C2114" s="184"/>
      <c r="D2114" s="184"/>
      <c r="E2114" s="184"/>
      <c r="F2114" s="184"/>
      <c r="G2114" s="184"/>
      <c r="H2114" s="184"/>
      <c r="I2114" s="184"/>
      <c r="J2114" s="184"/>
      <c r="K2114" s="184"/>
      <c r="L2114" s="184"/>
      <c r="M2114" s="184"/>
      <c r="N2114" s="184"/>
      <c r="O2114" s="184"/>
      <c r="P2114" s="184"/>
      <c r="Q2114" s="184"/>
      <c r="R2114" s="184"/>
      <c r="S2114" s="184"/>
      <c r="T2114" s="184"/>
    </row>
    <row r="2115">
      <c r="A2115" s="184"/>
      <c r="B2115" s="184"/>
      <c r="C2115" s="184"/>
      <c r="D2115" s="184"/>
      <c r="E2115" s="184"/>
      <c r="F2115" s="184"/>
      <c r="G2115" s="184"/>
      <c r="H2115" s="184"/>
      <c r="I2115" s="184"/>
      <c r="J2115" s="184"/>
      <c r="K2115" s="184"/>
      <c r="L2115" s="184"/>
      <c r="M2115" s="184"/>
      <c r="N2115" s="184"/>
      <c r="O2115" s="184"/>
      <c r="P2115" s="184"/>
      <c r="Q2115" s="184"/>
      <c r="R2115" s="184"/>
      <c r="S2115" s="184"/>
      <c r="T2115" s="184"/>
    </row>
    <row r="2116">
      <c r="A2116" s="184"/>
      <c r="B2116" s="184"/>
      <c r="C2116" s="184"/>
      <c r="D2116" s="184"/>
      <c r="E2116" s="184"/>
      <c r="F2116" s="184"/>
      <c r="G2116" s="184"/>
      <c r="H2116" s="184"/>
      <c r="I2116" s="184"/>
      <c r="J2116" s="184"/>
      <c r="K2116" s="184"/>
      <c r="L2116" s="184"/>
      <c r="M2116" s="184"/>
      <c r="N2116" s="184"/>
      <c r="O2116" s="184"/>
      <c r="P2116" s="184"/>
      <c r="Q2116" s="184"/>
      <c r="R2116" s="184"/>
      <c r="S2116" s="184"/>
      <c r="T2116" s="184"/>
    </row>
    <row r="2117">
      <c r="A2117" s="184"/>
      <c r="B2117" s="184"/>
      <c r="C2117" s="184"/>
      <c r="D2117" s="184"/>
      <c r="E2117" s="184"/>
      <c r="F2117" s="184"/>
      <c r="G2117" s="184"/>
      <c r="H2117" s="184"/>
      <c r="I2117" s="184"/>
      <c r="J2117" s="184"/>
      <c r="K2117" s="184"/>
      <c r="L2117" s="184"/>
      <c r="M2117" s="184"/>
      <c r="N2117" s="184"/>
      <c r="O2117" s="184"/>
      <c r="P2117" s="184"/>
      <c r="Q2117" s="184"/>
      <c r="R2117" s="184"/>
      <c r="S2117" s="184"/>
      <c r="T2117" s="184"/>
    </row>
    <row r="2118">
      <c r="A2118" s="184"/>
      <c r="B2118" s="184"/>
      <c r="C2118" s="184"/>
      <c r="D2118" s="184"/>
      <c r="E2118" s="184"/>
      <c r="F2118" s="184"/>
      <c r="G2118" s="184"/>
      <c r="H2118" s="184"/>
      <c r="I2118" s="184"/>
      <c r="J2118" s="184"/>
      <c r="K2118" s="184"/>
      <c r="L2118" s="184"/>
      <c r="M2118" s="184"/>
      <c r="N2118" s="184"/>
      <c r="O2118" s="184"/>
      <c r="P2118" s="184"/>
      <c r="Q2118" s="184"/>
      <c r="R2118" s="184"/>
      <c r="S2118" s="184"/>
      <c r="T2118" s="184"/>
    </row>
    <row r="2119">
      <c r="A2119" s="184"/>
      <c r="B2119" s="184"/>
      <c r="C2119" s="184"/>
      <c r="D2119" s="184"/>
      <c r="E2119" s="184"/>
      <c r="F2119" s="184"/>
      <c r="G2119" s="184"/>
      <c r="H2119" s="184"/>
      <c r="I2119" s="184"/>
      <c r="J2119" s="184"/>
      <c r="K2119" s="184"/>
      <c r="L2119" s="184"/>
      <c r="M2119" s="184"/>
      <c r="N2119" s="184"/>
      <c r="O2119" s="184"/>
      <c r="P2119" s="184"/>
      <c r="Q2119" s="184"/>
      <c r="R2119" s="184"/>
      <c r="S2119" s="184"/>
      <c r="T2119" s="184"/>
    </row>
    <row r="2120">
      <c r="A2120" s="184"/>
      <c r="B2120" s="184"/>
      <c r="C2120" s="184"/>
      <c r="D2120" s="184"/>
      <c r="E2120" s="184"/>
      <c r="F2120" s="184"/>
      <c r="G2120" s="184"/>
      <c r="H2120" s="184"/>
      <c r="I2120" s="184"/>
      <c r="J2120" s="184"/>
      <c r="K2120" s="184"/>
      <c r="L2120" s="184"/>
      <c r="M2120" s="184"/>
      <c r="N2120" s="184"/>
      <c r="O2120" s="184"/>
      <c r="P2120" s="184"/>
      <c r="Q2120" s="184"/>
      <c r="R2120" s="184"/>
      <c r="S2120" s="184"/>
      <c r="T2120" s="184"/>
    </row>
    <row r="2121">
      <c r="A2121" s="184"/>
      <c r="B2121" s="184"/>
      <c r="C2121" s="184"/>
      <c r="D2121" s="184"/>
      <c r="E2121" s="184"/>
      <c r="F2121" s="184"/>
      <c r="G2121" s="184"/>
      <c r="H2121" s="184"/>
      <c r="I2121" s="184"/>
      <c r="J2121" s="184"/>
      <c r="K2121" s="184"/>
      <c r="L2121" s="184"/>
      <c r="M2121" s="184"/>
      <c r="N2121" s="184"/>
      <c r="O2121" s="184"/>
      <c r="P2121" s="184"/>
      <c r="Q2121" s="184"/>
      <c r="R2121" s="184"/>
      <c r="S2121" s="184"/>
      <c r="T2121" s="184"/>
    </row>
    <row r="2122">
      <c r="A2122" s="184"/>
      <c r="B2122" s="184"/>
      <c r="C2122" s="184"/>
      <c r="D2122" s="184"/>
      <c r="E2122" s="184"/>
      <c r="F2122" s="184"/>
      <c r="G2122" s="184"/>
      <c r="H2122" s="184"/>
      <c r="I2122" s="184"/>
      <c r="J2122" s="184"/>
      <c r="K2122" s="184"/>
      <c r="L2122" s="184"/>
      <c r="M2122" s="184"/>
      <c r="N2122" s="184"/>
      <c r="O2122" s="184"/>
      <c r="P2122" s="184"/>
      <c r="Q2122" s="184"/>
      <c r="R2122" s="184"/>
      <c r="S2122" s="184"/>
      <c r="T2122" s="184"/>
    </row>
    <row r="2123">
      <c r="A2123" s="184"/>
      <c r="B2123" s="184"/>
      <c r="C2123" s="184"/>
      <c r="D2123" s="184"/>
      <c r="E2123" s="184"/>
      <c r="F2123" s="184"/>
      <c r="G2123" s="184"/>
      <c r="H2123" s="184"/>
      <c r="I2123" s="184"/>
      <c r="J2123" s="184"/>
      <c r="K2123" s="184"/>
      <c r="L2123" s="184"/>
      <c r="M2123" s="184"/>
      <c r="N2123" s="184"/>
      <c r="O2123" s="184"/>
      <c r="P2123" s="184"/>
      <c r="Q2123" s="184"/>
      <c r="R2123" s="184"/>
      <c r="S2123" s="184"/>
      <c r="T2123" s="184"/>
    </row>
    <row r="2124">
      <c r="A2124" s="184"/>
      <c r="B2124" s="184"/>
      <c r="C2124" s="184"/>
      <c r="D2124" s="184"/>
      <c r="E2124" s="184"/>
      <c r="F2124" s="184"/>
      <c r="G2124" s="184"/>
      <c r="H2124" s="184"/>
      <c r="I2124" s="184"/>
      <c r="J2124" s="184"/>
      <c r="K2124" s="184"/>
      <c r="L2124" s="184"/>
      <c r="M2124" s="184"/>
      <c r="N2124" s="184"/>
      <c r="O2124" s="184"/>
      <c r="P2124" s="184"/>
      <c r="Q2124" s="184"/>
      <c r="R2124" s="184"/>
      <c r="S2124" s="184"/>
      <c r="T2124" s="184"/>
    </row>
    <row r="2125">
      <c r="A2125" s="184"/>
      <c r="B2125" s="184"/>
      <c r="C2125" s="184"/>
      <c r="D2125" s="184"/>
      <c r="E2125" s="184"/>
      <c r="F2125" s="184"/>
      <c r="G2125" s="184"/>
      <c r="H2125" s="184"/>
      <c r="I2125" s="184"/>
      <c r="J2125" s="184"/>
      <c r="K2125" s="184"/>
      <c r="L2125" s="184"/>
      <c r="M2125" s="184"/>
      <c r="N2125" s="184"/>
      <c r="O2125" s="184"/>
      <c r="P2125" s="184"/>
      <c r="Q2125" s="184"/>
      <c r="R2125" s="184"/>
      <c r="S2125" s="184"/>
      <c r="T2125" s="184"/>
    </row>
    <row r="2126">
      <c r="A2126" s="184"/>
      <c r="B2126" s="184"/>
      <c r="C2126" s="184"/>
      <c r="D2126" s="184"/>
      <c r="E2126" s="184"/>
      <c r="F2126" s="184"/>
      <c r="G2126" s="184"/>
      <c r="H2126" s="184"/>
      <c r="I2126" s="184"/>
      <c r="J2126" s="184"/>
      <c r="K2126" s="184"/>
      <c r="L2126" s="184"/>
      <c r="M2126" s="184"/>
      <c r="N2126" s="184"/>
      <c r="O2126" s="184"/>
      <c r="P2126" s="184"/>
      <c r="Q2126" s="184"/>
      <c r="R2126" s="184"/>
      <c r="S2126" s="184"/>
      <c r="T2126" s="184"/>
    </row>
    <row r="2127">
      <c r="A2127" s="184"/>
      <c r="B2127" s="184"/>
      <c r="C2127" s="184"/>
      <c r="D2127" s="184"/>
      <c r="E2127" s="184"/>
      <c r="F2127" s="184"/>
      <c r="G2127" s="184"/>
      <c r="H2127" s="184"/>
      <c r="I2127" s="184"/>
      <c r="J2127" s="184"/>
      <c r="K2127" s="184"/>
      <c r="L2127" s="184"/>
      <c r="M2127" s="184"/>
      <c r="N2127" s="184"/>
      <c r="O2127" s="184"/>
      <c r="P2127" s="184"/>
      <c r="Q2127" s="184"/>
      <c r="R2127" s="184"/>
      <c r="S2127" s="184"/>
      <c r="T2127" s="184"/>
    </row>
    <row r="2128">
      <c r="A2128" s="184"/>
      <c r="B2128" s="184"/>
      <c r="C2128" s="184"/>
      <c r="D2128" s="184"/>
      <c r="E2128" s="184"/>
      <c r="F2128" s="184"/>
      <c r="G2128" s="184"/>
      <c r="H2128" s="184"/>
      <c r="I2128" s="184"/>
      <c r="J2128" s="184"/>
      <c r="K2128" s="184"/>
      <c r="L2128" s="184"/>
      <c r="M2128" s="184"/>
      <c r="N2128" s="184"/>
      <c r="O2128" s="184"/>
      <c r="P2128" s="184"/>
      <c r="Q2128" s="184"/>
      <c r="R2128" s="184"/>
      <c r="S2128" s="184"/>
      <c r="T2128" s="184"/>
    </row>
    <row r="2129">
      <c r="A2129" s="184"/>
      <c r="B2129" s="184"/>
      <c r="C2129" s="184"/>
      <c r="D2129" s="184"/>
      <c r="E2129" s="184"/>
      <c r="F2129" s="184"/>
      <c r="G2129" s="184"/>
      <c r="H2129" s="184"/>
      <c r="I2129" s="184"/>
      <c r="J2129" s="184"/>
      <c r="K2129" s="184"/>
      <c r="L2129" s="184"/>
      <c r="M2129" s="184"/>
      <c r="N2129" s="184"/>
      <c r="O2129" s="184"/>
      <c r="P2129" s="184"/>
      <c r="Q2129" s="184"/>
      <c r="R2129" s="184"/>
      <c r="S2129" s="184"/>
      <c r="T2129" s="184"/>
    </row>
    <row r="2130">
      <c r="A2130" s="184"/>
      <c r="B2130" s="184"/>
      <c r="C2130" s="184"/>
      <c r="D2130" s="184"/>
      <c r="E2130" s="184"/>
      <c r="F2130" s="184"/>
      <c r="G2130" s="184"/>
      <c r="H2130" s="184"/>
      <c r="I2130" s="184"/>
      <c r="J2130" s="184"/>
      <c r="K2130" s="184"/>
      <c r="L2130" s="184"/>
      <c r="M2130" s="184"/>
      <c r="N2130" s="184"/>
      <c r="O2130" s="184"/>
      <c r="P2130" s="184"/>
      <c r="Q2130" s="184"/>
      <c r="R2130" s="184"/>
      <c r="S2130" s="184"/>
      <c r="T2130" s="184"/>
    </row>
    <row r="2131">
      <c r="A2131" s="184"/>
      <c r="B2131" s="184"/>
      <c r="C2131" s="184"/>
      <c r="D2131" s="184"/>
      <c r="E2131" s="184"/>
      <c r="F2131" s="184"/>
      <c r="G2131" s="184"/>
      <c r="H2131" s="184"/>
      <c r="I2131" s="184"/>
      <c r="J2131" s="184"/>
      <c r="K2131" s="184"/>
      <c r="L2131" s="184"/>
      <c r="M2131" s="184"/>
      <c r="N2131" s="184"/>
      <c r="O2131" s="184"/>
      <c r="P2131" s="184"/>
      <c r="Q2131" s="184"/>
      <c r="R2131" s="184"/>
      <c r="S2131" s="184"/>
      <c r="T2131" s="184"/>
    </row>
    <row r="2132">
      <c r="A2132" s="184"/>
      <c r="B2132" s="184"/>
      <c r="C2132" s="184"/>
      <c r="D2132" s="184"/>
      <c r="E2132" s="184"/>
      <c r="F2132" s="184"/>
      <c r="G2132" s="184"/>
      <c r="H2132" s="184"/>
      <c r="I2132" s="184"/>
      <c r="J2132" s="184"/>
      <c r="K2132" s="184"/>
      <c r="L2132" s="184"/>
      <c r="M2132" s="184"/>
      <c r="N2132" s="184"/>
      <c r="O2132" s="184"/>
      <c r="P2132" s="184"/>
      <c r="Q2132" s="184"/>
      <c r="R2132" s="184"/>
      <c r="S2132" s="184"/>
      <c r="T2132" s="184"/>
    </row>
    <row r="2133">
      <c r="A2133" s="184"/>
      <c r="B2133" s="184"/>
      <c r="C2133" s="184"/>
      <c r="D2133" s="184"/>
      <c r="E2133" s="184"/>
      <c r="F2133" s="184"/>
      <c r="G2133" s="184"/>
      <c r="H2133" s="184"/>
      <c r="I2133" s="184"/>
      <c r="J2133" s="184"/>
      <c r="K2133" s="184"/>
      <c r="L2133" s="184"/>
      <c r="M2133" s="184"/>
      <c r="N2133" s="184"/>
      <c r="O2133" s="184"/>
      <c r="P2133" s="184"/>
      <c r="Q2133" s="184"/>
      <c r="R2133" s="184"/>
      <c r="S2133" s="184"/>
      <c r="T2133" s="184"/>
    </row>
    <row r="2134">
      <c r="A2134" s="184"/>
      <c r="B2134" s="184"/>
      <c r="C2134" s="184"/>
      <c r="D2134" s="184"/>
      <c r="E2134" s="184"/>
      <c r="F2134" s="184"/>
      <c r="G2134" s="184"/>
      <c r="H2134" s="184"/>
      <c r="I2134" s="184"/>
      <c r="J2134" s="184"/>
      <c r="K2134" s="184"/>
      <c r="L2134" s="184"/>
      <c r="M2134" s="184"/>
      <c r="N2134" s="184"/>
      <c r="O2134" s="184"/>
      <c r="P2134" s="184"/>
      <c r="Q2134" s="184"/>
      <c r="R2134" s="184"/>
      <c r="S2134" s="184"/>
      <c r="T2134" s="184"/>
    </row>
    <row r="2135">
      <c r="A2135" s="184"/>
      <c r="B2135" s="184"/>
      <c r="C2135" s="184"/>
      <c r="D2135" s="184"/>
      <c r="E2135" s="184"/>
      <c r="F2135" s="184"/>
      <c r="G2135" s="184"/>
      <c r="H2135" s="184"/>
      <c r="I2135" s="184"/>
      <c r="J2135" s="184"/>
      <c r="K2135" s="184"/>
      <c r="L2135" s="184"/>
      <c r="M2135" s="184"/>
      <c r="N2135" s="184"/>
      <c r="O2135" s="184"/>
      <c r="P2135" s="184"/>
      <c r="Q2135" s="184"/>
      <c r="R2135" s="184"/>
      <c r="S2135" s="184"/>
      <c r="T2135" s="184"/>
    </row>
    <row r="2136">
      <c r="A2136" s="184"/>
      <c r="B2136" s="184"/>
      <c r="C2136" s="184"/>
      <c r="D2136" s="184"/>
      <c r="E2136" s="184"/>
      <c r="F2136" s="184"/>
      <c r="G2136" s="184"/>
      <c r="H2136" s="184"/>
      <c r="I2136" s="184"/>
      <c r="J2136" s="184"/>
      <c r="K2136" s="184"/>
      <c r="L2136" s="184"/>
      <c r="M2136" s="184"/>
      <c r="N2136" s="184"/>
      <c r="O2136" s="184"/>
      <c r="P2136" s="184"/>
      <c r="Q2136" s="184"/>
      <c r="R2136" s="184"/>
      <c r="S2136" s="184"/>
      <c r="T2136" s="184"/>
    </row>
    <row r="2137">
      <c r="A2137" s="184"/>
      <c r="B2137" s="184"/>
      <c r="C2137" s="184"/>
      <c r="D2137" s="184"/>
      <c r="E2137" s="184"/>
      <c r="F2137" s="184"/>
      <c r="G2137" s="184"/>
      <c r="H2137" s="184"/>
      <c r="I2137" s="184"/>
      <c r="J2137" s="184"/>
      <c r="K2137" s="184"/>
      <c r="L2137" s="184"/>
      <c r="M2137" s="184"/>
      <c r="N2137" s="184"/>
      <c r="O2137" s="184"/>
      <c r="P2137" s="184"/>
      <c r="Q2137" s="184"/>
      <c r="R2137" s="184"/>
      <c r="S2137" s="184"/>
      <c r="T2137" s="184"/>
    </row>
    <row r="2138">
      <c r="A2138" s="184"/>
      <c r="B2138" s="184"/>
      <c r="C2138" s="184"/>
      <c r="D2138" s="184"/>
      <c r="E2138" s="184"/>
      <c r="F2138" s="184"/>
      <c r="G2138" s="184"/>
      <c r="H2138" s="184"/>
      <c r="I2138" s="184"/>
      <c r="J2138" s="184"/>
      <c r="K2138" s="184"/>
      <c r="L2138" s="184"/>
      <c r="M2138" s="184"/>
      <c r="N2138" s="184"/>
      <c r="O2138" s="184"/>
      <c r="P2138" s="184"/>
      <c r="Q2138" s="184"/>
      <c r="R2138" s="184"/>
      <c r="S2138" s="184"/>
      <c r="T2138" s="184"/>
    </row>
    <row r="2139">
      <c r="A2139" s="184"/>
      <c r="B2139" s="184"/>
      <c r="C2139" s="184"/>
      <c r="D2139" s="184"/>
      <c r="E2139" s="184"/>
      <c r="F2139" s="184"/>
      <c r="G2139" s="184"/>
      <c r="H2139" s="184"/>
      <c r="I2139" s="184"/>
      <c r="J2139" s="184"/>
      <c r="K2139" s="184"/>
      <c r="L2139" s="184"/>
      <c r="M2139" s="184"/>
      <c r="N2139" s="184"/>
      <c r="O2139" s="184"/>
      <c r="P2139" s="184"/>
      <c r="Q2139" s="184"/>
      <c r="R2139" s="184"/>
      <c r="S2139" s="184"/>
      <c r="T2139" s="184"/>
    </row>
    <row r="2140">
      <c r="A2140" s="184"/>
      <c r="B2140" s="184"/>
      <c r="C2140" s="184"/>
      <c r="D2140" s="184"/>
      <c r="E2140" s="184"/>
      <c r="F2140" s="184"/>
      <c r="G2140" s="184"/>
      <c r="H2140" s="184"/>
      <c r="I2140" s="184"/>
      <c r="J2140" s="184"/>
      <c r="K2140" s="184"/>
      <c r="L2140" s="184"/>
      <c r="M2140" s="184"/>
      <c r="N2140" s="184"/>
      <c r="O2140" s="184"/>
      <c r="P2140" s="184"/>
      <c r="Q2140" s="184"/>
      <c r="R2140" s="184"/>
      <c r="S2140" s="184"/>
      <c r="T2140" s="184"/>
    </row>
    <row r="2141">
      <c r="A2141" s="184"/>
      <c r="B2141" s="184"/>
      <c r="C2141" s="184"/>
      <c r="D2141" s="184"/>
      <c r="E2141" s="184"/>
      <c r="F2141" s="184"/>
      <c r="G2141" s="184"/>
      <c r="H2141" s="184"/>
      <c r="I2141" s="184"/>
      <c r="J2141" s="184"/>
      <c r="K2141" s="184"/>
      <c r="L2141" s="184"/>
      <c r="M2141" s="184"/>
      <c r="N2141" s="184"/>
      <c r="O2141" s="184"/>
      <c r="P2141" s="184"/>
      <c r="Q2141" s="184"/>
      <c r="R2141" s="184"/>
      <c r="S2141" s="184"/>
      <c r="T2141" s="184"/>
    </row>
    <row r="2142">
      <c r="A2142" s="184"/>
      <c r="B2142" s="184"/>
      <c r="C2142" s="184"/>
      <c r="D2142" s="184"/>
      <c r="E2142" s="184"/>
      <c r="F2142" s="184"/>
      <c r="G2142" s="184"/>
      <c r="H2142" s="184"/>
      <c r="I2142" s="184"/>
      <c r="J2142" s="184"/>
      <c r="K2142" s="184"/>
      <c r="L2142" s="184"/>
      <c r="M2142" s="184"/>
      <c r="N2142" s="184"/>
      <c r="O2142" s="184"/>
      <c r="P2142" s="184"/>
      <c r="Q2142" s="184"/>
      <c r="R2142" s="184"/>
      <c r="S2142" s="184"/>
      <c r="T2142" s="184"/>
    </row>
    <row r="2143">
      <c r="A2143" s="184"/>
      <c r="B2143" s="184"/>
      <c r="C2143" s="184"/>
      <c r="D2143" s="184"/>
      <c r="E2143" s="184"/>
      <c r="F2143" s="184"/>
      <c r="G2143" s="184"/>
      <c r="H2143" s="184"/>
      <c r="I2143" s="184"/>
      <c r="J2143" s="184"/>
      <c r="K2143" s="184"/>
      <c r="L2143" s="184"/>
      <c r="M2143" s="184"/>
      <c r="N2143" s="184"/>
      <c r="O2143" s="184"/>
      <c r="P2143" s="184"/>
      <c r="Q2143" s="184"/>
      <c r="R2143" s="184"/>
      <c r="S2143" s="184"/>
      <c r="T2143" s="184"/>
    </row>
    <row r="2144">
      <c r="A2144" s="184"/>
      <c r="B2144" s="184"/>
      <c r="C2144" s="184"/>
      <c r="D2144" s="184"/>
      <c r="E2144" s="184"/>
      <c r="F2144" s="184"/>
      <c r="G2144" s="184"/>
      <c r="H2144" s="184"/>
      <c r="I2144" s="184"/>
      <c r="J2144" s="184"/>
      <c r="K2144" s="184"/>
      <c r="L2144" s="184"/>
      <c r="M2144" s="184"/>
      <c r="N2144" s="184"/>
      <c r="O2144" s="184"/>
      <c r="P2144" s="184"/>
      <c r="Q2144" s="184"/>
      <c r="R2144" s="184"/>
      <c r="S2144" s="184"/>
      <c r="T2144" s="184"/>
    </row>
    <row r="2145">
      <c r="A2145" s="184"/>
      <c r="B2145" s="184"/>
      <c r="C2145" s="184"/>
      <c r="D2145" s="184"/>
      <c r="E2145" s="184"/>
      <c r="F2145" s="184"/>
      <c r="G2145" s="184"/>
      <c r="H2145" s="184"/>
      <c r="I2145" s="184"/>
      <c r="J2145" s="184"/>
      <c r="K2145" s="184"/>
      <c r="L2145" s="184"/>
      <c r="M2145" s="184"/>
      <c r="N2145" s="184"/>
      <c r="O2145" s="184"/>
      <c r="P2145" s="184"/>
      <c r="Q2145" s="184"/>
      <c r="R2145" s="184"/>
      <c r="S2145" s="184"/>
      <c r="T2145" s="184"/>
    </row>
    <row r="2146">
      <c r="A2146" s="184"/>
      <c r="B2146" s="184"/>
      <c r="C2146" s="184"/>
      <c r="D2146" s="184"/>
      <c r="E2146" s="184"/>
      <c r="F2146" s="184"/>
      <c r="G2146" s="184"/>
      <c r="H2146" s="184"/>
      <c r="I2146" s="184"/>
      <c r="J2146" s="184"/>
      <c r="K2146" s="184"/>
      <c r="L2146" s="184"/>
      <c r="M2146" s="184"/>
      <c r="N2146" s="184"/>
      <c r="O2146" s="184"/>
      <c r="P2146" s="184"/>
      <c r="Q2146" s="184"/>
      <c r="R2146" s="184"/>
      <c r="S2146" s="184"/>
      <c r="T2146" s="184"/>
    </row>
    <row r="2147">
      <c r="A2147" s="184"/>
      <c r="B2147" s="184"/>
      <c r="C2147" s="184"/>
      <c r="D2147" s="184"/>
      <c r="E2147" s="184"/>
      <c r="F2147" s="184"/>
      <c r="G2147" s="184"/>
      <c r="H2147" s="184"/>
      <c r="I2147" s="184"/>
      <c r="J2147" s="184"/>
      <c r="K2147" s="184"/>
      <c r="L2147" s="184"/>
      <c r="M2147" s="184"/>
      <c r="N2147" s="184"/>
      <c r="O2147" s="184"/>
      <c r="P2147" s="184"/>
      <c r="Q2147" s="184"/>
      <c r="R2147" s="184"/>
      <c r="S2147" s="184"/>
      <c r="T2147" s="184"/>
    </row>
    <row r="2148">
      <c r="A2148" s="184"/>
      <c r="B2148" s="184"/>
      <c r="C2148" s="184"/>
      <c r="D2148" s="184"/>
      <c r="E2148" s="184"/>
      <c r="F2148" s="184"/>
      <c r="G2148" s="184"/>
      <c r="H2148" s="184"/>
      <c r="I2148" s="184"/>
      <c r="J2148" s="184"/>
      <c r="K2148" s="184"/>
      <c r="L2148" s="184"/>
      <c r="M2148" s="184"/>
      <c r="N2148" s="184"/>
      <c r="O2148" s="184"/>
      <c r="P2148" s="184"/>
      <c r="Q2148" s="184"/>
      <c r="R2148" s="184"/>
      <c r="S2148" s="184"/>
      <c r="T2148" s="184"/>
    </row>
    <row r="2149">
      <c r="A2149" s="184"/>
      <c r="B2149" s="184"/>
      <c r="C2149" s="184"/>
      <c r="D2149" s="184"/>
      <c r="E2149" s="184"/>
      <c r="F2149" s="184"/>
      <c r="G2149" s="184"/>
      <c r="H2149" s="184"/>
      <c r="I2149" s="184"/>
      <c r="J2149" s="184"/>
      <c r="K2149" s="184"/>
      <c r="L2149" s="184"/>
      <c r="M2149" s="184"/>
      <c r="N2149" s="184"/>
      <c r="O2149" s="184"/>
      <c r="P2149" s="184"/>
      <c r="Q2149" s="184"/>
      <c r="R2149" s="184"/>
      <c r="S2149" s="184"/>
      <c r="T2149" s="184"/>
    </row>
    <row r="2150">
      <c r="A2150" s="184"/>
      <c r="B2150" s="184"/>
      <c r="C2150" s="184"/>
      <c r="D2150" s="184"/>
      <c r="E2150" s="184"/>
      <c r="F2150" s="184"/>
      <c r="G2150" s="184"/>
      <c r="H2150" s="184"/>
      <c r="I2150" s="184"/>
      <c r="J2150" s="184"/>
      <c r="K2150" s="184"/>
      <c r="L2150" s="184"/>
      <c r="M2150" s="184"/>
      <c r="N2150" s="184"/>
      <c r="O2150" s="184"/>
      <c r="P2150" s="184"/>
      <c r="Q2150" s="184"/>
      <c r="R2150" s="184"/>
      <c r="S2150" s="184"/>
      <c r="T2150" s="184"/>
    </row>
    <row r="2151">
      <c r="A2151" s="184"/>
      <c r="B2151" s="184"/>
      <c r="C2151" s="184"/>
      <c r="D2151" s="184"/>
      <c r="E2151" s="184"/>
      <c r="F2151" s="184"/>
      <c r="G2151" s="184"/>
      <c r="H2151" s="184"/>
      <c r="I2151" s="184"/>
      <c r="J2151" s="184"/>
      <c r="K2151" s="184"/>
      <c r="L2151" s="184"/>
      <c r="M2151" s="184"/>
      <c r="N2151" s="184"/>
      <c r="O2151" s="184"/>
      <c r="P2151" s="184"/>
      <c r="Q2151" s="184"/>
      <c r="R2151" s="184"/>
      <c r="S2151" s="184"/>
      <c r="T2151" s="184"/>
    </row>
    <row r="2152">
      <c r="A2152" s="184"/>
      <c r="B2152" s="184"/>
      <c r="C2152" s="184"/>
      <c r="D2152" s="184"/>
      <c r="E2152" s="184"/>
      <c r="F2152" s="184"/>
      <c r="G2152" s="184"/>
      <c r="H2152" s="184"/>
      <c r="I2152" s="184"/>
      <c r="J2152" s="184"/>
      <c r="K2152" s="184"/>
      <c r="L2152" s="184"/>
      <c r="M2152" s="184"/>
      <c r="N2152" s="184"/>
      <c r="O2152" s="184"/>
      <c r="P2152" s="184"/>
      <c r="Q2152" s="184"/>
      <c r="R2152" s="184"/>
      <c r="S2152" s="184"/>
      <c r="T2152" s="184"/>
    </row>
    <row r="2153">
      <c r="A2153" s="184"/>
      <c r="B2153" s="184"/>
      <c r="C2153" s="184"/>
      <c r="D2153" s="184"/>
      <c r="E2153" s="184"/>
      <c r="F2153" s="184"/>
      <c r="G2153" s="184"/>
      <c r="H2153" s="184"/>
      <c r="I2153" s="184"/>
      <c r="J2153" s="184"/>
      <c r="K2153" s="184"/>
      <c r="L2153" s="184"/>
      <c r="M2153" s="184"/>
      <c r="N2153" s="184"/>
      <c r="O2153" s="184"/>
      <c r="P2153" s="184"/>
      <c r="Q2153" s="184"/>
      <c r="R2153" s="184"/>
      <c r="S2153" s="184"/>
      <c r="T2153" s="184"/>
    </row>
    <row r="2154">
      <c r="A2154" s="184"/>
      <c r="B2154" s="184"/>
      <c r="C2154" s="184"/>
      <c r="D2154" s="184"/>
      <c r="E2154" s="184"/>
      <c r="F2154" s="184"/>
      <c r="G2154" s="184"/>
      <c r="H2154" s="184"/>
      <c r="I2154" s="184"/>
      <c r="J2154" s="184"/>
      <c r="K2154" s="184"/>
      <c r="L2154" s="184"/>
      <c r="M2154" s="184"/>
      <c r="N2154" s="184"/>
      <c r="O2154" s="184"/>
      <c r="P2154" s="184"/>
      <c r="Q2154" s="184"/>
      <c r="R2154" s="184"/>
      <c r="S2154" s="184"/>
      <c r="T2154" s="184"/>
    </row>
    <row r="2155">
      <c r="A2155" s="184"/>
      <c r="B2155" s="184"/>
      <c r="C2155" s="184"/>
      <c r="D2155" s="184"/>
      <c r="E2155" s="184"/>
      <c r="F2155" s="184"/>
      <c r="G2155" s="184"/>
      <c r="H2155" s="184"/>
      <c r="I2155" s="184"/>
      <c r="J2155" s="184"/>
      <c r="K2155" s="184"/>
      <c r="L2155" s="184"/>
      <c r="M2155" s="184"/>
      <c r="N2155" s="184"/>
      <c r="O2155" s="184"/>
      <c r="P2155" s="184"/>
      <c r="Q2155" s="184"/>
      <c r="R2155" s="184"/>
      <c r="S2155" s="184"/>
      <c r="T2155" s="184"/>
    </row>
    <row r="2156">
      <c r="A2156" s="184"/>
      <c r="B2156" s="184"/>
      <c r="C2156" s="184"/>
      <c r="D2156" s="184"/>
      <c r="E2156" s="184"/>
      <c r="F2156" s="184"/>
      <c r="G2156" s="184"/>
      <c r="H2156" s="184"/>
      <c r="I2156" s="184"/>
      <c r="J2156" s="184"/>
      <c r="K2156" s="184"/>
      <c r="L2156" s="184"/>
      <c r="M2156" s="184"/>
      <c r="N2156" s="184"/>
      <c r="O2156" s="184"/>
      <c r="P2156" s="184"/>
      <c r="Q2156" s="184"/>
      <c r="R2156" s="184"/>
      <c r="S2156" s="184"/>
      <c r="T2156" s="184"/>
    </row>
    <row r="2157">
      <c r="A2157" s="184"/>
      <c r="B2157" s="184"/>
      <c r="C2157" s="184"/>
      <c r="D2157" s="184"/>
      <c r="E2157" s="184"/>
      <c r="F2157" s="184"/>
      <c r="G2157" s="184"/>
      <c r="H2157" s="184"/>
      <c r="I2157" s="184"/>
      <c r="J2157" s="184"/>
      <c r="K2157" s="184"/>
      <c r="L2157" s="184"/>
      <c r="M2157" s="184"/>
      <c r="N2157" s="184"/>
      <c r="O2157" s="184"/>
      <c r="P2157" s="184"/>
      <c r="Q2157" s="184"/>
      <c r="R2157" s="184"/>
      <c r="S2157" s="184"/>
      <c r="T2157" s="184"/>
    </row>
    <row r="2158">
      <c r="A2158" s="184"/>
      <c r="B2158" s="184"/>
      <c r="C2158" s="184"/>
      <c r="D2158" s="184"/>
      <c r="E2158" s="184"/>
      <c r="F2158" s="184"/>
      <c r="G2158" s="184"/>
      <c r="H2158" s="184"/>
      <c r="I2158" s="184"/>
      <c r="J2158" s="184"/>
      <c r="K2158" s="184"/>
      <c r="L2158" s="184"/>
      <c r="M2158" s="184"/>
      <c r="N2158" s="184"/>
      <c r="O2158" s="184"/>
      <c r="P2158" s="184"/>
      <c r="Q2158" s="184"/>
      <c r="R2158" s="184"/>
      <c r="S2158" s="184"/>
      <c r="T2158" s="184"/>
    </row>
    <row r="2159">
      <c r="A2159" s="184"/>
      <c r="B2159" s="184"/>
      <c r="C2159" s="184"/>
      <c r="D2159" s="184"/>
      <c r="E2159" s="184"/>
      <c r="F2159" s="184"/>
      <c r="G2159" s="184"/>
      <c r="H2159" s="184"/>
      <c r="I2159" s="184"/>
      <c r="J2159" s="184"/>
      <c r="K2159" s="184"/>
      <c r="L2159" s="184"/>
      <c r="M2159" s="184"/>
      <c r="N2159" s="184"/>
      <c r="O2159" s="184"/>
      <c r="P2159" s="184"/>
      <c r="Q2159" s="184"/>
      <c r="R2159" s="184"/>
      <c r="S2159" s="184"/>
      <c r="T2159" s="184"/>
    </row>
    <row r="2160">
      <c r="A2160" s="184"/>
      <c r="B2160" s="184"/>
      <c r="C2160" s="184"/>
      <c r="D2160" s="184"/>
      <c r="E2160" s="184"/>
      <c r="F2160" s="184"/>
      <c r="G2160" s="184"/>
      <c r="H2160" s="184"/>
      <c r="I2160" s="184"/>
      <c r="J2160" s="184"/>
      <c r="K2160" s="184"/>
      <c r="L2160" s="184"/>
      <c r="M2160" s="184"/>
      <c r="N2160" s="184"/>
      <c r="O2160" s="184"/>
      <c r="P2160" s="184"/>
      <c r="Q2160" s="184"/>
      <c r="R2160" s="184"/>
      <c r="S2160" s="184"/>
      <c r="T2160" s="184"/>
    </row>
    <row r="2161">
      <c r="A2161" s="184"/>
      <c r="B2161" s="184"/>
      <c r="C2161" s="184"/>
      <c r="D2161" s="184"/>
      <c r="E2161" s="184"/>
      <c r="F2161" s="184"/>
      <c r="G2161" s="184"/>
      <c r="H2161" s="184"/>
      <c r="I2161" s="184"/>
      <c r="J2161" s="184"/>
      <c r="K2161" s="184"/>
      <c r="L2161" s="184"/>
      <c r="M2161" s="184"/>
      <c r="N2161" s="184"/>
      <c r="O2161" s="184"/>
      <c r="P2161" s="184"/>
      <c r="Q2161" s="184"/>
      <c r="R2161" s="184"/>
      <c r="S2161" s="184"/>
      <c r="T2161" s="184"/>
    </row>
    <row r="2162">
      <c r="A2162" s="184"/>
      <c r="B2162" s="184"/>
      <c r="C2162" s="184"/>
      <c r="D2162" s="184"/>
      <c r="E2162" s="184"/>
      <c r="F2162" s="184"/>
      <c r="G2162" s="184"/>
      <c r="H2162" s="184"/>
      <c r="I2162" s="184"/>
      <c r="J2162" s="184"/>
      <c r="K2162" s="184"/>
      <c r="L2162" s="184"/>
      <c r="M2162" s="184"/>
      <c r="N2162" s="184"/>
      <c r="O2162" s="184"/>
      <c r="P2162" s="184"/>
      <c r="Q2162" s="184"/>
      <c r="R2162" s="184"/>
      <c r="S2162" s="184"/>
      <c r="T2162" s="184"/>
    </row>
    <row r="2163">
      <c r="A2163" s="184"/>
      <c r="B2163" s="184"/>
      <c r="C2163" s="184"/>
      <c r="D2163" s="184"/>
      <c r="E2163" s="184"/>
      <c r="F2163" s="184"/>
      <c r="G2163" s="184"/>
      <c r="H2163" s="184"/>
      <c r="I2163" s="184"/>
      <c r="J2163" s="184"/>
      <c r="K2163" s="184"/>
      <c r="L2163" s="184"/>
      <c r="M2163" s="184"/>
      <c r="N2163" s="184"/>
      <c r="O2163" s="184"/>
      <c r="P2163" s="184"/>
      <c r="Q2163" s="184"/>
      <c r="R2163" s="184"/>
      <c r="S2163" s="184"/>
      <c r="T2163" s="184"/>
    </row>
    <row r="2164">
      <c r="A2164" s="184"/>
      <c r="B2164" s="184"/>
      <c r="C2164" s="184"/>
      <c r="D2164" s="184"/>
      <c r="E2164" s="184"/>
      <c r="F2164" s="184"/>
      <c r="G2164" s="184"/>
      <c r="H2164" s="184"/>
      <c r="I2164" s="184"/>
      <c r="J2164" s="184"/>
      <c r="K2164" s="184"/>
      <c r="L2164" s="184"/>
      <c r="M2164" s="184"/>
      <c r="N2164" s="184"/>
      <c r="O2164" s="184"/>
      <c r="P2164" s="184"/>
      <c r="Q2164" s="184"/>
      <c r="R2164" s="184"/>
      <c r="S2164" s="184"/>
      <c r="T2164" s="184"/>
    </row>
    <row r="2165">
      <c r="A2165" s="184"/>
      <c r="B2165" s="184"/>
      <c r="C2165" s="184"/>
      <c r="D2165" s="184"/>
      <c r="E2165" s="184"/>
      <c r="F2165" s="184"/>
      <c r="G2165" s="184"/>
      <c r="H2165" s="184"/>
      <c r="I2165" s="184"/>
      <c r="J2165" s="184"/>
      <c r="K2165" s="184"/>
      <c r="L2165" s="184"/>
      <c r="M2165" s="184"/>
      <c r="N2165" s="184"/>
      <c r="O2165" s="184"/>
      <c r="P2165" s="184"/>
      <c r="Q2165" s="184"/>
      <c r="R2165" s="184"/>
      <c r="S2165" s="184"/>
      <c r="T2165" s="184"/>
    </row>
    <row r="2166">
      <c r="A2166" s="184"/>
      <c r="B2166" s="184"/>
      <c r="C2166" s="184"/>
      <c r="D2166" s="184"/>
      <c r="E2166" s="184"/>
      <c r="F2166" s="184"/>
      <c r="G2166" s="184"/>
      <c r="H2166" s="184"/>
      <c r="I2166" s="184"/>
      <c r="J2166" s="184"/>
      <c r="K2166" s="184"/>
      <c r="L2166" s="184"/>
      <c r="M2166" s="184"/>
      <c r="N2166" s="184"/>
      <c r="O2166" s="184"/>
      <c r="P2166" s="184"/>
      <c r="Q2166" s="184"/>
      <c r="R2166" s="184"/>
      <c r="S2166" s="184"/>
      <c r="T2166" s="184"/>
    </row>
    <row r="2167">
      <c r="A2167" s="184"/>
      <c r="B2167" s="184"/>
      <c r="C2167" s="184"/>
      <c r="D2167" s="184"/>
      <c r="E2167" s="184"/>
      <c r="F2167" s="184"/>
      <c r="G2167" s="184"/>
      <c r="H2167" s="184"/>
      <c r="I2167" s="184"/>
      <c r="J2167" s="184"/>
      <c r="K2167" s="184"/>
      <c r="L2167" s="184"/>
      <c r="M2167" s="184"/>
      <c r="N2167" s="184"/>
      <c r="O2167" s="184"/>
      <c r="P2167" s="184"/>
      <c r="Q2167" s="184"/>
      <c r="R2167" s="184"/>
      <c r="S2167" s="184"/>
      <c r="T2167" s="184"/>
    </row>
    <row r="2168">
      <c r="A2168" s="184"/>
      <c r="B2168" s="184"/>
      <c r="C2168" s="184"/>
      <c r="D2168" s="184"/>
      <c r="E2168" s="184"/>
      <c r="F2168" s="184"/>
      <c r="G2168" s="184"/>
      <c r="H2168" s="184"/>
      <c r="I2168" s="184"/>
      <c r="J2168" s="184"/>
      <c r="K2168" s="184"/>
      <c r="L2168" s="184"/>
      <c r="M2168" s="184"/>
      <c r="N2168" s="184"/>
      <c r="O2168" s="184"/>
      <c r="P2168" s="184"/>
      <c r="Q2168" s="184"/>
      <c r="R2168" s="184"/>
      <c r="S2168" s="184"/>
      <c r="T2168" s="184"/>
    </row>
    <row r="2169">
      <c r="A2169" s="184"/>
      <c r="B2169" s="184"/>
      <c r="C2169" s="184"/>
      <c r="D2169" s="184"/>
      <c r="E2169" s="184"/>
      <c r="F2169" s="184"/>
      <c r="G2169" s="184"/>
      <c r="H2169" s="184"/>
      <c r="I2169" s="184"/>
      <c r="J2169" s="184"/>
      <c r="K2169" s="184"/>
      <c r="L2169" s="184"/>
      <c r="M2169" s="184"/>
      <c r="N2169" s="184"/>
      <c r="O2169" s="184"/>
      <c r="P2169" s="184"/>
      <c r="Q2169" s="184"/>
      <c r="R2169" s="184"/>
      <c r="S2169" s="184"/>
      <c r="T2169" s="184"/>
    </row>
    <row r="2170">
      <c r="A2170" s="184"/>
      <c r="B2170" s="184"/>
      <c r="C2170" s="184"/>
      <c r="D2170" s="184"/>
      <c r="E2170" s="184"/>
      <c r="F2170" s="184"/>
      <c r="G2170" s="184"/>
      <c r="H2170" s="184"/>
      <c r="I2170" s="184"/>
      <c r="J2170" s="184"/>
      <c r="K2170" s="184"/>
      <c r="L2170" s="184"/>
      <c r="M2170" s="184"/>
      <c r="N2170" s="184"/>
      <c r="O2170" s="184"/>
      <c r="P2170" s="184"/>
      <c r="Q2170" s="184"/>
      <c r="R2170" s="184"/>
      <c r="S2170" s="184"/>
      <c r="T2170" s="184"/>
    </row>
    <row r="2171">
      <c r="A2171" s="184"/>
      <c r="B2171" s="184"/>
      <c r="C2171" s="184"/>
      <c r="D2171" s="184"/>
      <c r="E2171" s="184"/>
      <c r="F2171" s="184"/>
      <c r="G2171" s="184"/>
      <c r="H2171" s="184"/>
      <c r="I2171" s="184"/>
      <c r="J2171" s="184"/>
      <c r="K2171" s="184"/>
      <c r="L2171" s="184"/>
      <c r="M2171" s="184"/>
      <c r="N2171" s="184"/>
      <c r="O2171" s="184"/>
      <c r="P2171" s="184"/>
      <c r="Q2171" s="184"/>
      <c r="R2171" s="184"/>
      <c r="S2171" s="184"/>
      <c r="T2171" s="184"/>
    </row>
    <row r="2172">
      <c r="A2172" s="184"/>
      <c r="B2172" s="184"/>
      <c r="C2172" s="184"/>
      <c r="D2172" s="184"/>
      <c r="E2172" s="184"/>
      <c r="F2172" s="184"/>
      <c r="G2172" s="184"/>
      <c r="H2172" s="184"/>
      <c r="I2172" s="184"/>
      <c r="J2172" s="184"/>
      <c r="K2172" s="184"/>
      <c r="L2172" s="184"/>
      <c r="M2172" s="184"/>
      <c r="N2172" s="184"/>
      <c r="O2172" s="184"/>
      <c r="P2172" s="184"/>
      <c r="Q2172" s="184"/>
      <c r="R2172" s="184"/>
      <c r="S2172" s="184"/>
      <c r="T2172" s="184"/>
    </row>
    <row r="2173">
      <c r="A2173" s="184"/>
      <c r="B2173" s="184"/>
      <c r="C2173" s="184"/>
      <c r="D2173" s="184"/>
      <c r="E2173" s="184"/>
      <c r="F2173" s="184"/>
      <c r="G2173" s="184"/>
      <c r="H2173" s="184"/>
      <c r="I2173" s="184"/>
      <c r="J2173" s="184"/>
      <c r="K2173" s="184"/>
      <c r="L2173" s="184"/>
      <c r="M2173" s="184"/>
      <c r="N2173" s="184"/>
      <c r="O2173" s="184"/>
      <c r="P2173" s="184"/>
      <c r="Q2173" s="184"/>
      <c r="R2173" s="184"/>
      <c r="S2173" s="184"/>
      <c r="T2173" s="184"/>
    </row>
    <row r="2174">
      <c r="A2174" s="184"/>
      <c r="B2174" s="184"/>
      <c r="C2174" s="184"/>
      <c r="D2174" s="184"/>
      <c r="E2174" s="184"/>
      <c r="F2174" s="184"/>
      <c r="G2174" s="184"/>
      <c r="H2174" s="184"/>
      <c r="I2174" s="184"/>
      <c r="J2174" s="184"/>
      <c r="K2174" s="184"/>
      <c r="L2174" s="184"/>
      <c r="M2174" s="184"/>
      <c r="N2174" s="184"/>
      <c r="O2174" s="184"/>
      <c r="P2174" s="184"/>
      <c r="Q2174" s="184"/>
      <c r="R2174" s="184"/>
      <c r="S2174" s="184"/>
      <c r="T2174" s="184"/>
    </row>
    <row r="2175">
      <c r="A2175" s="184"/>
      <c r="B2175" s="184"/>
      <c r="C2175" s="184"/>
      <c r="D2175" s="184"/>
      <c r="E2175" s="184"/>
      <c r="F2175" s="184"/>
      <c r="G2175" s="184"/>
      <c r="H2175" s="184"/>
      <c r="I2175" s="184"/>
      <c r="J2175" s="184"/>
      <c r="K2175" s="184"/>
      <c r="L2175" s="184"/>
      <c r="M2175" s="184"/>
      <c r="N2175" s="184"/>
      <c r="O2175" s="184"/>
      <c r="P2175" s="184"/>
      <c r="Q2175" s="184"/>
      <c r="R2175" s="184"/>
      <c r="S2175" s="184"/>
      <c r="T2175" s="184"/>
    </row>
    <row r="2176">
      <c r="A2176" s="184"/>
      <c r="B2176" s="184"/>
      <c r="C2176" s="184"/>
      <c r="D2176" s="184"/>
      <c r="E2176" s="184"/>
      <c r="F2176" s="184"/>
      <c r="G2176" s="184"/>
      <c r="H2176" s="184"/>
      <c r="I2176" s="184"/>
      <c r="J2176" s="184"/>
      <c r="K2176" s="184"/>
      <c r="L2176" s="184"/>
      <c r="M2176" s="184"/>
      <c r="N2176" s="184"/>
      <c r="O2176" s="184"/>
      <c r="P2176" s="184"/>
      <c r="Q2176" s="184"/>
      <c r="R2176" s="184"/>
      <c r="S2176" s="184"/>
      <c r="T2176" s="184"/>
    </row>
    <row r="2177">
      <c r="A2177" s="184"/>
      <c r="B2177" s="184"/>
      <c r="C2177" s="184"/>
      <c r="D2177" s="184"/>
      <c r="E2177" s="184"/>
      <c r="F2177" s="184"/>
      <c r="G2177" s="184"/>
      <c r="H2177" s="184"/>
      <c r="I2177" s="184"/>
      <c r="J2177" s="184"/>
      <c r="K2177" s="184"/>
      <c r="L2177" s="184"/>
      <c r="M2177" s="184"/>
      <c r="N2177" s="184"/>
      <c r="O2177" s="184"/>
      <c r="P2177" s="184"/>
      <c r="Q2177" s="184"/>
      <c r="R2177" s="184"/>
      <c r="S2177" s="184"/>
      <c r="T2177" s="184"/>
    </row>
    <row r="2178">
      <c r="A2178" s="184"/>
      <c r="B2178" s="184"/>
      <c r="C2178" s="184"/>
      <c r="D2178" s="184"/>
      <c r="E2178" s="184"/>
      <c r="F2178" s="184"/>
      <c r="G2178" s="184"/>
      <c r="H2178" s="184"/>
      <c r="I2178" s="184"/>
      <c r="J2178" s="184"/>
      <c r="K2178" s="184"/>
      <c r="L2178" s="184"/>
      <c r="M2178" s="184"/>
      <c r="N2178" s="184"/>
      <c r="O2178" s="184"/>
      <c r="P2178" s="184"/>
      <c r="Q2178" s="184"/>
      <c r="R2178" s="184"/>
      <c r="S2178" s="184"/>
      <c r="T2178" s="184"/>
    </row>
    <row r="2179">
      <c r="A2179" s="184"/>
      <c r="B2179" s="184"/>
      <c r="C2179" s="184"/>
      <c r="D2179" s="184"/>
      <c r="E2179" s="184"/>
      <c r="F2179" s="184"/>
      <c r="G2179" s="184"/>
      <c r="H2179" s="184"/>
      <c r="I2179" s="184"/>
      <c r="J2179" s="184"/>
      <c r="K2179" s="184"/>
      <c r="L2179" s="184"/>
      <c r="M2179" s="184"/>
      <c r="N2179" s="184"/>
      <c r="O2179" s="184"/>
      <c r="P2179" s="184"/>
      <c r="Q2179" s="184"/>
      <c r="R2179" s="184"/>
      <c r="S2179" s="184"/>
      <c r="T2179" s="184"/>
    </row>
    <row r="2180">
      <c r="A2180" s="184"/>
      <c r="B2180" s="184"/>
      <c r="C2180" s="184"/>
      <c r="D2180" s="184"/>
      <c r="E2180" s="184"/>
      <c r="F2180" s="184"/>
      <c r="G2180" s="184"/>
      <c r="H2180" s="184"/>
      <c r="I2180" s="184"/>
      <c r="J2180" s="184"/>
      <c r="K2180" s="184"/>
      <c r="L2180" s="184"/>
      <c r="M2180" s="184"/>
      <c r="N2180" s="184"/>
      <c r="O2180" s="184"/>
      <c r="P2180" s="184"/>
      <c r="Q2180" s="184"/>
      <c r="R2180" s="184"/>
      <c r="S2180" s="184"/>
      <c r="T2180" s="184"/>
    </row>
    <row r="2181">
      <c r="A2181" s="184"/>
      <c r="B2181" s="184"/>
      <c r="C2181" s="184"/>
      <c r="D2181" s="184"/>
      <c r="E2181" s="184"/>
      <c r="F2181" s="184"/>
      <c r="G2181" s="184"/>
      <c r="H2181" s="184"/>
      <c r="I2181" s="184"/>
      <c r="J2181" s="184"/>
      <c r="K2181" s="184"/>
      <c r="L2181" s="184"/>
      <c r="M2181" s="184"/>
      <c r="N2181" s="184"/>
      <c r="O2181" s="184"/>
      <c r="P2181" s="184"/>
      <c r="Q2181" s="184"/>
      <c r="R2181" s="184"/>
      <c r="S2181" s="184"/>
      <c r="T2181" s="184"/>
    </row>
    <row r="2182">
      <c r="A2182" s="184"/>
      <c r="B2182" s="184"/>
      <c r="C2182" s="184"/>
      <c r="D2182" s="184"/>
      <c r="E2182" s="184"/>
      <c r="F2182" s="184"/>
      <c r="G2182" s="184"/>
      <c r="H2182" s="184"/>
      <c r="I2182" s="184"/>
      <c r="J2182" s="184"/>
      <c r="K2182" s="184"/>
      <c r="L2182" s="184"/>
      <c r="M2182" s="184"/>
      <c r="N2182" s="184"/>
      <c r="O2182" s="184"/>
      <c r="P2182" s="184"/>
      <c r="Q2182" s="184"/>
      <c r="R2182" s="184"/>
      <c r="S2182" s="184"/>
      <c r="T2182" s="184"/>
    </row>
    <row r="2183">
      <c r="A2183" s="184"/>
      <c r="B2183" s="184"/>
      <c r="C2183" s="184"/>
      <c r="D2183" s="184"/>
      <c r="E2183" s="184"/>
      <c r="F2183" s="184"/>
      <c r="G2183" s="184"/>
      <c r="H2183" s="184"/>
      <c r="I2183" s="184"/>
      <c r="J2183" s="184"/>
      <c r="K2183" s="184"/>
      <c r="L2183" s="184"/>
      <c r="M2183" s="184"/>
      <c r="N2183" s="184"/>
      <c r="O2183" s="184"/>
      <c r="P2183" s="184"/>
      <c r="Q2183" s="184"/>
      <c r="R2183" s="184"/>
      <c r="S2183" s="184"/>
      <c r="T2183" s="184"/>
    </row>
    <row r="2184">
      <c r="A2184" s="184"/>
      <c r="B2184" s="184"/>
      <c r="C2184" s="184"/>
      <c r="D2184" s="184"/>
      <c r="E2184" s="184"/>
      <c r="F2184" s="184"/>
      <c r="G2184" s="184"/>
      <c r="H2184" s="184"/>
      <c r="I2184" s="184"/>
      <c r="J2184" s="184"/>
      <c r="K2184" s="184"/>
      <c r="L2184" s="184"/>
      <c r="M2184" s="184"/>
      <c r="N2184" s="184"/>
      <c r="O2184" s="184"/>
      <c r="P2184" s="184"/>
      <c r="Q2184" s="184"/>
      <c r="R2184" s="184"/>
      <c r="S2184" s="184"/>
      <c r="T2184" s="184"/>
    </row>
    <row r="2185">
      <c r="A2185" s="184"/>
      <c r="B2185" s="184"/>
      <c r="C2185" s="184"/>
      <c r="D2185" s="184"/>
      <c r="E2185" s="184"/>
      <c r="F2185" s="184"/>
      <c r="G2185" s="184"/>
      <c r="H2185" s="184"/>
      <c r="I2185" s="184"/>
      <c r="J2185" s="184"/>
      <c r="K2185" s="184"/>
      <c r="L2185" s="184"/>
      <c r="M2185" s="184"/>
      <c r="N2185" s="184"/>
      <c r="O2185" s="184"/>
      <c r="P2185" s="184"/>
      <c r="Q2185" s="184"/>
      <c r="R2185" s="184"/>
      <c r="S2185" s="184"/>
      <c r="T2185" s="184"/>
    </row>
    <row r="2186">
      <c r="A2186" s="184"/>
      <c r="B2186" s="184"/>
      <c r="C2186" s="184"/>
      <c r="D2186" s="184"/>
      <c r="E2186" s="184"/>
      <c r="F2186" s="184"/>
      <c r="G2186" s="184"/>
      <c r="H2186" s="184"/>
      <c r="I2186" s="184"/>
      <c r="J2186" s="184"/>
      <c r="K2186" s="184"/>
      <c r="L2186" s="184"/>
      <c r="M2186" s="184"/>
      <c r="N2186" s="184"/>
      <c r="O2186" s="184"/>
      <c r="P2186" s="184"/>
      <c r="Q2186" s="184"/>
      <c r="R2186" s="184"/>
      <c r="S2186" s="184"/>
      <c r="T2186" s="184"/>
    </row>
    <row r="2187">
      <c r="A2187" s="184"/>
      <c r="B2187" s="184"/>
      <c r="C2187" s="184"/>
      <c r="D2187" s="184"/>
      <c r="E2187" s="184"/>
      <c r="F2187" s="184"/>
      <c r="G2187" s="184"/>
      <c r="H2187" s="184"/>
      <c r="I2187" s="184"/>
      <c r="J2187" s="184"/>
      <c r="K2187" s="184"/>
      <c r="L2187" s="184"/>
      <c r="M2187" s="184"/>
      <c r="N2187" s="184"/>
      <c r="O2187" s="184"/>
      <c r="P2187" s="184"/>
      <c r="Q2187" s="184"/>
      <c r="R2187" s="184"/>
      <c r="S2187" s="184"/>
      <c r="T2187" s="184"/>
    </row>
    <row r="2188">
      <c r="A2188" s="184"/>
      <c r="B2188" s="184"/>
      <c r="C2188" s="184"/>
      <c r="D2188" s="184"/>
      <c r="E2188" s="184"/>
      <c r="F2188" s="184"/>
      <c r="G2188" s="184"/>
      <c r="H2188" s="184"/>
      <c r="I2188" s="184"/>
      <c r="J2188" s="184"/>
      <c r="K2188" s="184"/>
      <c r="L2188" s="184"/>
      <c r="M2188" s="184"/>
      <c r="N2188" s="184"/>
      <c r="O2188" s="184"/>
      <c r="P2188" s="184"/>
      <c r="Q2188" s="184"/>
      <c r="R2188" s="184"/>
      <c r="S2188" s="184"/>
      <c r="T2188" s="184"/>
    </row>
    <row r="2189">
      <c r="A2189" s="184"/>
      <c r="B2189" s="184"/>
      <c r="C2189" s="184"/>
      <c r="D2189" s="184"/>
      <c r="E2189" s="184"/>
      <c r="F2189" s="184"/>
      <c r="G2189" s="184"/>
      <c r="H2189" s="184"/>
      <c r="I2189" s="184"/>
      <c r="J2189" s="184"/>
      <c r="K2189" s="184"/>
      <c r="L2189" s="184"/>
      <c r="M2189" s="184"/>
      <c r="N2189" s="184"/>
      <c r="O2189" s="184"/>
      <c r="P2189" s="184"/>
      <c r="Q2189" s="184"/>
      <c r="R2189" s="184"/>
      <c r="S2189" s="184"/>
      <c r="T2189" s="184"/>
    </row>
    <row r="2190">
      <c r="A2190" s="184"/>
      <c r="B2190" s="184"/>
      <c r="C2190" s="184"/>
      <c r="D2190" s="184"/>
      <c r="E2190" s="184"/>
      <c r="F2190" s="184"/>
      <c r="G2190" s="184"/>
      <c r="H2190" s="184"/>
      <c r="I2190" s="184"/>
      <c r="J2190" s="184"/>
      <c r="K2190" s="184"/>
      <c r="L2190" s="184"/>
      <c r="M2190" s="184"/>
      <c r="N2190" s="184"/>
      <c r="O2190" s="184"/>
      <c r="P2190" s="184"/>
      <c r="Q2190" s="184"/>
      <c r="R2190" s="184"/>
      <c r="S2190" s="184"/>
      <c r="T2190" s="184"/>
    </row>
    <row r="2191">
      <c r="A2191" s="184"/>
      <c r="B2191" s="184"/>
      <c r="C2191" s="184"/>
      <c r="D2191" s="184"/>
      <c r="E2191" s="184"/>
      <c r="F2191" s="184"/>
      <c r="G2191" s="184"/>
      <c r="H2191" s="184"/>
      <c r="I2191" s="184"/>
      <c r="J2191" s="184"/>
      <c r="K2191" s="184"/>
      <c r="L2191" s="184"/>
      <c r="M2191" s="184"/>
      <c r="N2191" s="184"/>
      <c r="O2191" s="184"/>
      <c r="P2191" s="184"/>
      <c r="Q2191" s="184"/>
      <c r="R2191" s="184"/>
      <c r="S2191" s="184"/>
      <c r="T2191" s="184"/>
    </row>
    <row r="2192">
      <c r="A2192" s="184"/>
      <c r="B2192" s="184"/>
      <c r="C2192" s="184"/>
      <c r="D2192" s="184"/>
      <c r="E2192" s="184"/>
      <c r="F2192" s="184"/>
      <c r="G2192" s="184"/>
      <c r="H2192" s="184"/>
      <c r="I2192" s="184"/>
      <c r="J2192" s="184"/>
      <c r="K2192" s="184"/>
      <c r="L2192" s="184"/>
      <c r="M2192" s="184"/>
      <c r="N2192" s="184"/>
      <c r="O2192" s="184"/>
      <c r="P2192" s="184"/>
      <c r="Q2192" s="184"/>
      <c r="R2192" s="184"/>
      <c r="S2192" s="184"/>
      <c r="T2192" s="184"/>
    </row>
    <row r="2193">
      <c r="A2193" s="184"/>
      <c r="B2193" s="184"/>
      <c r="C2193" s="184"/>
      <c r="D2193" s="184"/>
      <c r="E2193" s="184"/>
      <c r="F2193" s="184"/>
      <c r="G2193" s="184"/>
      <c r="H2193" s="184"/>
      <c r="I2193" s="184"/>
      <c r="J2193" s="184"/>
      <c r="K2193" s="184"/>
      <c r="L2193" s="184"/>
      <c r="M2193" s="184"/>
      <c r="N2193" s="184"/>
      <c r="O2193" s="184"/>
      <c r="P2193" s="184"/>
      <c r="Q2193" s="184"/>
      <c r="R2193" s="184"/>
      <c r="S2193" s="184"/>
      <c r="T2193" s="184"/>
    </row>
    <row r="2194">
      <c r="A2194" s="184"/>
      <c r="B2194" s="184"/>
      <c r="C2194" s="184"/>
      <c r="D2194" s="184"/>
      <c r="E2194" s="184"/>
      <c r="F2194" s="184"/>
      <c r="G2194" s="184"/>
      <c r="H2194" s="184"/>
      <c r="I2194" s="184"/>
      <c r="J2194" s="184"/>
      <c r="K2194" s="184"/>
      <c r="L2194" s="184"/>
      <c r="M2194" s="184"/>
      <c r="N2194" s="184"/>
      <c r="O2194" s="184"/>
      <c r="P2194" s="184"/>
      <c r="Q2194" s="184"/>
      <c r="R2194" s="184"/>
      <c r="S2194" s="184"/>
      <c r="T2194" s="184"/>
    </row>
    <row r="2195">
      <c r="A2195" s="184"/>
      <c r="B2195" s="184"/>
      <c r="C2195" s="184"/>
      <c r="D2195" s="184"/>
      <c r="E2195" s="184"/>
      <c r="F2195" s="184"/>
      <c r="G2195" s="184"/>
      <c r="H2195" s="184"/>
      <c r="I2195" s="184"/>
      <c r="J2195" s="184"/>
      <c r="K2195" s="184"/>
      <c r="L2195" s="184"/>
      <c r="M2195" s="184"/>
      <c r="N2195" s="184"/>
      <c r="O2195" s="184"/>
      <c r="P2195" s="184"/>
      <c r="Q2195" s="184"/>
      <c r="R2195" s="184"/>
      <c r="S2195" s="184"/>
      <c r="T2195" s="184"/>
    </row>
    <row r="2196">
      <c r="A2196" s="184"/>
      <c r="B2196" s="184"/>
      <c r="C2196" s="184"/>
      <c r="D2196" s="184"/>
      <c r="E2196" s="184"/>
      <c r="F2196" s="184"/>
      <c r="G2196" s="184"/>
      <c r="H2196" s="184"/>
      <c r="I2196" s="184"/>
      <c r="J2196" s="184"/>
      <c r="K2196" s="184"/>
      <c r="L2196" s="184"/>
      <c r="M2196" s="184"/>
      <c r="N2196" s="184"/>
      <c r="O2196" s="184"/>
      <c r="P2196" s="184"/>
      <c r="Q2196" s="184"/>
      <c r="R2196" s="184"/>
      <c r="S2196" s="184"/>
      <c r="T2196" s="184"/>
    </row>
    <row r="2197">
      <c r="A2197" s="184"/>
      <c r="B2197" s="184"/>
      <c r="C2197" s="184"/>
      <c r="D2197" s="184"/>
      <c r="E2197" s="184"/>
      <c r="F2197" s="184"/>
      <c r="G2197" s="184"/>
      <c r="H2197" s="184"/>
      <c r="I2197" s="184"/>
      <c r="J2197" s="184"/>
      <c r="K2197" s="184"/>
      <c r="L2197" s="184"/>
      <c r="M2197" s="184"/>
      <c r="N2197" s="184"/>
      <c r="O2197" s="184"/>
      <c r="P2197" s="184"/>
      <c r="Q2197" s="184"/>
      <c r="R2197" s="184"/>
      <c r="S2197" s="184"/>
      <c r="T2197" s="184"/>
    </row>
    <row r="2198">
      <c r="A2198" s="184"/>
      <c r="B2198" s="184"/>
      <c r="C2198" s="184"/>
      <c r="D2198" s="184"/>
      <c r="E2198" s="184"/>
      <c r="F2198" s="184"/>
      <c r="G2198" s="184"/>
      <c r="H2198" s="184"/>
      <c r="I2198" s="184"/>
      <c r="J2198" s="184"/>
      <c r="K2198" s="184"/>
      <c r="L2198" s="184"/>
      <c r="M2198" s="184"/>
      <c r="N2198" s="184"/>
      <c r="O2198" s="184"/>
      <c r="P2198" s="184"/>
      <c r="Q2198" s="184"/>
      <c r="R2198" s="184"/>
      <c r="S2198" s="184"/>
      <c r="T2198" s="184"/>
    </row>
    <row r="2199">
      <c r="A2199" s="184"/>
      <c r="B2199" s="184"/>
      <c r="C2199" s="184"/>
      <c r="D2199" s="184"/>
      <c r="E2199" s="184"/>
      <c r="F2199" s="184"/>
      <c r="G2199" s="184"/>
      <c r="H2199" s="184"/>
      <c r="I2199" s="184"/>
      <c r="J2199" s="184"/>
      <c r="K2199" s="184"/>
      <c r="L2199" s="184"/>
      <c r="M2199" s="184"/>
      <c r="N2199" s="184"/>
      <c r="O2199" s="184"/>
      <c r="P2199" s="184"/>
      <c r="Q2199" s="184"/>
      <c r="R2199" s="184"/>
      <c r="S2199" s="184"/>
      <c r="T2199" s="184"/>
    </row>
    <row r="2200">
      <c r="A2200" s="184"/>
      <c r="B2200" s="184"/>
      <c r="C2200" s="184"/>
      <c r="D2200" s="184"/>
      <c r="E2200" s="184"/>
      <c r="F2200" s="184"/>
      <c r="G2200" s="184"/>
      <c r="H2200" s="184"/>
      <c r="I2200" s="184"/>
      <c r="J2200" s="184"/>
      <c r="K2200" s="184"/>
      <c r="L2200" s="184"/>
      <c r="M2200" s="184"/>
      <c r="N2200" s="184"/>
      <c r="O2200" s="184"/>
      <c r="P2200" s="184"/>
      <c r="Q2200" s="184"/>
      <c r="R2200" s="184"/>
      <c r="S2200" s="184"/>
      <c r="T2200" s="184"/>
    </row>
    <row r="2201">
      <c r="A2201" s="184"/>
      <c r="B2201" s="184"/>
      <c r="C2201" s="184"/>
      <c r="D2201" s="184"/>
      <c r="E2201" s="184"/>
      <c r="F2201" s="184"/>
      <c r="G2201" s="184"/>
      <c r="H2201" s="184"/>
      <c r="I2201" s="184"/>
      <c r="J2201" s="184"/>
      <c r="K2201" s="184"/>
      <c r="L2201" s="184"/>
      <c r="M2201" s="184"/>
      <c r="N2201" s="184"/>
      <c r="O2201" s="184"/>
      <c r="P2201" s="184"/>
      <c r="Q2201" s="184"/>
      <c r="R2201" s="184"/>
      <c r="S2201" s="184"/>
      <c r="T2201" s="184"/>
    </row>
    <row r="2202">
      <c r="A2202" s="184"/>
      <c r="B2202" s="184"/>
      <c r="C2202" s="184"/>
      <c r="D2202" s="184"/>
      <c r="E2202" s="184"/>
      <c r="F2202" s="184"/>
      <c r="G2202" s="184"/>
      <c r="H2202" s="184"/>
      <c r="I2202" s="184"/>
      <c r="J2202" s="184"/>
      <c r="K2202" s="184"/>
      <c r="L2202" s="184"/>
      <c r="M2202" s="184"/>
      <c r="N2202" s="184"/>
      <c r="O2202" s="184"/>
      <c r="P2202" s="184"/>
      <c r="Q2202" s="184"/>
      <c r="R2202" s="184"/>
      <c r="S2202" s="184"/>
      <c r="T2202" s="184"/>
    </row>
    <row r="2203">
      <c r="A2203" s="184"/>
      <c r="B2203" s="184"/>
      <c r="C2203" s="184"/>
      <c r="D2203" s="184"/>
      <c r="E2203" s="184"/>
      <c r="F2203" s="184"/>
      <c r="G2203" s="184"/>
      <c r="H2203" s="184"/>
      <c r="I2203" s="184"/>
      <c r="J2203" s="184"/>
      <c r="K2203" s="184"/>
      <c r="L2203" s="184"/>
      <c r="M2203" s="184"/>
      <c r="N2203" s="184"/>
      <c r="O2203" s="184"/>
      <c r="P2203" s="184"/>
      <c r="Q2203" s="184"/>
      <c r="R2203" s="184"/>
      <c r="S2203" s="184"/>
      <c r="T2203" s="184"/>
    </row>
    <row r="2204">
      <c r="A2204" s="184"/>
      <c r="B2204" s="184"/>
      <c r="C2204" s="184"/>
      <c r="D2204" s="184"/>
      <c r="E2204" s="184"/>
      <c r="F2204" s="184"/>
      <c r="G2204" s="184"/>
      <c r="H2204" s="184"/>
      <c r="I2204" s="184"/>
      <c r="J2204" s="184"/>
      <c r="K2204" s="184"/>
      <c r="L2204" s="184"/>
      <c r="M2204" s="184"/>
      <c r="N2204" s="184"/>
      <c r="O2204" s="184"/>
      <c r="P2204" s="184"/>
      <c r="Q2204" s="184"/>
      <c r="R2204" s="184"/>
      <c r="S2204" s="184"/>
      <c r="T2204" s="184"/>
    </row>
    <row r="2205">
      <c r="A2205" s="184"/>
      <c r="B2205" s="184"/>
      <c r="C2205" s="184"/>
      <c r="D2205" s="184"/>
      <c r="E2205" s="184"/>
      <c r="F2205" s="184"/>
      <c r="G2205" s="184"/>
      <c r="H2205" s="184"/>
      <c r="I2205" s="184"/>
      <c r="J2205" s="184"/>
      <c r="K2205" s="184"/>
      <c r="L2205" s="184"/>
      <c r="M2205" s="184"/>
      <c r="N2205" s="184"/>
      <c r="O2205" s="184"/>
      <c r="P2205" s="184"/>
      <c r="Q2205" s="184"/>
      <c r="R2205" s="184"/>
      <c r="S2205" s="184"/>
      <c r="T2205" s="184"/>
    </row>
    <row r="2206">
      <c r="A2206" s="184"/>
      <c r="B2206" s="184"/>
      <c r="C2206" s="184"/>
      <c r="D2206" s="184"/>
      <c r="E2206" s="184"/>
      <c r="F2206" s="184"/>
      <c r="G2206" s="184"/>
      <c r="H2206" s="184"/>
      <c r="I2206" s="184"/>
      <c r="J2206" s="184"/>
      <c r="K2206" s="184"/>
      <c r="L2206" s="184"/>
      <c r="M2206" s="184"/>
      <c r="N2206" s="184"/>
      <c r="O2206" s="184"/>
      <c r="P2206" s="184"/>
      <c r="Q2206" s="184"/>
      <c r="R2206" s="184"/>
      <c r="S2206" s="184"/>
      <c r="T2206" s="184"/>
    </row>
    <row r="2207">
      <c r="A2207" s="184"/>
      <c r="B2207" s="184"/>
      <c r="C2207" s="184"/>
      <c r="D2207" s="184"/>
      <c r="E2207" s="184"/>
      <c r="F2207" s="184"/>
      <c r="G2207" s="184"/>
      <c r="H2207" s="184"/>
      <c r="I2207" s="184"/>
      <c r="J2207" s="184"/>
      <c r="K2207" s="184"/>
      <c r="L2207" s="184"/>
      <c r="M2207" s="184"/>
      <c r="N2207" s="184"/>
      <c r="O2207" s="184"/>
      <c r="P2207" s="184"/>
      <c r="Q2207" s="184"/>
      <c r="R2207" s="184"/>
      <c r="S2207" s="184"/>
      <c r="T2207" s="184"/>
    </row>
    <row r="2208">
      <c r="A2208" s="184"/>
      <c r="B2208" s="184"/>
      <c r="C2208" s="184"/>
      <c r="D2208" s="184"/>
      <c r="E2208" s="184"/>
      <c r="F2208" s="184"/>
      <c r="G2208" s="184"/>
      <c r="H2208" s="184"/>
      <c r="I2208" s="184"/>
      <c r="J2208" s="184"/>
      <c r="K2208" s="184"/>
      <c r="L2208" s="184"/>
      <c r="M2208" s="184"/>
      <c r="N2208" s="184"/>
      <c r="O2208" s="184"/>
      <c r="P2208" s="184"/>
      <c r="Q2208" s="184"/>
      <c r="R2208" s="184"/>
      <c r="S2208" s="184"/>
      <c r="T2208" s="184"/>
    </row>
    <row r="2209">
      <c r="A2209" s="184"/>
      <c r="B2209" s="184"/>
      <c r="C2209" s="184"/>
      <c r="D2209" s="184"/>
      <c r="E2209" s="184"/>
      <c r="F2209" s="184"/>
      <c r="G2209" s="184"/>
      <c r="H2209" s="184"/>
      <c r="I2209" s="184"/>
      <c r="J2209" s="184"/>
      <c r="K2209" s="184"/>
      <c r="L2209" s="184"/>
      <c r="M2209" s="184"/>
      <c r="N2209" s="184"/>
      <c r="O2209" s="184"/>
      <c r="P2209" s="184"/>
      <c r="Q2209" s="184"/>
      <c r="R2209" s="184"/>
      <c r="S2209" s="184"/>
      <c r="T2209" s="184"/>
    </row>
    <row r="2210">
      <c r="A2210" s="184"/>
      <c r="B2210" s="184"/>
      <c r="C2210" s="184"/>
      <c r="D2210" s="184"/>
      <c r="E2210" s="184"/>
      <c r="F2210" s="184"/>
      <c r="G2210" s="184"/>
      <c r="H2210" s="184"/>
      <c r="I2210" s="184"/>
      <c r="J2210" s="184"/>
      <c r="K2210" s="184"/>
      <c r="L2210" s="184"/>
      <c r="M2210" s="184"/>
      <c r="N2210" s="184"/>
      <c r="O2210" s="184"/>
      <c r="P2210" s="184"/>
      <c r="Q2210" s="184"/>
      <c r="R2210" s="184"/>
      <c r="S2210" s="184"/>
      <c r="T2210" s="184"/>
    </row>
    <row r="2211">
      <c r="A2211" s="184"/>
      <c r="B2211" s="184"/>
      <c r="C2211" s="184"/>
      <c r="D2211" s="184"/>
      <c r="E2211" s="184"/>
      <c r="F2211" s="184"/>
      <c r="G2211" s="184"/>
      <c r="H2211" s="184"/>
      <c r="I2211" s="184"/>
      <c r="J2211" s="184"/>
      <c r="K2211" s="184"/>
      <c r="L2211" s="184"/>
      <c r="M2211" s="184"/>
      <c r="N2211" s="184"/>
      <c r="O2211" s="184"/>
      <c r="P2211" s="184"/>
      <c r="Q2211" s="184"/>
      <c r="R2211" s="184"/>
      <c r="S2211" s="184"/>
      <c r="T2211" s="184"/>
    </row>
    <row r="2212">
      <c r="A2212" s="184"/>
      <c r="B2212" s="184"/>
      <c r="C2212" s="184"/>
      <c r="D2212" s="184"/>
      <c r="E2212" s="184"/>
      <c r="F2212" s="184"/>
      <c r="G2212" s="184"/>
      <c r="H2212" s="184"/>
      <c r="I2212" s="184"/>
      <c r="J2212" s="184"/>
      <c r="K2212" s="184"/>
      <c r="L2212" s="184"/>
      <c r="M2212" s="184"/>
      <c r="N2212" s="184"/>
      <c r="O2212" s="184"/>
      <c r="P2212" s="184"/>
      <c r="Q2212" s="184"/>
      <c r="R2212" s="184"/>
      <c r="S2212" s="184"/>
      <c r="T2212" s="184"/>
    </row>
    <row r="2213">
      <c r="A2213" s="184"/>
      <c r="B2213" s="184"/>
      <c r="C2213" s="184"/>
      <c r="D2213" s="184"/>
      <c r="E2213" s="184"/>
      <c r="F2213" s="184"/>
      <c r="G2213" s="184"/>
      <c r="H2213" s="184"/>
      <c r="I2213" s="184"/>
      <c r="J2213" s="184"/>
      <c r="K2213" s="184"/>
      <c r="L2213" s="184"/>
      <c r="M2213" s="184"/>
      <c r="N2213" s="184"/>
      <c r="O2213" s="184"/>
      <c r="P2213" s="184"/>
      <c r="Q2213" s="184"/>
      <c r="R2213" s="184"/>
      <c r="S2213" s="184"/>
      <c r="T2213" s="184"/>
    </row>
    <row r="2214">
      <c r="A2214" s="184"/>
      <c r="B2214" s="184"/>
      <c r="C2214" s="184"/>
      <c r="D2214" s="184"/>
      <c r="E2214" s="184"/>
      <c r="F2214" s="184"/>
      <c r="G2214" s="184"/>
      <c r="H2214" s="184"/>
      <c r="I2214" s="184"/>
      <c r="J2214" s="184"/>
      <c r="K2214" s="184"/>
      <c r="L2214" s="184"/>
      <c r="M2214" s="184"/>
      <c r="N2214" s="184"/>
      <c r="O2214" s="184"/>
      <c r="P2214" s="184"/>
      <c r="Q2214" s="184"/>
      <c r="R2214" s="184"/>
      <c r="S2214" s="184"/>
      <c r="T2214" s="184"/>
    </row>
    <row r="2215">
      <c r="A2215" s="184"/>
      <c r="B2215" s="184"/>
      <c r="C2215" s="184"/>
      <c r="D2215" s="184"/>
      <c r="E2215" s="184"/>
      <c r="F2215" s="184"/>
      <c r="G2215" s="184"/>
      <c r="H2215" s="184"/>
      <c r="I2215" s="184"/>
      <c r="J2215" s="184"/>
      <c r="K2215" s="184"/>
      <c r="L2215" s="184"/>
      <c r="M2215" s="184"/>
      <c r="N2215" s="184"/>
      <c r="O2215" s="184"/>
      <c r="P2215" s="184"/>
      <c r="Q2215" s="184"/>
      <c r="R2215" s="184"/>
      <c r="S2215" s="184"/>
      <c r="T2215" s="184"/>
    </row>
    <row r="2216">
      <c r="A2216" s="184"/>
      <c r="B2216" s="184"/>
      <c r="C2216" s="184"/>
      <c r="D2216" s="184"/>
      <c r="E2216" s="184"/>
      <c r="F2216" s="184"/>
      <c r="G2216" s="184"/>
      <c r="H2216" s="184"/>
      <c r="I2216" s="184"/>
      <c r="J2216" s="184"/>
      <c r="K2216" s="184"/>
      <c r="L2216" s="184"/>
      <c r="M2216" s="184"/>
      <c r="N2216" s="184"/>
      <c r="O2216" s="184"/>
      <c r="P2216" s="184"/>
      <c r="Q2216" s="184"/>
      <c r="R2216" s="184"/>
      <c r="S2216" s="184"/>
      <c r="T2216" s="184"/>
    </row>
    <row r="2217">
      <c r="A2217" s="184"/>
      <c r="B2217" s="184"/>
      <c r="C2217" s="184"/>
      <c r="D2217" s="184"/>
      <c r="E2217" s="184"/>
      <c r="F2217" s="184"/>
      <c r="G2217" s="184"/>
      <c r="H2217" s="184"/>
      <c r="I2217" s="184"/>
      <c r="J2217" s="184"/>
      <c r="K2217" s="184"/>
      <c r="L2217" s="184"/>
      <c r="M2217" s="184"/>
      <c r="N2217" s="184"/>
      <c r="O2217" s="184"/>
      <c r="P2217" s="184"/>
      <c r="Q2217" s="184"/>
      <c r="R2217" s="184"/>
      <c r="S2217" s="184"/>
      <c r="T2217" s="184"/>
    </row>
    <row r="2218">
      <c r="A2218" s="184"/>
      <c r="B2218" s="184"/>
      <c r="C2218" s="184"/>
      <c r="D2218" s="184"/>
      <c r="E2218" s="184"/>
      <c r="F2218" s="184"/>
      <c r="G2218" s="184"/>
      <c r="H2218" s="184"/>
      <c r="I2218" s="184"/>
      <c r="J2218" s="184"/>
      <c r="K2218" s="184"/>
      <c r="L2218" s="184"/>
      <c r="M2218" s="184"/>
      <c r="N2218" s="184"/>
      <c r="O2218" s="184"/>
      <c r="P2218" s="184"/>
      <c r="Q2218" s="184"/>
      <c r="R2218" s="184"/>
      <c r="S2218" s="184"/>
      <c r="T2218" s="184"/>
    </row>
    <row r="2219">
      <c r="A2219" s="184"/>
      <c r="B2219" s="184"/>
      <c r="C2219" s="184"/>
      <c r="D2219" s="184"/>
      <c r="E2219" s="184"/>
      <c r="F2219" s="184"/>
      <c r="G2219" s="184"/>
      <c r="H2219" s="184"/>
      <c r="I2219" s="184"/>
      <c r="J2219" s="184"/>
      <c r="K2219" s="184"/>
      <c r="L2219" s="184"/>
      <c r="M2219" s="184"/>
      <c r="N2219" s="184"/>
      <c r="O2219" s="184"/>
      <c r="P2219" s="184"/>
      <c r="Q2219" s="184"/>
      <c r="R2219" s="184"/>
      <c r="S2219" s="184"/>
      <c r="T2219" s="184"/>
    </row>
    <row r="2220">
      <c r="A2220" s="184"/>
      <c r="B2220" s="184"/>
      <c r="C2220" s="184"/>
      <c r="D2220" s="184"/>
      <c r="E2220" s="184"/>
      <c r="F2220" s="184"/>
      <c r="G2220" s="184"/>
      <c r="H2220" s="184"/>
      <c r="I2220" s="184"/>
      <c r="J2220" s="184"/>
      <c r="K2220" s="184"/>
      <c r="L2220" s="184"/>
      <c r="M2220" s="184"/>
      <c r="N2220" s="184"/>
      <c r="O2220" s="184"/>
      <c r="P2220" s="184"/>
      <c r="Q2220" s="184"/>
      <c r="R2220" s="184"/>
      <c r="S2220" s="184"/>
      <c r="T2220" s="184"/>
    </row>
    <row r="2221">
      <c r="A2221" s="184"/>
      <c r="B2221" s="184"/>
      <c r="C2221" s="184"/>
      <c r="D2221" s="184"/>
      <c r="E2221" s="184"/>
      <c r="F2221" s="184"/>
      <c r="G2221" s="184"/>
      <c r="H2221" s="184"/>
      <c r="I2221" s="184"/>
      <c r="J2221" s="184"/>
      <c r="K2221" s="184"/>
      <c r="L2221" s="184"/>
      <c r="M2221" s="184"/>
      <c r="N2221" s="184"/>
      <c r="O2221" s="184"/>
      <c r="P2221" s="184"/>
      <c r="Q2221" s="184"/>
      <c r="R2221" s="184"/>
      <c r="S2221" s="184"/>
      <c r="T2221" s="184"/>
    </row>
    <row r="2222">
      <c r="A2222" s="184"/>
      <c r="B2222" s="184"/>
      <c r="C2222" s="184"/>
      <c r="D2222" s="184"/>
      <c r="E2222" s="184"/>
      <c r="F2222" s="184"/>
      <c r="G2222" s="184"/>
      <c r="H2222" s="184"/>
      <c r="I2222" s="184"/>
      <c r="J2222" s="184"/>
      <c r="K2222" s="184"/>
      <c r="L2222" s="184"/>
      <c r="M2222" s="184"/>
      <c r="N2222" s="184"/>
      <c r="O2222" s="184"/>
      <c r="P2222" s="184"/>
      <c r="Q2222" s="184"/>
      <c r="R2222" s="184"/>
      <c r="S2222" s="184"/>
      <c r="T2222" s="184"/>
    </row>
    <row r="2223">
      <c r="A2223" s="184"/>
      <c r="B2223" s="184"/>
      <c r="C2223" s="184"/>
      <c r="D2223" s="184"/>
      <c r="E2223" s="184"/>
      <c r="F2223" s="184"/>
      <c r="G2223" s="184"/>
      <c r="H2223" s="184"/>
      <c r="I2223" s="184"/>
      <c r="J2223" s="184"/>
      <c r="K2223" s="184"/>
      <c r="L2223" s="184"/>
      <c r="M2223" s="184"/>
      <c r="N2223" s="184"/>
      <c r="O2223" s="184"/>
      <c r="P2223" s="184"/>
      <c r="Q2223" s="184"/>
      <c r="R2223" s="184"/>
      <c r="S2223" s="184"/>
      <c r="T2223" s="184"/>
    </row>
    <row r="2224">
      <c r="A2224" s="184"/>
      <c r="B2224" s="184"/>
      <c r="C2224" s="184"/>
      <c r="D2224" s="184"/>
      <c r="E2224" s="184"/>
      <c r="F2224" s="184"/>
      <c r="G2224" s="184"/>
      <c r="H2224" s="184"/>
      <c r="I2224" s="184"/>
      <c r="J2224" s="184"/>
      <c r="K2224" s="184"/>
      <c r="L2224" s="184"/>
      <c r="M2224" s="184"/>
      <c r="N2224" s="184"/>
      <c r="O2224" s="184"/>
      <c r="P2224" s="184"/>
      <c r="Q2224" s="184"/>
      <c r="R2224" s="184"/>
      <c r="S2224" s="184"/>
      <c r="T2224" s="184"/>
    </row>
    <row r="2225">
      <c r="A2225" s="184"/>
      <c r="B2225" s="184"/>
      <c r="C2225" s="184"/>
      <c r="D2225" s="184"/>
      <c r="E2225" s="184"/>
      <c r="F2225" s="184"/>
      <c r="G2225" s="184"/>
      <c r="H2225" s="184"/>
      <c r="I2225" s="184"/>
      <c r="J2225" s="184"/>
      <c r="K2225" s="184"/>
      <c r="L2225" s="184"/>
      <c r="M2225" s="184"/>
      <c r="N2225" s="184"/>
      <c r="O2225" s="184"/>
      <c r="P2225" s="184"/>
      <c r="Q2225" s="184"/>
      <c r="R2225" s="184"/>
      <c r="S2225" s="184"/>
      <c r="T2225" s="184"/>
    </row>
    <row r="2226">
      <c r="A2226" s="184"/>
      <c r="B2226" s="184"/>
      <c r="C2226" s="184"/>
      <c r="D2226" s="184"/>
      <c r="E2226" s="184"/>
      <c r="F2226" s="184"/>
      <c r="G2226" s="184"/>
      <c r="H2226" s="184"/>
      <c r="I2226" s="184"/>
      <c r="J2226" s="184"/>
      <c r="K2226" s="184"/>
      <c r="L2226" s="184"/>
      <c r="M2226" s="184"/>
      <c r="N2226" s="184"/>
      <c r="O2226" s="184"/>
      <c r="P2226" s="184"/>
      <c r="Q2226" s="184"/>
      <c r="R2226" s="184"/>
      <c r="S2226" s="184"/>
      <c r="T2226" s="184"/>
    </row>
    <row r="2227">
      <c r="A2227" s="184"/>
      <c r="B2227" s="184"/>
      <c r="C2227" s="184"/>
      <c r="D2227" s="184"/>
      <c r="E2227" s="184"/>
      <c r="F2227" s="184"/>
      <c r="G2227" s="184"/>
      <c r="H2227" s="184"/>
      <c r="I2227" s="184"/>
      <c r="J2227" s="184"/>
      <c r="K2227" s="184"/>
      <c r="L2227" s="184"/>
      <c r="M2227" s="184"/>
      <c r="N2227" s="184"/>
      <c r="O2227" s="184"/>
      <c r="P2227" s="184"/>
      <c r="Q2227" s="184"/>
      <c r="R2227" s="184"/>
      <c r="S2227" s="184"/>
      <c r="T2227" s="184"/>
    </row>
    <row r="2228">
      <c r="A2228" s="184"/>
      <c r="B2228" s="184"/>
      <c r="C2228" s="184"/>
      <c r="D2228" s="184"/>
      <c r="E2228" s="184"/>
      <c r="F2228" s="184"/>
      <c r="G2228" s="184"/>
      <c r="H2228" s="184"/>
      <c r="I2228" s="184"/>
      <c r="J2228" s="184"/>
      <c r="K2228" s="184"/>
      <c r="L2228" s="184"/>
      <c r="M2228" s="184"/>
      <c r="N2228" s="184"/>
      <c r="O2228" s="184"/>
      <c r="P2228" s="184"/>
      <c r="Q2228" s="184"/>
      <c r="R2228" s="184"/>
      <c r="S2228" s="184"/>
      <c r="T2228" s="184"/>
    </row>
    <row r="2229">
      <c r="A2229" s="184"/>
      <c r="B2229" s="184"/>
      <c r="C2229" s="184"/>
      <c r="D2229" s="184"/>
      <c r="E2229" s="184"/>
      <c r="F2229" s="184"/>
      <c r="G2229" s="184"/>
      <c r="H2229" s="184"/>
      <c r="I2229" s="184"/>
      <c r="J2229" s="184"/>
      <c r="K2229" s="184"/>
      <c r="L2229" s="184"/>
      <c r="M2229" s="184"/>
      <c r="N2229" s="184"/>
      <c r="O2229" s="184"/>
      <c r="P2229" s="184"/>
      <c r="Q2229" s="184"/>
      <c r="R2229" s="184"/>
      <c r="S2229" s="184"/>
      <c r="T2229" s="184"/>
    </row>
    <row r="2230">
      <c r="A2230" s="184"/>
      <c r="B2230" s="184"/>
      <c r="C2230" s="184"/>
      <c r="D2230" s="184"/>
      <c r="E2230" s="184"/>
      <c r="F2230" s="184"/>
      <c r="G2230" s="184"/>
      <c r="H2230" s="184"/>
      <c r="I2230" s="184"/>
      <c r="J2230" s="184"/>
      <c r="K2230" s="184"/>
      <c r="L2230" s="184"/>
      <c r="M2230" s="184"/>
      <c r="N2230" s="184"/>
      <c r="O2230" s="184"/>
      <c r="P2230" s="184"/>
      <c r="Q2230" s="184"/>
      <c r="R2230" s="184"/>
      <c r="S2230" s="184"/>
      <c r="T2230" s="184"/>
    </row>
    <row r="2231">
      <c r="A2231" s="184"/>
      <c r="B2231" s="184"/>
      <c r="C2231" s="184"/>
      <c r="D2231" s="184"/>
      <c r="E2231" s="184"/>
      <c r="F2231" s="184"/>
      <c r="G2231" s="184"/>
      <c r="H2231" s="184"/>
      <c r="I2231" s="184"/>
      <c r="J2231" s="184"/>
      <c r="K2231" s="184"/>
      <c r="L2231" s="184"/>
      <c r="M2231" s="184"/>
      <c r="N2231" s="184"/>
      <c r="O2231" s="184"/>
      <c r="P2231" s="184"/>
      <c r="Q2231" s="184"/>
      <c r="R2231" s="184"/>
      <c r="S2231" s="184"/>
      <c r="T2231" s="184"/>
    </row>
    <row r="2232">
      <c r="A2232" s="184"/>
      <c r="B2232" s="184"/>
      <c r="C2232" s="184"/>
      <c r="D2232" s="184"/>
      <c r="E2232" s="184"/>
      <c r="F2232" s="184"/>
      <c r="G2232" s="184"/>
      <c r="H2232" s="184"/>
      <c r="I2232" s="184"/>
      <c r="J2232" s="184"/>
      <c r="K2232" s="184"/>
      <c r="L2232" s="184"/>
      <c r="M2232" s="184"/>
      <c r="N2232" s="184"/>
      <c r="O2232" s="184"/>
      <c r="P2232" s="184"/>
      <c r="Q2232" s="184"/>
      <c r="R2232" s="184"/>
      <c r="S2232" s="184"/>
      <c r="T2232" s="184"/>
    </row>
    <row r="2233">
      <c r="A2233" s="184"/>
      <c r="B2233" s="184"/>
      <c r="C2233" s="184"/>
      <c r="D2233" s="184"/>
      <c r="E2233" s="184"/>
      <c r="F2233" s="184"/>
      <c r="G2233" s="184"/>
      <c r="H2233" s="184"/>
      <c r="I2233" s="184"/>
      <c r="J2233" s="184"/>
      <c r="K2233" s="184"/>
      <c r="L2233" s="184"/>
      <c r="M2233" s="184"/>
      <c r="N2233" s="184"/>
      <c r="O2233" s="184"/>
      <c r="P2233" s="184"/>
      <c r="Q2233" s="184"/>
      <c r="R2233" s="184"/>
      <c r="S2233" s="184"/>
      <c r="T2233" s="184"/>
    </row>
    <row r="2234">
      <c r="A2234" s="184"/>
      <c r="B2234" s="184"/>
      <c r="C2234" s="184"/>
      <c r="D2234" s="184"/>
      <c r="E2234" s="184"/>
      <c r="F2234" s="184"/>
      <c r="G2234" s="184"/>
      <c r="H2234" s="184"/>
      <c r="I2234" s="184"/>
      <c r="J2234" s="184"/>
      <c r="K2234" s="184"/>
      <c r="L2234" s="184"/>
      <c r="M2234" s="184"/>
      <c r="N2234" s="184"/>
      <c r="O2234" s="184"/>
      <c r="P2234" s="184"/>
      <c r="Q2234" s="184"/>
      <c r="R2234" s="184"/>
      <c r="S2234" s="184"/>
      <c r="T2234" s="184"/>
    </row>
    <row r="2235">
      <c r="A2235" s="184"/>
      <c r="B2235" s="184"/>
      <c r="C2235" s="184"/>
      <c r="D2235" s="184"/>
      <c r="E2235" s="184"/>
      <c r="F2235" s="184"/>
      <c r="G2235" s="184"/>
      <c r="H2235" s="184"/>
      <c r="I2235" s="184"/>
      <c r="J2235" s="184"/>
      <c r="K2235" s="184"/>
      <c r="L2235" s="184"/>
      <c r="M2235" s="184"/>
      <c r="N2235" s="184"/>
      <c r="O2235" s="184"/>
      <c r="P2235" s="184"/>
      <c r="Q2235" s="184"/>
      <c r="R2235" s="184"/>
      <c r="S2235" s="184"/>
      <c r="T2235" s="184"/>
    </row>
    <row r="2236">
      <c r="A2236" s="184"/>
      <c r="B2236" s="184"/>
      <c r="C2236" s="184"/>
      <c r="D2236" s="184"/>
      <c r="E2236" s="184"/>
      <c r="F2236" s="184"/>
      <c r="G2236" s="184"/>
      <c r="H2236" s="184"/>
      <c r="I2236" s="184"/>
      <c r="J2236" s="184"/>
      <c r="K2236" s="184"/>
      <c r="L2236" s="184"/>
      <c r="M2236" s="184"/>
      <c r="N2236" s="184"/>
      <c r="O2236" s="184"/>
      <c r="P2236" s="184"/>
      <c r="Q2236" s="184"/>
      <c r="R2236" s="184"/>
      <c r="S2236" s="184"/>
      <c r="T2236" s="184"/>
    </row>
    <row r="2237">
      <c r="A2237" s="184"/>
      <c r="B2237" s="184"/>
      <c r="C2237" s="184"/>
      <c r="D2237" s="184"/>
      <c r="E2237" s="184"/>
      <c r="F2237" s="184"/>
      <c r="G2237" s="184"/>
      <c r="H2237" s="184"/>
      <c r="I2237" s="184"/>
      <c r="J2237" s="184"/>
      <c r="K2237" s="184"/>
      <c r="L2237" s="184"/>
      <c r="M2237" s="184"/>
      <c r="N2237" s="184"/>
      <c r="O2237" s="184"/>
      <c r="P2237" s="184"/>
      <c r="Q2237" s="184"/>
      <c r="R2237" s="184"/>
      <c r="S2237" s="184"/>
      <c r="T2237" s="184"/>
    </row>
    <row r="2238">
      <c r="A2238" s="184"/>
      <c r="B2238" s="184"/>
      <c r="C2238" s="184"/>
      <c r="D2238" s="184"/>
      <c r="E2238" s="184"/>
      <c r="F2238" s="184"/>
      <c r="G2238" s="184"/>
      <c r="H2238" s="184"/>
      <c r="I2238" s="184"/>
      <c r="J2238" s="184"/>
      <c r="K2238" s="184"/>
      <c r="L2238" s="184"/>
      <c r="M2238" s="184"/>
      <c r="N2238" s="184"/>
      <c r="O2238" s="184"/>
      <c r="P2238" s="184"/>
      <c r="Q2238" s="184"/>
      <c r="R2238" s="184"/>
      <c r="S2238" s="184"/>
      <c r="T2238" s="184"/>
    </row>
    <row r="2239">
      <c r="A2239" s="184"/>
      <c r="B2239" s="184"/>
      <c r="C2239" s="184"/>
      <c r="D2239" s="184"/>
      <c r="E2239" s="184"/>
      <c r="F2239" s="184"/>
      <c r="G2239" s="184"/>
      <c r="H2239" s="184"/>
      <c r="I2239" s="184"/>
      <c r="J2239" s="184"/>
      <c r="K2239" s="184"/>
      <c r="L2239" s="184"/>
      <c r="M2239" s="184"/>
      <c r="N2239" s="184"/>
      <c r="O2239" s="184"/>
      <c r="P2239" s="184"/>
      <c r="Q2239" s="184"/>
      <c r="R2239" s="184"/>
      <c r="S2239" s="184"/>
      <c r="T2239" s="184"/>
    </row>
    <row r="2240">
      <c r="A2240" s="184"/>
      <c r="B2240" s="184"/>
      <c r="C2240" s="184"/>
      <c r="D2240" s="184"/>
      <c r="E2240" s="184"/>
      <c r="F2240" s="184"/>
      <c r="G2240" s="184"/>
      <c r="H2240" s="184"/>
      <c r="I2240" s="184"/>
      <c r="J2240" s="184"/>
      <c r="K2240" s="184"/>
      <c r="L2240" s="184"/>
      <c r="M2240" s="184"/>
      <c r="N2240" s="184"/>
      <c r="O2240" s="184"/>
      <c r="P2240" s="184"/>
      <c r="Q2240" s="184"/>
      <c r="R2240" s="184"/>
      <c r="S2240" s="184"/>
      <c r="T2240" s="184"/>
    </row>
    <row r="2241">
      <c r="A2241" s="184"/>
      <c r="B2241" s="184"/>
      <c r="C2241" s="184"/>
      <c r="D2241" s="184"/>
      <c r="E2241" s="184"/>
      <c r="F2241" s="184"/>
      <c r="G2241" s="184"/>
      <c r="H2241" s="184"/>
      <c r="I2241" s="184"/>
      <c r="J2241" s="184"/>
      <c r="K2241" s="184"/>
      <c r="L2241" s="184"/>
      <c r="M2241" s="184"/>
      <c r="N2241" s="184"/>
      <c r="O2241" s="184"/>
      <c r="P2241" s="184"/>
      <c r="Q2241" s="184"/>
      <c r="R2241" s="184"/>
      <c r="S2241" s="184"/>
      <c r="T2241" s="184"/>
    </row>
    <row r="2242">
      <c r="A2242" s="184"/>
      <c r="B2242" s="184"/>
      <c r="C2242" s="184"/>
      <c r="D2242" s="184"/>
      <c r="E2242" s="184"/>
      <c r="F2242" s="184"/>
      <c r="G2242" s="184"/>
      <c r="H2242" s="184"/>
      <c r="I2242" s="184"/>
      <c r="J2242" s="184"/>
      <c r="K2242" s="184"/>
      <c r="L2242" s="184"/>
      <c r="M2242" s="184"/>
      <c r="N2242" s="184"/>
      <c r="O2242" s="184"/>
      <c r="P2242" s="184"/>
      <c r="Q2242" s="184"/>
      <c r="R2242" s="184"/>
      <c r="S2242" s="184"/>
      <c r="T2242" s="184"/>
    </row>
    <row r="2243">
      <c r="A2243" s="184"/>
      <c r="B2243" s="184"/>
      <c r="C2243" s="184"/>
      <c r="D2243" s="184"/>
      <c r="E2243" s="184"/>
      <c r="F2243" s="184"/>
      <c r="G2243" s="184"/>
      <c r="H2243" s="184"/>
      <c r="I2243" s="184"/>
      <c r="J2243" s="184"/>
      <c r="K2243" s="184"/>
      <c r="L2243" s="184"/>
      <c r="M2243" s="184"/>
      <c r="N2243" s="184"/>
      <c r="O2243" s="184"/>
      <c r="P2243" s="184"/>
      <c r="Q2243" s="184"/>
      <c r="R2243" s="184"/>
      <c r="S2243" s="184"/>
      <c r="T2243" s="184"/>
    </row>
    <row r="2244">
      <c r="A2244" s="184"/>
      <c r="B2244" s="184"/>
      <c r="C2244" s="184"/>
      <c r="D2244" s="184"/>
      <c r="E2244" s="184"/>
      <c r="F2244" s="184"/>
      <c r="G2244" s="184"/>
      <c r="H2244" s="184"/>
      <c r="I2244" s="184"/>
      <c r="J2244" s="184"/>
      <c r="K2244" s="184"/>
      <c r="L2244" s="184"/>
      <c r="M2244" s="184"/>
      <c r="N2244" s="184"/>
      <c r="O2244" s="184"/>
      <c r="P2244" s="184"/>
      <c r="Q2244" s="184"/>
      <c r="R2244" s="184"/>
      <c r="S2244" s="184"/>
      <c r="T2244" s="184"/>
    </row>
    <row r="2245">
      <c r="A2245" s="184"/>
      <c r="B2245" s="184"/>
      <c r="C2245" s="184"/>
      <c r="D2245" s="184"/>
      <c r="E2245" s="184"/>
      <c r="F2245" s="184"/>
      <c r="G2245" s="184"/>
      <c r="H2245" s="184"/>
      <c r="I2245" s="184"/>
      <c r="J2245" s="184"/>
      <c r="K2245" s="184"/>
      <c r="L2245" s="184"/>
      <c r="M2245" s="184"/>
      <c r="N2245" s="184"/>
      <c r="O2245" s="184"/>
      <c r="P2245" s="184"/>
      <c r="Q2245" s="184"/>
      <c r="R2245" s="184"/>
      <c r="S2245" s="184"/>
      <c r="T2245" s="184"/>
    </row>
    <row r="2246">
      <c r="A2246" s="184"/>
      <c r="B2246" s="184"/>
      <c r="C2246" s="184"/>
      <c r="D2246" s="184"/>
      <c r="E2246" s="184"/>
      <c r="F2246" s="184"/>
      <c r="G2246" s="184"/>
      <c r="H2246" s="184"/>
      <c r="I2246" s="184"/>
      <c r="J2246" s="184"/>
      <c r="K2246" s="184"/>
      <c r="L2246" s="184"/>
      <c r="M2246" s="184"/>
      <c r="N2246" s="184"/>
      <c r="O2246" s="184"/>
      <c r="P2246" s="184"/>
      <c r="Q2246" s="184"/>
      <c r="R2246" s="184"/>
      <c r="S2246" s="184"/>
      <c r="T2246" s="184"/>
    </row>
    <row r="2247">
      <c r="A2247" s="184"/>
      <c r="B2247" s="184"/>
      <c r="C2247" s="184"/>
      <c r="D2247" s="184"/>
      <c r="E2247" s="184"/>
      <c r="F2247" s="184"/>
      <c r="G2247" s="184"/>
      <c r="H2247" s="184"/>
      <c r="I2247" s="184"/>
      <c r="J2247" s="184"/>
      <c r="K2247" s="184"/>
      <c r="L2247" s="184"/>
      <c r="M2247" s="184"/>
      <c r="N2247" s="184"/>
      <c r="O2247" s="184"/>
      <c r="P2247" s="184"/>
      <c r="Q2247" s="184"/>
      <c r="R2247" s="184"/>
      <c r="S2247" s="184"/>
      <c r="T2247" s="184"/>
    </row>
    <row r="2248">
      <c r="A2248" s="184"/>
      <c r="B2248" s="184"/>
      <c r="C2248" s="184"/>
      <c r="D2248" s="184"/>
      <c r="E2248" s="184"/>
      <c r="F2248" s="184"/>
      <c r="G2248" s="184"/>
      <c r="H2248" s="184"/>
      <c r="I2248" s="184"/>
      <c r="J2248" s="184"/>
      <c r="K2248" s="184"/>
      <c r="L2248" s="184"/>
      <c r="M2248" s="184"/>
      <c r="N2248" s="184"/>
      <c r="O2248" s="184"/>
      <c r="P2248" s="184"/>
      <c r="Q2248" s="184"/>
      <c r="R2248" s="184"/>
      <c r="S2248" s="184"/>
      <c r="T2248" s="184"/>
    </row>
    <row r="2249">
      <c r="A2249" s="184"/>
      <c r="B2249" s="184"/>
      <c r="C2249" s="184"/>
      <c r="D2249" s="184"/>
      <c r="E2249" s="184"/>
      <c r="F2249" s="184"/>
      <c r="G2249" s="184"/>
      <c r="H2249" s="184"/>
      <c r="I2249" s="184"/>
      <c r="J2249" s="184"/>
      <c r="K2249" s="184"/>
      <c r="L2249" s="184"/>
      <c r="M2249" s="184"/>
      <c r="N2249" s="184"/>
      <c r="O2249" s="184"/>
      <c r="P2249" s="184"/>
      <c r="Q2249" s="184"/>
      <c r="R2249" s="184"/>
      <c r="S2249" s="184"/>
      <c r="T2249" s="184"/>
    </row>
    <row r="2250">
      <c r="A2250" s="184"/>
      <c r="B2250" s="184"/>
      <c r="C2250" s="184"/>
      <c r="D2250" s="184"/>
      <c r="E2250" s="184"/>
      <c r="F2250" s="184"/>
      <c r="G2250" s="184"/>
      <c r="H2250" s="184"/>
      <c r="I2250" s="184"/>
      <c r="J2250" s="184"/>
      <c r="K2250" s="184"/>
      <c r="L2250" s="184"/>
      <c r="M2250" s="184"/>
      <c r="N2250" s="184"/>
      <c r="O2250" s="184"/>
      <c r="P2250" s="184"/>
      <c r="Q2250" s="184"/>
      <c r="R2250" s="184"/>
      <c r="S2250" s="184"/>
      <c r="T2250" s="184"/>
    </row>
    <row r="2251">
      <c r="A2251" s="184"/>
      <c r="B2251" s="184"/>
      <c r="C2251" s="184"/>
      <c r="D2251" s="184"/>
      <c r="E2251" s="184"/>
      <c r="F2251" s="184"/>
      <c r="G2251" s="184"/>
      <c r="H2251" s="184"/>
      <c r="I2251" s="184"/>
      <c r="J2251" s="184"/>
      <c r="K2251" s="184"/>
      <c r="L2251" s="184"/>
      <c r="M2251" s="184"/>
      <c r="N2251" s="184"/>
      <c r="O2251" s="184"/>
      <c r="P2251" s="184"/>
      <c r="Q2251" s="184"/>
      <c r="R2251" s="184"/>
      <c r="S2251" s="184"/>
      <c r="T2251" s="184"/>
    </row>
    <row r="2252">
      <c r="A2252" s="184"/>
      <c r="B2252" s="184"/>
      <c r="C2252" s="184"/>
      <c r="D2252" s="184"/>
      <c r="E2252" s="184"/>
      <c r="F2252" s="184"/>
      <c r="G2252" s="184"/>
      <c r="H2252" s="184"/>
      <c r="I2252" s="184"/>
      <c r="J2252" s="184"/>
      <c r="K2252" s="184"/>
      <c r="L2252" s="184"/>
      <c r="M2252" s="184"/>
      <c r="N2252" s="184"/>
      <c r="O2252" s="184"/>
      <c r="P2252" s="184"/>
      <c r="Q2252" s="184"/>
      <c r="R2252" s="184"/>
      <c r="S2252" s="184"/>
      <c r="T2252" s="184"/>
    </row>
    <row r="2253">
      <c r="A2253" s="184"/>
      <c r="B2253" s="184"/>
      <c r="C2253" s="184"/>
      <c r="D2253" s="184"/>
      <c r="E2253" s="184"/>
      <c r="F2253" s="184"/>
      <c r="G2253" s="184"/>
      <c r="H2253" s="184"/>
      <c r="I2253" s="184"/>
      <c r="J2253" s="184"/>
      <c r="K2253" s="184"/>
      <c r="L2253" s="184"/>
      <c r="M2253" s="184"/>
      <c r="N2253" s="184"/>
      <c r="O2253" s="184"/>
      <c r="P2253" s="184"/>
      <c r="Q2253" s="184"/>
      <c r="R2253" s="184"/>
      <c r="S2253" s="184"/>
      <c r="T2253" s="184"/>
    </row>
    <row r="2254">
      <c r="A2254" s="184"/>
      <c r="B2254" s="184"/>
      <c r="C2254" s="184"/>
      <c r="D2254" s="184"/>
      <c r="E2254" s="184"/>
      <c r="F2254" s="184"/>
      <c r="G2254" s="184"/>
      <c r="H2254" s="184"/>
      <c r="I2254" s="184"/>
      <c r="J2254" s="184"/>
      <c r="K2254" s="184"/>
      <c r="L2254" s="184"/>
      <c r="M2254" s="184"/>
      <c r="N2254" s="184"/>
      <c r="O2254" s="184"/>
      <c r="P2254" s="184"/>
      <c r="Q2254" s="184"/>
      <c r="R2254" s="184"/>
      <c r="S2254" s="184"/>
      <c r="T2254" s="184"/>
    </row>
    <row r="2255">
      <c r="A2255" s="184"/>
      <c r="B2255" s="184"/>
      <c r="C2255" s="184"/>
      <c r="D2255" s="184"/>
      <c r="E2255" s="184"/>
      <c r="F2255" s="184"/>
      <c r="G2255" s="184"/>
      <c r="H2255" s="184"/>
      <c r="I2255" s="184"/>
      <c r="J2255" s="184"/>
      <c r="K2255" s="184"/>
      <c r="L2255" s="184"/>
      <c r="M2255" s="184"/>
      <c r="N2255" s="184"/>
      <c r="O2255" s="184"/>
      <c r="P2255" s="184"/>
      <c r="Q2255" s="184"/>
      <c r="R2255" s="184"/>
      <c r="S2255" s="184"/>
      <c r="T2255" s="184"/>
    </row>
    <row r="2256">
      <c r="A2256" s="184"/>
      <c r="B2256" s="184"/>
      <c r="C2256" s="184"/>
      <c r="D2256" s="184"/>
      <c r="E2256" s="184"/>
      <c r="F2256" s="184"/>
      <c r="G2256" s="184"/>
      <c r="H2256" s="184"/>
      <c r="I2256" s="184"/>
      <c r="J2256" s="184"/>
      <c r="K2256" s="184"/>
      <c r="L2256" s="184"/>
      <c r="M2256" s="184"/>
      <c r="N2256" s="184"/>
      <c r="O2256" s="184"/>
      <c r="P2256" s="184"/>
      <c r="Q2256" s="184"/>
      <c r="R2256" s="184"/>
      <c r="S2256" s="184"/>
      <c r="T2256" s="184"/>
    </row>
    <row r="2257">
      <c r="A2257" s="184"/>
      <c r="B2257" s="184"/>
      <c r="C2257" s="184"/>
      <c r="D2257" s="184"/>
      <c r="E2257" s="184"/>
      <c r="F2257" s="184"/>
      <c r="G2257" s="184"/>
      <c r="H2257" s="184"/>
      <c r="I2257" s="184"/>
      <c r="J2257" s="184"/>
      <c r="K2257" s="184"/>
      <c r="L2257" s="184"/>
      <c r="M2257" s="184"/>
      <c r="N2257" s="184"/>
      <c r="O2257" s="184"/>
      <c r="P2257" s="184"/>
      <c r="Q2257" s="184"/>
      <c r="R2257" s="184"/>
      <c r="S2257" s="184"/>
      <c r="T2257" s="184"/>
    </row>
    <row r="2258">
      <c r="A2258" s="184"/>
      <c r="B2258" s="184"/>
      <c r="C2258" s="184"/>
      <c r="D2258" s="184"/>
      <c r="E2258" s="184"/>
      <c r="F2258" s="184"/>
      <c r="G2258" s="184"/>
      <c r="H2258" s="184"/>
      <c r="I2258" s="184"/>
      <c r="J2258" s="184"/>
      <c r="K2258" s="184"/>
      <c r="L2258" s="184"/>
      <c r="M2258" s="184"/>
      <c r="N2258" s="184"/>
      <c r="O2258" s="184"/>
      <c r="P2258" s="184"/>
      <c r="Q2258" s="184"/>
      <c r="R2258" s="184"/>
      <c r="S2258" s="184"/>
      <c r="T2258" s="184"/>
    </row>
    <row r="2259">
      <c r="A2259" s="184"/>
      <c r="B2259" s="184"/>
      <c r="C2259" s="184"/>
      <c r="D2259" s="184"/>
      <c r="E2259" s="184"/>
      <c r="F2259" s="184"/>
      <c r="G2259" s="184"/>
      <c r="H2259" s="184"/>
      <c r="I2259" s="184"/>
      <c r="J2259" s="184"/>
      <c r="K2259" s="184"/>
      <c r="L2259" s="184"/>
      <c r="M2259" s="184"/>
      <c r="N2259" s="184"/>
      <c r="O2259" s="184"/>
      <c r="P2259" s="184"/>
      <c r="Q2259" s="184"/>
      <c r="R2259" s="184"/>
      <c r="S2259" s="184"/>
      <c r="T2259" s="184"/>
    </row>
    <row r="2260">
      <c r="A2260" s="184"/>
      <c r="B2260" s="184"/>
      <c r="C2260" s="184"/>
      <c r="D2260" s="184"/>
      <c r="E2260" s="184"/>
      <c r="F2260" s="184"/>
      <c r="G2260" s="184"/>
      <c r="H2260" s="184"/>
      <c r="I2260" s="184"/>
      <c r="J2260" s="184"/>
      <c r="K2260" s="184"/>
      <c r="L2260" s="184"/>
      <c r="M2260" s="184"/>
      <c r="N2260" s="184"/>
      <c r="O2260" s="184"/>
      <c r="P2260" s="184"/>
      <c r="Q2260" s="184"/>
      <c r="R2260" s="184"/>
      <c r="S2260" s="184"/>
      <c r="T2260" s="184"/>
    </row>
    <row r="2261">
      <c r="A2261" s="184"/>
      <c r="B2261" s="184"/>
      <c r="C2261" s="184"/>
      <c r="D2261" s="184"/>
      <c r="E2261" s="184"/>
      <c r="F2261" s="184"/>
      <c r="G2261" s="184"/>
      <c r="H2261" s="184"/>
      <c r="I2261" s="184"/>
      <c r="J2261" s="184"/>
      <c r="K2261" s="184"/>
      <c r="L2261" s="184"/>
      <c r="M2261" s="184"/>
      <c r="N2261" s="184"/>
      <c r="O2261" s="184"/>
      <c r="P2261" s="184"/>
      <c r="Q2261" s="184"/>
      <c r="R2261" s="184"/>
      <c r="S2261" s="184"/>
      <c r="T2261" s="184"/>
    </row>
    <row r="2262">
      <c r="A2262" s="184"/>
      <c r="B2262" s="184"/>
      <c r="C2262" s="184"/>
      <c r="D2262" s="184"/>
      <c r="E2262" s="184"/>
      <c r="F2262" s="184"/>
      <c r="G2262" s="184"/>
      <c r="H2262" s="184"/>
      <c r="I2262" s="184"/>
      <c r="J2262" s="184"/>
      <c r="K2262" s="184"/>
      <c r="L2262" s="184"/>
      <c r="M2262" s="184"/>
      <c r="N2262" s="184"/>
      <c r="O2262" s="184"/>
      <c r="P2262" s="184"/>
      <c r="Q2262" s="184"/>
      <c r="R2262" s="184"/>
      <c r="S2262" s="184"/>
      <c r="T2262" s="184"/>
    </row>
    <row r="2263">
      <c r="A2263" s="184"/>
      <c r="B2263" s="184"/>
      <c r="C2263" s="184"/>
      <c r="D2263" s="184"/>
      <c r="E2263" s="184"/>
      <c r="F2263" s="184"/>
      <c r="G2263" s="184"/>
      <c r="H2263" s="184"/>
      <c r="I2263" s="184"/>
      <c r="J2263" s="184"/>
      <c r="K2263" s="184"/>
      <c r="L2263" s="184"/>
      <c r="M2263" s="184"/>
      <c r="N2263" s="184"/>
      <c r="O2263" s="184"/>
      <c r="P2263" s="184"/>
      <c r="Q2263" s="184"/>
      <c r="R2263" s="184"/>
      <c r="S2263" s="184"/>
      <c r="T2263" s="184"/>
    </row>
    <row r="2264">
      <c r="A2264" s="184"/>
      <c r="B2264" s="184"/>
      <c r="C2264" s="184"/>
      <c r="D2264" s="184"/>
      <c r="E2264" s="184"/>
      <c r="F2264" s="184"/>
      <c r="G2264" s="184"/>
      <c r="H2264" s="184"/>
      <c r="I2264" s="184"/>
      <c r="J2264" s="184"/>
      <c r="K2264" s="184"/>
      <c r="L2264" s="184"/>
      <c r="M2264" s="184"/>
      <c r="N2264" s="184"/>
      <c r="O2264" s="184"/>
      <c r="P2264" s="184"/>
      <c r="Q2264" s="184"/>
      <c r="R2264" s="184"/>
      <c r="S2264" s="184"/>
      <c r="T2264" s="184"/>
    </row>
    <row r="2265">
      <c r="A2265" s="184"/>
      <c r="B2265" s="184"/>
      <c r="C2265" s="184"/>
      <c r="D2265" s="184"/>
      <c r="E2265" s="184"/>
      <c r="F2265" s="184"/>
      <c r="G2265" s="184"/>
      <c r="H2265" s="184"/>
      <c r="I2265" s="184"/>
      <c r="J2265" s="184"/>
      <c r="K2265" s="184"/>
      <c r="L2265" s="184"/>
      <c r="M2265" s="184"/>
      <c r="N2265" s="184"/>
      <c r="O2265" s="184"/>
      <c r="P2265" s="184"/>
      <c r="Q2265" s="184"/>
      <c r="R2265" s="184"/>
      <c r="S2265" s="184"/>
      <c r="T2265" s="184"/>
    </row>
    <row r="2266">
      <c r="A2266" s="184"/>
      <c r="B2266" s="184"/>
      <c r="C2266" s="184"/>
      <c r="D2266" s="184"/>
      <c r="E2266" s="184"/>
      <c r="F2266" s="184"/>
      <c r="G2266" s="184"/>
      <c r="H2266" s="184"/>
      <c r="I2266" s="184"/>
      <c r="J2266" s="184"/>
      <c r="K2266" s="184"/>
      <c r="L2266" s="184"/>
      <c r="M2266" s="184"/>
      <c r="N2266" s="184"/>
      <c r="O2266" s="184"/>
      <c r="P2266" s="184"/>
      <c r="Q2266" s="184"/>
      <c r="R2266" s="184"/>
      <c r="S2266" s="184"/>
      <c r="T2266" s="184"/>
    </row>
    <row r="2267">
      <c r="A2267" s="184"/>
      <c r="B2267" s="184"/>
      <c r="C2267" s="184"/>
      <c r="D2267" s="184"/>
      <c r="E2267" s="184"/>
      <c r="F2267" s="184"/>
      <c r="G2267" s="184"/>
      <c r="H2267" s="184"/>
      <c r="I2267" s="184"/>
      <c r="J2267" s="184"/>
      <c r="K2267" s="184"/>
      <c r="L2267" s="184"/>
      <c r="M2267" s="184"/>
      <c r="N2267" s="184"/>
      <c r="O2267" s="184"/>
      <c r="P2267" s="184"/>
      <c r="Q2267" s="184"/>
      <c r="R2267" s="184"/>
      <c r="S2267" s="184"/>
      <c r="T2267" s="184"/>
    </row>
    <row r="2268">
      <c r="A2268" s="184"/>
      <c r="B2268" s="184"/>
      <c r="C2268" s="184"/>
      <c r="D2268" s="184"/>
      <c r="E2268" s="184"/>
      <c r="F2268" s="184"/>
      <c r="G2268" s="184"/>
      <c r="H2268" s="184"/>
      <c r="I2268" s="184"/>
      <c r="J2268" s="184"/>
      <c r="K2268" s="184"/>
      <c r="L2268" s="184"/>
      <c r="M2268" s="184"/>
      <c r="N2268" s="184"/>
      <c r="O2268" s="184"/>
      <c r="P2268" s="184"/>
      <c r="Q2268" s="184"/>
      <c r="R2268" s="184"/>
      <c r="S2268" s="184"/>
      <c r="T2268" s="184"/>
    </row>
    <row r="2269">
      <c r="A2269" s="184"/>
      <c r="B2269" s="184"/>
      <c r="C2269" s="184"/>
      <c r="D2269" s="184"/>
      <c r="E2269" s="184"/>
      <c r="F2269" s="184"/>
      <c r="G2269" s="184"/>
      <c r="H2269" s="184"/>
      <c r="I2269" s="184"/>
      <c r="J2269" s="184"/>
      <c r="K2269" s="184"/>
      <c r="L2269" s="184"/>
      <c r="M2269" s="184"/>
      <c r="N2269" s="184"/>
      <c r="O2269" s="184"/>
      <c r="P2269" s="184"/>
      <c r="Q2269" s="184"/>
      <c r="R2269" s="184"/>
      <c r="S2269" s="184"/>
      <c r="T2269" s="184"/>
    </row>
    <row r="2270">
      <c r="A2270" s="184"/>
      <c r="B2270" s="184"/>
      <c r="C2270" s="184"/>
      <c r="D2270" s="184"/>
      <c r="E2270" s="184"/>
      <c r="F2270" s="184"/>
      <c r="G2270" s="184"/>
      <c r="H2270" s="184"/>
      <c r="I2270" s="184"/>
      <c r="J2270" s="184"/>
      <c r="K2270" s="184"/>
      <c r="L2270" s="184"/>
      <c r="M2270" s="184"/>
      <c r="N2270" s="184"/>
      <c r="O2270" s="184"/>
      <c r="P2270" s="184"/>
      <c r="Q2270" s="184"/>
      <c r="R2270" s="184"/>
      <c r="S2270" s="184"/>
      <c r="T2270" s="184"/>
    </row>
    <row r="2271">
      <c r="A2271" s="184"/>
      <c r="B2271" s="184"/>
      <c r="C2271" s="184"/>
      <c r="D2271" s="184"/>
      <c r="E2271" s="184"/>
      <c r="F2271" s="184"/>
      <c r="G2271" s="184"/>
      <c r="H2271" s="184"/>
      <c r="I2271" s="184"/>
      <c r="J2271" s="184"/>
      <c r="K2271" s="184"/>
      <c r="L2271" s="184"/>
      <c r="M2271" s="184"/>
      <c r="N2271" s="184"/>
      <c r="O2271" s="184"/>
      <c r="P2271" s="184"/>
      <c r="Q2271" s="184"/>
      <c r="R2271" s="184"/>
      <c r="S2271" s="184"/>
      <c r="T2271" s="184"/>
    </row>
    <row r="2272">
      <c r="A2272" s="184"/>
      <c r="B2272" s="184"/>
      <c r="C2272" s="184"/>
      <c r="D2272" s="184"/>
      <c r="E2272" s="184"/>
      <c r="F2272" s="184"/>
      <c r="G2272" s="184"/>
      <c r="H2272" s="184"/>
      <c r="I2272" s="184"/>
      <c r="J2272" s="184"/>
      <c r="K2272" s="184"/>
      <c r="L2272" s="184"/>
      <c r="M2272" s="184"/>
      <c r="N2272" s="184"/>
      <c r="O2272" s="184"/>
      <c r="P2272" s="184"/>
      <c r="Q2272" s="184"/>
      <c r="R2272" s="184"/>
      <c r="S2272" s="184"/>
      <c r="T2272" s="184"/>
    </row>
    <row r="2273">
      <c r="A2273" s="184"/>
      <c r="B2273" s="184"/>
      <c r="C2273" s="184"/>
      <c r="D2273" s="184"/>
      <c r="E2273" s="184"/>
      <c r="F2273" s="184"/>
      <c r="G2273" s="184"/>
      <c r="H2273" s="184"/>
      <c r="I2273" s="184"/>
      <c r="J2273" s="184"/>
      <c r="K2273" s="184"/>
      <c r="L2273" s="184"/>
      <c r="M2273" s="184"/>
      <c r="N2273" s="184"/>
      <c r="O2273" s="184"/>
      <c r="P2273" s="184"/>
      <c r="Q2273" s="184"/>
      <c r="R2273" s="184"/>
      <c r="S2273" s="184"/>
      <c r="T2273" s="184"/>
    </row>
    <row r="2274">
      <c r="A2274" s="184"/>
      <c r="B2274" s="184"/>
      <c r="C2274" s="184"/>
      <c r="D2274" s="184"/>
      <c r="E2274" s="184"/>
      <c r="F2274" s="184"/>
      <c r="G2274" s="184"/>
      <c r="H2274" s="184"/>
      <c r="I2274" s="184"/>
      <c r="J2274" s="184"/>
      <c r="K2274" s="184"/>
      <c r="L2274" s="184"/>
      <c r="M2274" s="184"/>
      <c r="N2274" s="184"/>
      <c r="O2274" s="184"/>
      <c r="P2274" s="184"/>
      <c r="Q2274" s="184"/>
      <c r="R2274" s="184"/>
      <c r="S2274" s="184"/>
      <c r="T2274" s="184"/>
    </row>
    <row r="2275">
      <c r="A2275" s="184"/>
      <c r="B2275" s="184"/>
      <c r="C2275" s="184"/>
      <c r="D2275" s="184"/>
      <c r="E2275" s="184"/>
      <c r="F2275" s="184"/>
      <c r="G2275" s="184"/>
      <c r="H2275" s="184"/>
      <c r="I2275" s="184"/>
      <c r="J2275" s="184"/>
      <c r="K2275" s="184"/>
      <c r="L2275" s="184"/>
      <c r="M2275" s="184"/>
      <c r="N2275" s="184"/>
      <c r="O2275" s="184"/>
      <c r="P2275" s="184"/>
      <c r="Q2275" s="184"/>
      <c r="R2275" s="184"/>
      <c r="S2275" s="184"/>
      <c r="T2275" s="184"/>
    </row>
    <row r="2276">
      <c r="A2276" s="184"/>
      <c r="B2276" s="184"/>
      <c r="C2276" s="184"/>
      <c r="D2276" s="184"/>
      <c r="E2276" s="184"/>
      <c r="F2276" s="184"/>
      <c r="G2276" s="184"/>
      <c r="H2276" s="184"/>
      <c r="I2276" s="184"/>
      <c r="J2276" s="184"/>
      <c r="K2276" s="184"/>
      <c r="L2276" s="184"/>
      <c r="M2276" s="184"/>
      <c r="N2276" s="184"/>
      <c r="O2276" s="184"/>
      <c r="P2276" s="184"/>
      <c r="Q2276" s="184"/>
      <c r="R2276" s="184"/>
      <c r="S2276" s="184"/>
      <c r="T2276" s="184"/>
    </row>
    <row r="2277">
      <c r="A2277" s="184"/>
      <c r="B2277" s="184"/>
      <c r="C2277" s="184"/>
      <c r="D2277" s="184"/>
      <c r="E2277" s="184"/>
      <c r="F2277" s="184"/>
      <c r="G2277" s="184"/>
      <c r="H2277" s="184"/>
      <c r="I2277" s="184"/>
      <c r="J2277" s="184"/>
      <c r="K2277" s="184"/>
      <c r="L2277" s="184"/>
      <c r="M2277" s="184"/>
      <c r="N2277" s="184"/>
      <c r="O2277" s="184"/>
      <c r="P2277" s="184"/>
      <c r="Q2277" s="184"/>
      <c r="R2277" s="184"/>
      <c r="S2277" s="184"/>
      <c r="T2277" s="184"/>
    </row>
    <row r="2278">
      <c r="A2278" s="184"/>
      <c r="B2278" s="184"/>
      <c r="C2278" s="184"/>
      <c r="D2278" s="184"/>
      <c r="E2278" s="184"/>
      <c r="F2278" s="184"/>
      <c r="G2278" s="184"/>
      <c r="H2278" s="184"/>
      <c r="I2278" s="184"/>
      <c r="J2278" s="184"/>
      <c r="K2278" s="184"/>
      <c r="L2278" s="184"/>
      <c r="M2278" s="184"/>
      <c r="N2278" s="184"/>
      <c r="O2278" s="184"/>
      <c r="P2278" s="184"/>
      <c r="Q2278" s="184"/>
      <c r="R2278" s="184"/>
      <c r="S2278" s="184"/>
      <c r="T2278" s="184"/>
    </row>
    <row r="2279">
      <c r="A2279" s="184"/>
      <c r="B2279" s="184"/>
      <c r="C2279" s="184"/>
      <c r="D2279" s="184"/>
      <c r="E2279" s="184"/>
      <c r="F2279" s="184"/>
      <c r="G2279" s="184"/>
      <c r="H2279" s="184"/>
      <c r="I2279" s="184"/>
      <c r="J2279" s="184"/>
      <c r="K2279" s="184"/>
      <c r="L2279" s="184"/>
      <c r="M2279" s="184"/>
      <c r="N2279" s="184"/>
      <c r="O2279" s="184"/>
      <c r="P2279" s="184"/>
      <c r="Q2279" s="184"/>
      <c r="R2279" s="184"/>
      <c r="S2279" s="184"/>
      <c r="T2279" s="184"/>
    </row>
    <row r="2280">
      <c r="A2280" s="184"/>
      <c r="B2280" s="184"/>
      <c r="C2280" s="184"/>
      <c r="D2280" s="184"/>
      <c r="E2280" s="184"/>
      <c r="F2280" s="184"/>
      <c r="G2280" s="184"/>
      <c r="H2280" s="184"/>
      <c r="I2280" s="184"/>
      <c r="J2280" s="184"/>
      <c r="K2280" s="184"/>
      <c r="L2280" s="184"/>
      <c r="M2280" s="184"/>
      <c r="N2280" s="184"/>
      <c r="O2280" s="184"/>
      <c r="P2280" s="184"/>
      <c r="Q2280" s="184"/>
      <c r="R2280" s="184"/>
      <c r="S2280" s="184"/>
      <c r="T2280" s="184"/>
    </row>
    <row r="2281">
      <c r="A2281" s="184"/>
      <c r="B2281" s="184"/>
      <c r="C2281" s="184"/>
      <c r="D2281" s="184"/>
      <c r="E2281" s="184"/>
      <c r="F2281" s="184"/>
      <c r="G2281" s="184"/>
      <c r="H2281" s="184"/>
      <c r="I2281" s="184"/>
      <c r="J2281" s="184"/>
      <c r="K2281" s="184"/>
      <c r="L2281" s="184"/>
      <c r="M2281" s="184"/>
      <c r="N2281" s="184"/>
      <c r="O2281" s="184"/>
      <c r="P2281" s="184"/>
      <c r="Q2281" s="184"/>
      <c r="R2281" s="184"/>
      <c r="S2281" s="184"/>
      <c r="T2281" s="184"/>
    </row>
    <row r="2282">
      <c r="A2282" s="184"/>
      <c r="B2282" s="184"/>
      <c r="C2282" s="184"/>
      <c r="D2282" s="184"/>
      <c r="E2282" s="184"/>
      <c r="F2282" s="184"/>
      <c r="G2282" s="184"/>
      <c r="H2282" s="184"/>
      <c r="I2282" s="184"/>
      <c r="J2282" s="184"/>
      <c r="K2282" s="184"/>
      <c r="L2282" s="184"/>
      <c r="M2282" s="184"/>
      <c r="N2282" s="184"/>
      <c r="O2282" s="184"/>
      <c r="P2282" s="184"/>
      <c r="Q2282" s="184"/>
      <c r="R2282" s="184"/>
      <c r="S2282" s="184"/>
      <c r="T2282" s="184"/>
    </row>
    <row r="2283">
      <c r="A2283" s="184"/>
      <c r="B2283" s="184"/>
      <c r="C2283" s="184"/>
      <c r="D2283" s="184"/>
      <c r="E2283" s="184"/>
      <c r="F2283" s="184"/>
      <c r="G2283" s="184"/>
      <c r="H2283" s="184"/>
      <c r="I2283" s="184"/>
      <c r="J2283" s="184"/>
      <c r="K2283" s="184"/>
      <c r="L2283" s="184"/>
      <c r="M2283" s="184"/>
      <c r="N2283" s="184"/>
      <c r="O2283" s="184"/>
      <c r="P2283" s="184"/>
      <c r="Q2283" s="184"/>
      <c r="R2283" s="184"/>
      <c r="S2283" s="184"/>
      <c r="T2283" s="184"/>
    </row>
    <row r="2284">
      <c r="A2284" s="184"/>
      <c r="B2284" s="184"/>
      <c r="C2284" s="184"/>
      <c r="D2284" s="184"/>
      <c r="E2284" s="184"/>
      <c r="F2284" s="184"/>
      <c r="G2284" s="184"/>
      <c r="H2284" s="184"/>
      <c r="I2284" s="184"/>
      <c r="J2284" s="184"/>
      <c r="K2284" s="184"/>
      <c r="L2284" s="184"/>
      <c r="M2284" s="184"/>
      <c r="N2284" s="184"/>
      <c r="O2284" s="184"/>
      <c r="P2284" s="184"/>
      <c r="Q2284" s="184"/>
      <c r="R2284" s="184"/>
      <c r="S2284" s="184"/>
      <c r="T2284" s="184"/>
    </row>
    <row r="2285">
      <c r="A2285" s="184"/>
      <c r="B2285" s="184"/>
      <c r="C2285" s="184"/>
      <c r="D2285" s="184"/>
      <c r="E2285" s="184"/>
      <c r="F2285" s="184"/>
      <c r="G2285" s="184"/>
      <c r="H2285" s="184"/>
      <c r="I2285" s="184"/>
      <c r="J2285" s="184"/>
      <c r="K2285" s="184"/>
      <c r="L2285" s="184"/>
      <c r="M2285" s="184"/>
      <c r="N2285" s="184"/>
      <c r="O2285" s="184"/>
      <c r="P2285" s="184"/>
      <c r="Q2285" s="184"/>
      <c r="R2285" s="184"/>
      <c r="S2285" s="184"/>
      <c r="T2285" s="184"/>
    </row>
    <row r="2286">
      <c r="A2286" s="184"/>
      <c r="B2286" s="184"/>
      <c r="C2286" s="184"/>
      <c r="D2286" s="184"/>
      <c r="E2286" s="184"/>
      <c r="F2286" s="184"/>
      <c r="G2286" s="184"/>
      <c r="H2286" s="184"/>
      <c r="I2286" s="184"/>
      <c r="J2286" s="184"/>
      <c r="K2286" s="184"/>
      <c r="L2286" s="184"/>
      <c r="M2286" s="184"/>
      <c r="N2286" s="184"/>
      <c r="O2286" s="184"/>
      <c r="P2286" s="184"/>
      <c r="Q2286" s="184"/>
      <c r="R2286" s="184"/>
      <c r="S2286" s="184"/>
      <c r="T2286" s="184"/>
    </row>
    <row r="2287">
      <c r="A2287" s="184"/>
      <c r="B2287" s="184"/>
      <c r="C2287" s="184"/>
      <c r="D2287" s="184"/>
      <c r="E2287" s="184"/>
      <c r="F2287" s="184"/>
      <c r="G2287" s="184"/>
      <c r="H2287" s="184"/>
      <c r="I2287" s="184"/>
      <c r="J2287" s="184"/>
      <c r="K2287" s="184"/>
      <c r="L2287" s="184"/>
      <c r="M2287" s="184"/>
      <c r="N2287" s="184"/>
      <c r="O2287" s="184"/>
      <c r="P2287" s="184"/>
      <c r="Q2287" s="184"/>
      <c r="R2287" s="184"/>
      <c r="S2287" s="184"/>
      <c r="T2287" s="184"/>
    </row>
    <row r="2288">
      <c r="A2288" s="184"/>
      <c r="B2288" s="184"/>
      <c r="C2288" s="184"/>
      <c r="D2288" s="184"/>
      <c r="E2288" s="184"/>
      <c r="F2288" s="184"/>
      <c r="G2288" s="184"/>
      <c r="H2288" s="184"/>
      <c r="I2288" s="184"/>
      <c r="J2288" s="184"/>
      <c r="K2288" s="184"/>
      <c r="L2288" s="184"/>
      <c r="M2288" s="184"/>
      <c r="N2288" s="184"/>
      <c r="O2288" s="184"/>
      <c r="P2288" s="184"/>
      <c r="Q2288" s="184"/>
      <c r="R2288" s="184"/>
      <c r="S2288" s="184"/>
      <c r="T2288" s="184"/>
    </row>
    <row r="2289">
      <c r="A2289" s="184"/>
      <c r="B2289" s="184"/>
      <c r="C2289" s="184"/>
      <c r="D2289" s="184"/>
      <c r="E2289" s="184"/>
      <c r="F2289" s="184"/>
      <c r="G2289" s="184"/>
      <c r="H2289" s="184"/>
      <c r="I2289" s="184"/>
      <c r="J2289" s="184"/>
      <c r="K2289" s="184"/>
      <c r="L2289" s="184"/>
      <c r="M2289" s="184"/>
      <c r="N2289" s="184"/>
      <c r="O2289" s="184"/>
      <c r="P2289" s="184"/>
      <c r="Q2289" s="184"/>
      <c r="R2289" s="184"/>
      <c r="S2289" s="184"/>
      <c r="T2289" s="184"/>
    </row>
    <row r="2290">
      <c r="A2290" s="184"/>
      <c r="B2290" s="184"/>
      <c r="C2290" s="184"/>
      <c r="D2290" s="184"/>
      <c r="E2290" s="184"/>
      <c r="F2290" s="184"/>
      <c r="G2290" s="184"/>
      <c r="H2290" s="184"/>
      <c r="I2290" s="184"/>
      <c r="J2290" s="184"/>
      <c r="K2290" s="184"/>
      <c r="L2290" s="184"/>
      <c r="M2290" s="184"/>
      <c r="N2290" s="184"/>
      <c r="O2290" s="184"/>
      <c r="P2290" s="184"/>
      <c r="Q2290" s="184"/>
      <c r="R2290" s="184"/>
      <c r="S2290" s="184"/>
      <c r="T2290" s="184"/>
    </row>
    <row r="2291">
      <c r="A2291" s="184"/>
      <c r="B2291" s="184"/>
      <c r="C2291" s="184"/>
      <c r="D2291" s="184"/>
      <c r="E2291" s="184"/>
      <c r="F2291" s="184"/>
      <c r="G2291" s="184"/>
      <c r="H2291" s="184"/>
      <c r="I2291" s="184"/>
      <c r="J2291" s="184"/>
      <c r="K2291" s="184"/>
      <c r="L2291" s="184"/>
      <c r="M2291" s="184"/>
      <c r="N2291" s="184"/>
      <c r="O2291" s="184"/>
      <c r="P2291" s="184"/>
      <c r="Q2291" s="184"/>
      <c r="R2291" s="184"/>
      <c r="S2291" s="184"/>
      <c r="T2291" s="184"/>
    </row>
    <row r="2292">
      <c r="A2292" s="184"/>
      <c r="B2292" s="184"/>
      <c r="C2292" s="184"/>
      <c r="D2292" s="184"/>
      <c r="E2292" s="184"/>
      <c r="F2292" s="184"/>
      <c r="G2292" s="184"/>
      <c r="H2292" s="184"/>
      <c r="I2292" s="184"/>
      <c r="J2292" s="184"/>
      <c r="K2292" s="184"/>
      <c r="L2292" s="184"/>
      <c r="M2292" s="184"/>
      <c r="N2292" s="184"/>
      <c r="O2292" s="184"/>
      <c r="P2292" s="184"/>
      <c r="Q2292" s="184"/>
      <c r="R2292" s="184"/>
      <c r="S2292" s="184"/>
      <c r="T2292" s="184"/>
    </row>
    <row r="2293">
      <c r="A2293" s="184"/>
      <c r="B2293" s="184"/>
      <c r="C2293" s="184"/>
      <c r="D2293" s="184"/>
      <c r="E2293" s="184"/>
      <c r="F2293" s="184"/>
      <c r="G2293" s="184"/>
      <c r="H2293" s="184"/>
      <c r="I2293" s="184"/>
      <c r="J2293" s="184"/>
      <c r="K2293" s="184"/>
      <c r="L2293" s="184"/>
      <c r="M2293" s="184"/>
      <c r="N2293" s="184"/>
      <c r="O2293" s="184"/>
      <c r="P2293" s="184"/>
      <c r="Q2293" s="184"/>
      <c r="R2293" s="184"/>
      <c r="S2293" s="184"/>
      <c r="T2293" s="184"/>
    </row>
    <row r="2294">
      <c r="A2294" s="184"/>
      <c r="B2294" s="184"/>
      <c r="C2294" s="184"/>
      <c r="D2294" s="184"/>
      <c r="E2294" s="184"/>
      <c r="F2294" s="184"/>
      <c r="G2294" s="184"/>
      <c r="H2294" s="184"/>
      <c r="I2294" s="184"/>
      <c r="J2294" s="184"/>
      <c r="K2294" s="184"/>
      <c r="L2294" s="184"/>
      <c r="M2294" s="184"/>
      <c r="N2294" s="184"/>
      <c r="O2294" s="184"/>
      <c r="P2294" s="184"/>
      <c r="Q2294" s="184"/>
      <c r="R2294" s="184"/>
      <c r="S2294" s="184"/>
      <c r="T2294" s="184"/>
    </row>
    <row r="2295">
      <c r="A2295" s="184"/>
      <c r="B2295" s="184"/>
      <c r="C2295" s="184"/>
      <c r="D2295" s="184"/>
      <c r="E2295" s="184"/>
      <c r="F2295" s="184"/>
      <c r="G2295" s="184"/>
      <c r="H2295" s="184"/>
      <c r="I2295" s="184"/>
      <c r="J2295" s="184"/>
      <c r="K2295" s="184"/>
      <c r="L2295" s="184"/>
      <c r="M2295" s="184"/>
      <c r="N2295" s="184"/>
      <c r="O2295" s="184"/>
      <c r="P2295" s="184"/>
      <c r="Q2295" s="184"/>
      <c r="R2295" s="184"/>
      <c r="S2295" s="184"/>
      <c r="T2295" s="184"/>
    </row>
    <row r="2296">
      <c r="A2296" s="184"/>
      <c r="B2296" s="184"/>
      <c r="C2296" s="184"/>
      <c r="D2296" s="184"/>
      <c r="E2296" s="184"/>
      <c r="F2296" s="184"/>
      <c r="G2296" s="184"/>
      <c r="H2296" s="184"/>
      <c r="I2296" s="184"/>
      <c r="J2296" s="184"/>
      <c r="K2296" s="184"/>
      <c r="L2296" s="184"/>
      <c r="M2296" s="184"/>
      <c r="N2296" s="184"/>
      <c r="O2296" s="184"/>
      <c r="P2296" s="184"/>
      <c r="Q2296" s="184"/>
      <c r="R2296" s="184"/>
      <c r="S2296" s="184"/>
      <c r="T2296" s="184"/>
    </row>
    <row r="2297">
      <c r="A2297" s="184"/>
      <c r="B2297" s="184"/>
      <c r="C2297" s="184"/>
      <c r="D2297" s="184"/>
      <c r="E2297" s="184"/>
      <c r="F2297" s="184"/>
      <c r="G2297" s="184"/>
      <c r="H2297" s="184"/>
      <c r="I2297" s="184"/>
      <c r="J2297" s="184"/>
      <c r="K2297" s="184"/>
      <c r="L2297" s="184"/>
      <c r="M2297" s="184"/>
      <c r="N2297" s="184"/>
      <c r="O2297" s="184"/>
      <c r="P2297" s="184"/>
      <c r="Q2297" s="184"/>
      <c r="R2297" s="184"/>
      <c r="S2297" s="184"/>
      <c r="T2297" s="184"/>
    </row>
    <row r="2298">
      <c r="A2298" s="184"/>
      <c r="B2298" s="184"/>
      <c r="C2298" s="184"/>
      <c r="D2298" s="184"/>
      <c r="E2298" s="184"/>
      <c r="F2298" s="184"/>
      <c r="G2298" s="184"/>
      <c r="H2298" s="184"/>
      <c r="I2298" s="184"/>
      <c r="J2298" s="184"/>
      <c r="K2298" s="184"/>
      <c r="L2298" s="184"/>
      <c r="M2298" s="184"/>
      <c r="N2298" s="184"/>
      <c r="O2298" s="184"/>
      <c r="P2298" s="184"/>
      <c r="Q2298" s="184"/>
      <c r="R2298" s="184"/>
      <c r="S2298" s="184"/>
      <c r="T2298" s="184"/>
    </row>
    <row r="2299">
      <c r="A2299" s="184"/>
      <c r="B2299" s="184"/>
      <c r="C2299" s="184"/>
      <c r="D2299" s="184"/>
      <c r="E2299" s="184"/>
      <c r="F2299" s="184"/>
      <c r="G2299" s="184"/>
      <c r="H2299" s="184"/>
      <c r="I2299" s="184"/>
      <c r="J2299" s="184"/>
      <c r="K2299" s="184"/>
      <c r="L2299" s="184"/>
      <c r="M2299" s="184"/>
      <c r="N2299" s="184"/>
      <c r="O2299" s="184"/>
      <c r="P2299" s="184"/>
      <c r="Q2299" s="184"/>
      <c r="R2299" s="184"/>
      <c r="S2299" s="184"/>
      <c r="T2299" s="184"/>
    </row>
    <row r="2300">
      <c r="A2300" s="184"/>
      <c r="B2300" s="184"/>
      <c r="C2300" s="184"/>
      <c r="D2300" s="184"/>
      <c r="E2300" s="184"/>
      <c r="F2300" s="184"/>
      <c r="G2300" s="184"/>
      <c r="H2300" s="184"/>
      <c r="I2300" s="184"/>
      <c r="J2300" s="184"/>
      <c r="K2300" s="184"/>
      <c r="L2300" s="184"/>
      <c r="M2300" s="184"/>
      <c r="N2300" s="184"/>
      <c r="O2300" s="184"/>
      <c r="P2300" s="184"/>
      <c r="Q2300" s="184"/>
      <c r="R2300" s="184"/>
      <c r="S2300" s="184"/>
      <c r="T2300" s="184"/>
    </row>
    <row r="2301">
      <c r="A2301" s="184"/>
      <c r="B2301" s="184"/>
      <c r="C2301" s="184"/>
      <c r="D2301" s="184"/>
      <c r="E2301" s="184"/>
      <c r="F2301" s="184"/>
      <c r="G2301" s="184"/>
      <c r="H2301" s="184"/>
      <c r="I2301" s="184"/>
      <c r="J2301" s="184"/>
      <c r="K2301" s="184"/>
      <c r="L2301" s="184"/>
      <c r="M2301" s="184"/>
      <c r="N2301" s="184"/>
      <c r="O2301" s="184"/>
      <c r="P2301" s="184"/>
      <c r="Q2301" s="184"/>
      <c r="R2301" s="184"/>
      <c r="S2301" s="184"/>
      <c r="T2301" s="184"/>
    </row>
    <row r="2302">
      <c r="A2302" s="184"/>
      <c r="B2302" s="184"/>
      <c r="C2302" s="184"/>
      <c r="D2302" s="184"/>
      <c r="E2302" s="184"/>
      <c r="F2302" s="184"/>
      <c r="G2302" s="184"/>
      <c r="H2302" s="184"/>
      <c r="I2302" s="184"/>
      <c r="J2302" s="184"/>
      <c r="K2302" s="184"/>
      <c r="L2302" s="184"/>
      <c r="M2302" s="184"/>
      <c r="N2302" s="184"/>
      <c r="O2302" s="184"/>
      <c r="P2302" s="184"/>
      <c r="Q2302" s="184"/>
      <c r="R2302" s="184"/>
      <c r="S2302" s="184"/>
      <c r="T2302" s="184"/>
    </row>
  </sheetData>
  <drawing r:id="rId1"/>
</worksheet>
</file>

<file path=xl/worksheets/sheet4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3" max="3" width="5.29"/>
    <col customWidth="1" min="6" max="6" width="3.71"/>
    <col customWidth="1" min="9" max="9" width="3.57"/>
    <col customWidth="1" min="10" max="11" width="13.57"/>
  </cols>
  <sheetData>
    <row r="1">
      <c r="A1" s="117" t="s">
        <v>105</v>
      </c>
      <c r="D1" s="188" t="s">
        <v>567</v>
      </c>
      <c r="G1" s="189" t="s">
        <v>568</v>
      </c>
      <c r="I1" s="35"/>
      <c r="J1" s="189" t="s">
        <v>569</v>
      </c>
    </row>
    <row r="2">
      <c r="A2" s="4">
        <v>1.0</v>
      </c>
      <c r="B2" s="4" t="s">
        <v>31</v>
      </c>
      <c r="D2" s="4">
        <v>1.0</v>
      </c>
      <c r="E2" s="4" t="s">
        <v>29</v>
      </c>
      <c r="G2" s="4">
        <v>1.0</v>
      </c>
      <c r="H2" s="4" t="s">
        <v>42</v>
      </c>
      <c r="I2" s="4"/>
      <c r="J2" s="4">
        <v>1.0</v>
      </c>
      <c r="K2" s="4" t="s">
        <v>33</v>
      </c>
    </row>
    <row r="3">
      <c r="A3" s="4">
        <v>2.0</v>
      </c>
      <c r="B3" s="4" t="s">
        <v>31</v>
      </c>
      <c r="D3" s="4">
        <v>2.0</v>
      </c>
      <c r="E3" s="4" t="s">
        <v>29</v>
      </c>
      <c r="G3" s="4">
        <v>2.0</v>
      </c>
      <c r="H3" s="4" t="s">
        <v>42</v>
      </c>
      <c r="I3" s="4"/>
      <c r="J3" s="4">
        <v>2.0</v>
      </c>
      <c r="K3" s="4" t="s">
        <v>33</v>
      </c>
    </row>
    <row r="4">
      <c r="A4" s="4">
        <v>3.0</v>
      </c>
      <c r="B4" s="4" t="s">
        <v>31</v>
      </c>
      <c r="D4" s="4">
        <v>3.0</v>
      </c>
      <c r="E4" s="4" t="s">
        <v>29</v>
      </c>
      <c r="G4" s="4">
        <v>3.0</v>
      </c>
      <c r="H4" s="4" t="s">
        <v>42</v>
      </c>
      <c r="I4" s="4"/>
      <c r="J4" s="4">
        <v>3.0</v>
      </c>
      <c r="K4" s="4" t="s">
        <v>33</v>
      </c>
    </row>
    <row r="5">
      <c r="A5" s="4">
        <v>4.0</v>
      </c>
      <c r="B5" s="4" t="s">
        <v>31</v>
      </c>
      <c r="C5" s="4"/>
      <c r="D5" s="4">
        <v>4.0</v>
      </c>
      <c r="E5" s="4" t="s">
        <v>29</v>
      </c>
      <c r="G5" s="4">
        <v>4.0</v>
      </c>
      <c r="H5" s="4" t="s">
        <v>42</v>
      </c>
      <c r="I5" s="4"/>
      <c r="J5" s="4">
        <v>4.0</v>
      </c>
      <c r="K5" s="4" t="s">
        <v>33</v>
      </c>
    </row>
    <row r="6">
      <c r="A6" s="4">
        <v>5.0</v>
      </c>
      <c r="B6" s="4" t="s">
        <v>31</v>
      </c>
      <c r="C6" s="4"/>
      <c r="D6" s="4">
        <v>5.0</v>
      </c>
      <c r="E6" s="4" t="s">
        <v>29</v>
      </c>
      <c r="G6" s="4">
        <v>5.0</v>
      </c>
      <c r="H6" s="4" t="s">
        <v>42</v>
      </c>
      <c r="I6" s="4"/>
      <c r="J6" s="4">
        <v>5.0</v>
      </c>
      <c r="K6" s="4" t="s">
        <v>33</v>
      </c>
    </row>
    <row r="7">
      <c r="A7" s="4">
        <v>6.0</v>
      </c>
      <c r="B7" s="4" t="s">
        <v>31</v>
      </c>
      <c r="C7" s="4"/>
      <c r="D7" s="4">
        <v>6.0</v>
      </c>
      <c r="E7" s="4" t="s">
        <v>29</v>
      </c>
      <c r="G7" s="4">
        <v>6.0</v>
      </c>
      <c r="H7" s="4" t="s">
        <v>42</v>
      </c>
      <c r="I7" s="4"/>
      <c r="J7" s="4">
        <v>6.0</v>
      </c>
      <c r="K7" s="4" t="s">
        <v>33</v>
      </c>
    </row>
    <row r="8">
      <c r="A8" s="4">
        <v>7.0</v>
      </c>
      <c r="B8" s="4" t="s">
        <v>31</v>
      </c>
      <c r="C8" s="4"/>
      <c r="D8" s="4">
        <v>7.0</v>
      </c>
      <c r="E8" s="4" t="s">
        <v>29</v>
      </c>
      <c r="G8" s="4">
        <v>7.0</v>
      </c>
      <c r="H8" s="4" t="s">
        <v>42</v>
      </c>
      <c r="I8" s="4"/>
      <c r="J8" s="4">
        <v>7.0</v>
      </c>
      <c r="K8" s="4" t="s">
        <v>33</v>
      </c>
    </row>
    <row r="9">
      <c r="A9" s="4">
        <v>8.0</v>
      </c>
      <c r="B9" s="4" t="s">
        <v>31</v>
      </c>
      <c r="C9" s="4"/>
      <c r="D9" s="4">
        <v>8.0</v>
      </c>
      <c r="E9" s="4" t="s">
        <v>29</v>
      </c>
      <c r="G9" s="4">
        <v>8.0</v>
      </c>
      <c r="H9" s="4" t="s">
        <v>42</v>
      </c>
      <c r="I9" s="4"/>
      <c r="J9" s="4">
        <v>8.0</v>
      </c>
      <c r="K9" s="4" t="s">
        <v>33</v>
      </c>
    </row>
    <row r="10">
      <c r="A10" s="4">
        <v>9.0</v>
      </c>
      <c r="B10" s="4" t="s">
        <v>31</v>
      </c>
      <c r="C10" s="4"/>
      <c r="D10" s="4">
        <v>9.0</v>
      </c>
      <c r="E10" s="4" t="s">
        <v>29</v>
      </c>
      <c r="G10" s="4">
        <v>9.0</v>
      </c>
      <c r="H10" s="4" t="s">
        <v>42</v>
      </c>
      <c r="I10" s="4"/>
      <c r="J10" s="4">
        <v>9.0</v>
      </c>
      <c r="K10" s="4" t="s">
        <v>33</v>
      </c>
    </row>
    <row r="11">
      <c r="A11" s="4">
        <v>10.0</v>
      </c>
      <c r="B11" s="4" t="s">
        <v>31</v>
      </c>
      <c r="C11" s="4"/>
      <c r="D11" s="4">
        <v>10.0</v>
      </c>
      <c r="E11" s="4" t="s">
        <v>29</v>
      </c>
      <c r="G11" s="4">
        <v>10.0</v>
      </c>
      <c r="H11" s="4" t="s">
        <v>42</v>
      </c>
      <c r="I11" s="4"/>
      <c r="J11" s="4">
        <v>10.0</v>
      </c>
      <c r="K11" s="4" t="s">
        <v>33</v>
      </c>
    </row>
    <row r="12">
      <c r="A12" s="4">
        <v>11.0</v>
      </c>
      <c r="B12" s="4" t="s">
        <v>31</v>
      </c>
      <c r="C12" s="4"/>
      <c r="D12" s="4">
        <v>11.0</v>
      </c>
      <c r="E12" s="4" t="s">
        <v>29</v>
      </c>
      <c r="G12" s="4">
        <v>11.0</v>
      </c>
      <c r="H12" s="4" t="s">
        <v>42</v>
      </c>
      <c r="I12" s="4"/>
      <c r="J12" s="4">
        <v>11.0</v>
      </c>
      <c r="K12" s="4" t="s">
        <v>33</v>
      </c>
    </row>
    <row r="13">
      <c r="A13" s="4">
        <v>12.0</v>
      </c>
      <c r="B13" s="4" t="s">
        <v>31</v>
      </c>
      <c r="C13" s="4"/>
      <c r="D13" s="4">
        <v>12.0</v>
      </c>
      <c r="E13" s="4" t="s">
        <v>29</v>
      </c>
      <c r="G13" s="4">
        <v>12.0</v>
      </c>
      <c r="H13" s="4" t="s">
        <v>42</v>
      </c>
      <c r="I13" s="4"/>
      <c r="J13" s="4">
        <v>12.0</v>
      </c>
      <c r="K13" s="4" t="s">
        <v>33</v>
      </c>
    </row>
    <row r="14">
      <c r="A14" s="4">
        <v>13.0</v>
      </c>
      <c r="B14" s="4" t="s">
        <v>31</v>
      </c>
      <c r="C14" s="4"/>
      <c r="D14" s="4">
        <v>13.0</v>
      </c>
      <c r="E14" s="4" t="s">
        <v>29</v>
      </c>
      <c r="G14" s="4">
        <v>13.0</v>
      </c>
      <c r="H14" s="4" t="s">
        <v>42</v>
      </c>
      <c r="I14" s="4"/>
      <c r="J14" s="4">
        <v>13.0</v>
      </c>
      <c r="K14" s="4" t="s">
        <v>33</v>
      </c>
    </row>
    <row r="15">
      <c r="A15" s="4">
        <v>14.0</v>
      </c>
      <c r="B15" s="4" t="s">
        <v>31</v>
      </c>
      <c r="C15" s="4"/>
      <c r="D15" s="4">
        <v>14.0</v>
      </c>
      <c r="E15" s="4" t="s">
        <v>29</v>
      </c>
      <c r="G15" s="4">
        <v>14.0</v>
      </c>
      <c r="H15" s="4" t="s">
        <v>42</v>
      </c>
      <c r="I15" s="4"/>
      <c r="J15" s="4">
        <v>14.0</v>
      </c>
      <c r="K15" s="4" t="s">
        <v>33</v>
      </c>
    </row>
    <row r="16">
      <c r="A16" s="4">
        <v>15.0</v>
      </c>
      <c r="B16" s="4" t="s">
        <v>31</v>
      </c>
      <c r="D16" s="4">
        <v>15.0</v>
      </c>
      <c r="E16" s="4" t="s">
        <v>29</v>
      </c>
      <c r="G16" s="4">
        <v>15.0</v>
      </c>
      <c r="H16" s="4" t="s">
        <v>42</v>
      </c>
      <c r="I16" s="4"/>
      <c r="J16" s="4">
        <v>15.0</v>
      </c>
      <c r="K16" s="4" t="s">
        <v>33</v>
      </c>
    </row>
    <row r="17">
      <c r="A17" s="4">
        <v>16.0</v>
      </c>
      <c r="B17" s="4" t="s">
        <v>31</v>
      </c>
      <c r="D17" s="4">
        <v>16.0</v>
      </c>
      <c r="E17" s="4" t="s">
        <v>29</v>
      </c>
      <c r="G17" s="4">
        <v>16.0</v>
      </c>
      <c r="H17" s="4" t="s">
        <v>42</v>
      </c>
      <c r="I17" s="4"/>
      <c r="J17" s="4">
        <v>16.0</v>
      </c>
      <c r="K17" s="4" t="s">
        <v>33</v>
      </c>
    </row>
    <row r="18">
      <c r="A18" s="4">
        <v>17.0</v>
      </c>
      <c r="B18" s="4" t="s">
        <v>31</v>
      </c>
      <c r="D18" s="4">
        <v>17.0</v>
      </c>
      <c r="E18" s="4" t="s">
        <v>29</v>
      </c>
      <c r="G18" s="4">
        <v>17.0</v>
      </c>
      <c r="H18" s="4" t="s">
        <v>42</v>
      </c>
      <c r="I18" s="4"/>
      <c r="J18" s="4">
        <v>17.0</v>
      </c>
      <c r="K18" s="4" t="s">
        <v>33</v>
      </c>
    </row>
    <row r="19">
      <c r="A19" s="4">
        <v>18.0</v>
      </c>
      <c r="B19" s="4" t="s">
        <v>31</v>
      </c>
      <c r="D19" s="4">
        <v>18.0</v>
      </c>
      <c r="E19" s="4" t="s">
        <v>29</v>
      </c>
      <c r="G19" s="4">
        <v>18.0</v>
      </c>
      <c r="H19" s="4" t="s">
        <v>42</v>
      </c>
      <c r="I19" s="4"/>
      <c r="J19" s="4">
        <v>18.0</v>
      </c>
      <c r="K19" s="4" t="s">
        <v>33</v>
      </c>
    </row>
    <row r="20">
      <c r="A20" s="4">
        <v>19.0</v>
      </c>
      <c r="B20" s="4" t="s">
        <v>31</v>
      </c>
      <c r="D20" s="4">
        <v>19.0</v>
      </c>
      <c r="E20" s="4" t="s">
        <v>29</v>
      </c>
      <c r="G20" s="4">
        <v>19.0</v>
      </c>
      <c r="H20" s="4" t="s">
        <v>42</v>
      </c>
      <c r="I20" s="4"/>
      <c r="J20" s="4">
        <v>19.0</v>
      </c>
      <c r="K20" s="4" t="s">
        <v>33</v>
      </c>
    </row>
    <row r="21">
      <c r="A21" s="4">
        <v>20.0</v>
      </c>
      <c r="B21" s="4" t="s">
        <v>31</v>
      </c>
      <c r="D21" s="4">
        <v>20.0</v>
      </c>
      <c r="E21" s="4" t="s">
        <v>29</v>
      </c>
      <c r="G21" s="4">
        <v>20.0</v>
      </c>
      <c r="H21" s="4" t="s">
        <v>42</v>
      </c>
      <c r="I21" s="4"/>
      <c r="J21" s="4">
        <v>20.0</v>
      </c>
      <c r="K21" s="4" t="s">
        <v>33</v>
      </c>
    </row>
    <row r="22">
      <c r="A22" s="4">
        <v>21.0</v>
      </c>
      <c r="B22" s="4" t="s">
        <v>31</v>
      </c>
      <c r="D22" s="4">
        <v>21.0</v>
      </c>
      <c r="E22" s="4" t="s">
        <v>29</v>
      </c>
      <c r="G22" s="4">
        <v>21.0</v>
      </c>
      <c r="H22" s="4" t="s">
        <v>42</v>
      </c>
      <c r="I22" s="4"/>
      <c r="J22" s="4">
        <v>21.0</v>
      </c>
      <c r="K22" s="4" t="s">
        <v>33</v>
      </c>
    </row>
    <row r="23">
      <c r="A23" s="4">
        <v>22.0</v>
      </c>
      <c r="B23" s="4" t="s">
        <v>31</v>
      </c>
      <c r="D23" s="4">
        <v>22.0</v>
      </c>
      <c r="E23" s="4" t="s">
        <v>29</v>
      </c>
      <c r="G23" s="4">
        <v>22.0</v>
      </c>
      <c r="H23" s="4" t="s">
        <v>42</v>
      </c>
      <c r="I23" s="4"/>
      <c r="J23" s="4">
        <v>22.0</v>
      </c>
      <c r="K23" s="4" t="s">
        <v>33</v>
      </c>
    </row>
    <row r="24">
      <c r="A24" s="4">
        <v>23.0</v>
      </c>
      <c r="B24" s="4" t="s">
        <v>31</v>
      </c>
      <c r="D24" s="4">
        <v>23.0</v>
      </c>
      <c r="E24" s="4" t="s">
        <v>29</v>
      </c>
      <c r="G24" s="4">
        <v>23.0</v>
      </c>
      <c r="H24" s="4" t="s">
        <v>42</v>
      </c>
      <c r="I24" s="4"/>
      <c r="J24" s="4">
        <v>23.0</v>
      </c>
      <c r="K24" s="4" t="s">
        <v>33</v>
      </c>
    </row>
    <row r="25">
      <c r="A25" s="4">
        <v>24.0</v>
      </c>
      <c r="B25" s="4" t="s">
        <v>31</v>
      </c>
      <c r="D25" s="4">
        <v>24.0</v>
      </c>
      <c r="E25" s="4" t="s">
        <v>29</v>
      </c>
      <c r="G25" s="4">
        <v>24.0</v>
      </c>
      <c r="H25" s="4" t="s">
        <v>42</v>
      </c>
      <c r="I25" s="4"/>
      <c r="J25" s="4">
        <v>24.0</v>
      </c>
      <c r="K25" s="4" t="s">
        <v>33</v>
      </c>
    </row>
    <row r="26">
      <c r="A26" s="4">
        <v>25.0</v>
      </c>
      <c r="B26" s="4" t="s">
        <v>31</v>
      </c>
      <c r="D26" s="4">
        <v>25.0</v>
      </c>
      <c r="E26" s="4" t="s">
        <v>29</v>
      </c>
      <c r="G26" s="4">
        <v>25.0</v>
      </c>
      <c r="H26" s="4" t="s">
        <v>42</v>
      </c>
      <c r="I26" s="4"/>
      <c r="J26" s="4">
        <v>25.0</v>
      </c>
      <c r="K26" s="4" t="s">
        <v>33</v>
      </c>
    </row>
    <row r="27">
      <c r="A27" s="4">
        <v>26.0</v>
      </c>
      <c r="B27" s="4" t="s">
        <v>31</v>
      </c>
      <c r="D27" s="4">
        <v>26.0</v>
      </c>
      <c r="E27" s="4" t="s">
        <v>29</v>
      </c>
      <c r="G27" s="4">
        <v>26.0</v>
      </c>
      <c r="H27" s="4" t="s">
        <v>42</v>
      </c>
      <c r="I27" s="4"/>
      <c r="J27" s="4">
        <v>26.0</v>
      </c>
      <c r="K27" s="4" t="s">
        <v>33</v>
      </c>
    </row>
    <row r="28">
      <c r="A28" s="4">
        <v>27.0</v>
      </c>
      <c r="B28" s="4" t="s">
        <v>31</v>
      </c>
      <c r="D28" s="4">
        <v>27.0</v>
      </c>
      <c r="E28" s="4" t="s">
        <v>29</v>
      </c>
      <c r="G28" s="4">
        <v>27.0</v>
      </c>
      <c r="H28" s="4" t="s">
        <v>42</v>
      </c>
      <c r="I28" s="4"/>
      <c r="J28" s="4">
        <v>27.0</v>
      </c>
      <c r="K28" s="4" t="s">
        <v>33</v>
      </c>
    </row>
    <row r="29">
      <c r="A29" s="4">
        <v>28.0</v>
      </c>
      <c r="B29" s="4" t="s">
        <v>31</v>
      </c>
      <c r="D29" s="4">
        <v>28.0</v>
      </c>
      <c r="E29" s="4" t="s">
        <v>29</v>
      </c>
      <c r="G29" s="4">
        <v>28.0</v>
      </c>
      <c r="H29" s="4" t="s">
        <v>42</v>
      </c>
      <c r="I29" s="4"/>
      <c r="J29" s="4">
        <v>28.0</v>
      </c>
      <c r="K29" s="4" t="s">
        <v>33</v>
      </c>
    </row>
    <row r="30">
      <c r="A30" s="4">
        <v>29.0</v>
      </c>
      <c r="B30" s="4" t="s">
        <v>31</v>
      </c>
      <c r="D30" s="4">
        <v>29.0</v>
      </c>
      <c r="E30" s="4" t="s">
        <v>29</v>
      </c>
      <c r="G30" s="4">
        <v>29.0</v>
      </c>
      <c r="H30" s="4" t="s">
        <v>42</v>
      </c>
      <c r="I30" s="4"/>
      <c r="J30" s="4">
        <v>29.0</v>
      </c>
      <c r="K30" s="4" t="s">
        <v>33</v>
      </c>
    </row>
    <row r="31">
      <c r="A31" s="4">
        <v>30.0</v>
      </c>
      <c r="B31" s="4" t="s">
        <v>31</v>
      </c>
      <c r="D31" s="4">
        <v>30.0</v>
      </c>
      <c r="E31" s="4" t="s">
        <v>29</v>
      </c>
      <c r="G31" s="4">
        <v>30.0</v>
      </c>
      <c r="H31" s="4" t="s">
        <v>42</v>
      </c>
      <c r="I31" s="4"/>
      <c r="J31" s="4">
        <v>30.0</v>
      </c>
      <c r="K31" s="4" t="s">
        <v>33</v>
      </c>
    </row>
    <row r="32">
      <c r="A32" s="4">
        <v>31.0</v>
      </c>
      <c r="B32" s="4" t="s">
        <v>31</v>
      </c>
      <c r="D32" s="4">
        <v>31.0</v>
      </c>
      <c r="E32" s="4" t="s">
        <v>29</v>
      </c>
      <c r="G32" s="4">
        <v>31.0</v>
      </c>
      <c r="H32" s="4" t="s">
        <v>42</v>
      </c>
      <c r="I32" s="4"/>
      <c r="J32" s="4">
        <v>31.0</v>
      </c>
      <c r="K32" s="4" t="s">
        <v>33</v>
      </c>
    </row>
    <row r="33">
      <c r="A33" s="4">
        <v>32.0</v>
      </c>
      <c r="B33" s="4" t="s">
        <v>31</v>
      </c>
      <c r="D33" s="4">
        <v>32.0</v>
      </c>
      <c r="E33" s="4" t="s">
        <v>29</v>
      </c>
      <c r="G33" s="4">
        <v>32.0</v>
      </c>
      <c r="H33" s="4" t="s">
        <v>42</v>
      </c>
      <c r="I33" s="4"/>
      <c r="J33" s="4">
        <v>32.0</v>
      </c>
      <c r="K33" s="4" t="s">
        <v>33</v>
      </c>
    </row>
    <row r="34">
      <c r="A34" s="4">
        <v>33.0</v>
      </c>
      <c r="B34" s="4" t="s">
        <v>31</v>
      </c>
      <c r="D34" s="4">
        <v>33.0</v>
      </c>
      <c r="E34" s="4" t="s">
        <v>29</v>
      </c>
      <c r="G34" s="4">
        <v>33.0</v>
      </c>
      <c r="H34" s="4" t="s">
        <v>42</v>
      </c>
      <c r="I34" s="4"/>
      <c r="J34" s="4">
        <v>33.0</v>
      </c>
      <c r="K34" s="4" t="s">
        <v>33</v>
      </c>
    </row>
    <row r="35">
      <c r="A35" s="4">
        <v>34.0</v>
      </c>
      <c r="B35" s="4" t="s">
        <v>31</v>
      </c>
      <c r="D35" s="4">
        <v>34.0</v>
      </c>
      <c r="E35" s="4" t="s">
        <v>29</v>
      </c>
      <c r="G35" s="4">
        <v>34.0</v>
      </c>
      <c r="H35" s="4" t="s">
        <v>42</v>
      </c>
      <c r="I35" s="4"/>
      <c r="J35" s="4">
        <v>34.0</v>
      </c>
      <c r="K35" s="4" t="s">
        <v>33</v>
      </c>
    </row>
    <row r="36">
      <c r="A36" s="4">
        <v>35.0</v>
      </c>
      <c r="B36" s="4" t="s">
        <v>31</v>
      </c>
      <c r="D36" s="4">
        <v>35.0</v>
      </c>
      <c r="E36" s="4" t="s">
        <v>29</v>
      </c>
      <c r="G36" s="4">
        <v>35.0</v>
      </c>
      <c r="H36" s="4" t="s">
        <v>42</v>
      </c>
      <c r="I36" s="4"/>
      <c r="J36" s="4">
        <v>35.0</v>
      </c>
      <c r="K36" s="4" t="s">
        <v>33</v>
      </c>
    </row>
    <row r="37">
      <c r="A37" s="4">
        <v>36.0</v>
      </c>
      <c r="B37" s="4" t="s">
        <v>31</v>
      </c>
      <c r="D37" s="4">
        <v>36.0</v>
      </c>
      <c r="E37" s="4" t="s">
        <v>29</v>
      </c>
      <c r="G37" s="4">
        <v>36.0</v>
      </c>
      <c r="H37" s="4" t="s">
        <v>42</v>
      </c>
      <c r="I37" s="4"/>
      <c r="J37" s="4">
        <v>36.0</v>
      </c>
      <c r="K37" s="4" t="s">
        <v>33</v>
      </c>
    </row>
    <row r="38">
      <c r="A38" s="4">
        <v>37.0</v>
      </c>
      <c r="B38" s="4" t="s">
        <v>31</v>
      </c>
      <c r="D38" s="4">
        <v>37.0</v>
      </c>
      <c r="E38" s="4" t="s">
        <v>29</v>
      </c>
      <c r="G38" s="4">
        <v>37.0</v>
      </c>
      <c r="H38" s="4" t="s">
        <v>42</v>
      </c>
      <c r="I38" s="4"/>
      <c r="J38" s="4">
        <v>37.0</v>
      </c>
      <c r="K38" s="4" t="s">
        <v>33</v>
      </c>
    </row>
    <row r="39">
      <c r="A39" s="4">
        <v>38.0</v>
      </c>
      <c r="B39" s="4" t="s">
        <v>31</v>
      </c>
      <c r="D39" s="4">
        <v>38.0</v>
      </c>
      <c r="E39" s="4" t="s">
        <v>29</v>
      </c>
      <c r="G39" s="4">
        <v>38.0</v>
      </c>
      <c r="H39" s="4" t="s">
        <v>42</v>
      </c>
      <c r="I39" s="4"/>
      <c r="J39" s="4">
        <v>38.0</v>
      </c>
      <c r="K39" s="4" t="s">
        <v>33</v>
      </c>
    </row>
    <row r="40">
      <c r="A40" s="4">
        <v>39.0</v>
      </c>
      <c r="B40" s="4" t="s">
        <v>31</v>
      </c>
      <c r="D40" s="4">
        <v>39.0</v>
      </c>
      <c r="E40" s="4" t="s">
        <v>29</v>
      </c>
      <c r="G40" s="4">
        <v>39.0</v>
      </c>
      <c r="H40" s="4" t="s">
        <v>42</v>
      </c>
      <c r="I40" s="4"/>
      <c r="J40" s="4">
        <v>39.0</v>
      </c>
      <c r="K40" s="4" t="s">
        <v>33</v>
      </c>
    </row>
    <row r="41">
      <c r="A41" s="4">
        <v>40.0</v>
      </c>
      <c r="B41" s="4" t="s">
        <v>31</v>
      </c>
      <c r="D41" s="4">
        <v>40.0</v>
      </c>
      <c r="E41" s="4" t="s">
        <v>29</v>
      </c>
      <c r="G41" s="4">
        <v>40.0</v>
      </c>
      <c r="H41" s="4" t="s">
        <v>42</v>
      </c>
      <c r="I41" s="4"/>
      <c r="J41" s="4">
        <v>40.0</v>
      </c>
      <c r="K41" s="4" t="s">
        <v>33</v>
      </c>
    </row>
    <row r="42">
      <c r="A42" s="4">
        <v>41.0</v>
      </c>
      <c r="B42" s="4" t="s">
        <v>31</v>
      </c>
      <c r="D42" s="4">
        <v>41.0</v>
      </c>
      <c r="E42" s="4" t="s">
        <v>29</v>
      </c>
      <c r="G42" s="4">
        <v>41.0</v>
      </c>
      <c r="H42" s="4" t="s">
        <v>42</v>
      </c>
      <c r="I42" s="4"/>
      <c r="J42" s="4">
        <v>41.0</v>
      </c>
      <c r="K42" s="4" t="s">
        <v>33</v>
      </c>
    </row>
    <row r="43">
      <c r="A43" s="4">
        <v>42.0</v>
      </c>
      <c r="B43" s="4" t="s">
        <v>31</v>
      </c>
      <c r="D43" s="4">
        <v>42.0</v>
      </c>
      <c r="E43" s="4" t="s">
        <v>29</v>
      </c>
      <c r="G43" s="4">
        <v>42.0</v>
      </c>
      <c r="H43" s="4" t="s">
        <v>42</v>
      </c>
      <c r="I43" s="4"/>
      <c r="J43" s="4">
        <v>42.0</v>
      </c>
      <c r="K43" s="4" t="s">
        <v>33</v>
      </c>
    </row>
    <row r="44">
      <c r="A44" s="4">
        <v>43.0</v>
      </c>
      <c r="B44" s="4" t="s">
        <v>31</v>
      </c>
      <c r="D44" s="4">
        <v>43.0</v>
      </c>
      <c r="E44" s="4" t="s">
        <v>29</v>
      </c>
      <c r="G44" s="4">
        <v>43.0</v>
      </c>
      <c r="H44" s="4" t="s">
        <v>42</v>
      </c>
      <c r="I44" s="4"/>
      <c r="J44" s="4">
        <v>43.0</v>
      </c>
      <c r="K44" s="4" t="s">
        <v>33</v>
      </c>
    </row>
    <row r="45">
      <c r="A45" s="4">
        <v>44.0</v>
      </c>
      <c r="B45" s="4" t="s">
        <v>31</v>
      </c>
      <c r="D45" s="4">
        <v>44.0</v>
      </c>
      <c r="E45" s="4" t="s">
        <v>29</v>
      </c>
      <c r="G45" s="4">
        <v>44.0</v>
      </c>
      <c r="H45" s="4" t="s">
        <v>42</v>
      </c>
      <c r="I45" s="4"/>
      <c r="J45" s="4">
        <v>44.0</v>
      </c>
      <c r="K45" s="4" t="s">
        <v>33</v>
      </c>
    </row>
    <row r="46">
      <c r="A46" s="4">
        <v>45.0</v>
      </c>
      <c r="B46" s="4" t="s">
        <v>31</v>
      </c>
      <c r="D46" s="4">
        <v>45.0</v>
      </c>
      <c r="E46" s="4" t="s">
        <v>29</v>
      </c>
      <c r="G46" s="4">
        <v>45.0</v>
      </c>
      <c r="H46" s="4" t="s">
        <v>42</v>
      </c>
      <c r="I46" s="4"/>
      <c r="J46" s="4">
        <v>45.0</v>
      </c>
      <c r="K46" s="4" t="s">
        <v>33</v>
      </c>
    </row>
    <row r="47">
      <c r="A47" s="4">
        <v>46.0</v>
      </c>
      <c r="B47" s="4" t="s">
        <v>31</v>
      </c>
      <c r="D47" s="4">
        <v>46.0</v>
      </c>
      <c r="E47" s="4" t="s">
        <v>29</v>
      </c>
      <c r="G47" s="4">
        <v>46.0</v>
      </c>
      <c r="H47" s="4" t="s">
        <v>42</v>
      </c>
      <c r="I47" s="4"/>
      <c r="J47" s="4">
        <v>46.0</v>
      </c>
      <c r="K47" s="4" t="s">
        <v>33</v>
      </c>
    </row>
    <row r="48">
      <c r="A48" s="4">
        <v>47.0</v>
      </c>
      <c r="B48" s="4" t="s">
        <v>31</v>
      </c>
      <c r="D48" s="4">
        <v>47.0</v>
      </c>
      <c r="E48" s="4" t="s">
        <v>29</v>
      </c>
      <c r="G48" s="4">
        <v>47.0</v>
      </c>
      <c r="H48" s="4" t="s">
        <v>42</v>
      </c>
      <c r="I48" s="4"/>
      <c r="J48" s="4">
        <v>47.0</v>
      </c>
      <c r="K48" s="4" t="s">
        <v>33</v>
      </c>
    </row>
    <row r="49">
      <c r="A49" s="4">
        <v>48.0</v>
      </c>
      <c r="B49" s="4" t="s">
        <v>31</v>
      </c>
      <c r="D49" s="4">
        <v>48.0</v>
      </c>
      <c r="E49" s="4" t="s">
        <v>29</v>
      </c>
      <c r="G49" s="4">
        <v>48.0</v>
      </c>
      <c r="H49" s="4" t="s">
        <v>42</v>
      </c>
      <c r="I49" s="4"/>
      <c r="J49" s="4">
        <v>48.0</v>
      </c>
      <c r="K49" s="4" t="s">
        <v>33</v>
      </c>
    </row>
    <row r="50">
      <c r="A50" s="4">
        <v>49.0</v>
      </c>
      <c r="B50" s="4" t="s">
        <v>31</v>
      </c>
      <c r="D50" s="4">
        <v>49.0</v>
      </c>
      <c r="E50" s="4" t="s">
        <v>29</v>
      </c>
      <c r="G50" s="4">
        <v>49.0</v>
      </c>
      <c r="H50" s="4" t="s">
        <v>42</v>
      </c>
      <c r="I50" s="4"/>
      <c r="J50" s="4">
        <v>49.0</v>
      </c>
      <c r="K50" s="4" t="s">
        <v>33</v>
      </c>
    </row>
    <row r="51">
      <c r="A51" s="4">
        <v>50.0</v>
      </c>
      <c r="B51" s="4" t="s">
        <v>31</v>
      </c>
      <c r="D51" s="4">
        <v>50.0</v>
      </c>
      <c r="E51" s="4" t="s">
        <v>29</v>
      </c>
      <c r="G51" s="4">
        <v>50.0</v>
      </c>
      <c r="H51" s="4" t="s">
        <v>42</v>
      </c>
      <c r="I51" s="4"/>
      <c r="J51" s="4">
        <v>50.0</v>
      </c>
      <c r="K51" s="4" t="s">
        <v>33</v>
      </c>
    </row>
    <row r="52">
      <c r="A52" s="4">
        <v>51.0</v>
      </c>
      <c r="B52" s="4" t="s">
        <v>31</v>
      </c>
      <c r="D52" s="4">
        <v>51.0</v>
      </c>
      <c r="E52" s="4" t="s">
        <v>29</v>
      </c>
      <c r="G52" s="4">
        <v>51.0</v>
      </c>
      <c r="H52" s="4" t="s">
        <v>42</v>
      </c>
      <c r="I52" s="4"/>
      <c r="J52" s="4">
        <v>51.0</v>
      </c>
      <c r="K52" s="4" t="s">
        <v>33</v>
      </c>
    </row>
    <row r="53">
      <c r="A53" s="4">
        <v>52.0</v>
      </c>
      <c r="B53" s="4" t="s">
        <v>31</v>
      </c>
      <c r="D53" s="4">
        <v>52.0</v>
      </c>
      <c r="E53" s="4" t="s">
        <v>29</v>
      </c>
      <c r="G53" s="4">
        <v>52.0</v>
      </c>
      <c r="H53" s="4" t="s">
        <v>42</v>
      </c>
      <c r="I53" s="4"/>
      <c r="J53" s="4">
        <v>52.0</v>
      </c>
      <c r="K53" s="4" t="s">
        <v>33</v>
      </c>
    </row>
    <row r="54">
      <c r="A54" s="4">
        <v>53.0</v>
      </c>
      <c r="B54" s="4" t="s">
        <v>31</v>
      </c>
      <c r="D54" s="4">
        <v>53.0</v>
      </c>
      <c r="E54" s="4" t="s">
        <v>29</v>
      </c>
      <c r="G54" s="4">
        <v>53.0</v>
      </c>
      <c r="H54" s="4" t="s">
        <v>42</v>
      </c>
      <c r="I54" s="4"/>
      <c r="J54" s="4">
        <v>53.0</v>
      </c>
      <c r="K54" s="4" t="s">
        <v>33</v>
      </c>
    </row>
    <row r="55">
      <c r="A55" s="4">
        <v>54.0</v>
      </c>
      <c r="B55" s="4" t="s">
        <v>31</v>
      </c>
      <c r="D55" s="4">
        <v>54.0</v>
      </c>
      <c r="E55" s="4" t="s">
        <v>29</v>
      </c>
      <c r="G55" s="4">
        <v>54.0</v>
      </c>
      <c r="H55" s="4" t="s">
        <v>42</v>
      </c>
      <c r="I55" s="4"/>
      <c r="J55" s="4">
        <v>54.0</v>
      </c>
      <c r="K55" s="4" t="s">
        <v>33</v>
      </c>
    </row>
    <row r="56">
      <c r="A56" s="4">
        <v>55.0</v>
      </c>
      <c r="B56" s="4" t="s">
        <v>31</v>
      </c>
      <c r="D56" s="4">
        <v>55.0</v>
      </c>
      <c r="E56" s="4" t="s">
        <v>29</v>
      </c>
      <c r="G56" s="4">
        <v>55.0</v>
      </c>
      <c r="H56" s="4" t="s">
        <v>42</v>
      </c>
      <c r="I56" s="4"/>
      <c r="J56" s="4">
        <v>55.0</v>
      </c>
      <c r="K56" s="4" t="s">
        <v>33</v>
      </c>
    </row>
    <row r="57">
      <c r="A57" s="4">
        <v>56.0</v>
      </c>
      <c r="B57" s="4" t="s">
        <v>31</v>
      </c>
      <c r="D57" s="4">
        <v>56.0</v>
      </c>
      <c r="E57" s="4" t="s">
        <v>29</v>
      </c>
      <c r="G57" s="4">
        <v>56.0</v>
      </c>
      <c r="H57" s="4" t="s">
        <v>42</v>
      </c>
      <c r="I57" s="4"/>
      <c r="J57" s="4">
        <v>56.0</v>
      </c>
      <c r="K57" s="4" t="s">
        <v>33</v>
      </c>
    </row>
    <row r="58">
      <c r="A58" s="4">
        <v>57.0</v>
      </c>
      <c r="B58" s="4" t="s">
        <v>31</v>
      </c>
      <c r="D58" s="4">
        <v>57.0</v>
      </c>
      <c r="E58" s="4" t="s">
        <v>29</v>
      </c>
      <c r="G58" s="4">
        <v>57.0</v>
      </c>
      <c r="H58" s="4" t="s">
        <v>42</v>
      </c>
      <c r="I58" s="4"/>
      <c r="J58" s="4">
        <v>57.0</v>
      </c>
      <c r="K58" s="4" t="s">
        <v>33</v>
      </c>
    </row>
    <row r="59">
      <c r="A59" s="4">
        <v>58.0</v>
      </c>
      <c r="B59" s="4" t="s">
        <v>31</v>
      </c>
      <c r="D59" s="4">
        <v>58.0</v>
      </c>
      <c r="E59" s="4" t="s">
        <v>29</v>
      </c>
      <c r="G59" s="4">
        <v>58.0</v>
      </c>
      <c r="H59" s="4" t="s">
        <v>42</v>
      </c>
      <c r="I59" s="4"/>
      <c r="J59" s="4">
        <v>58.0</v>
      </c>
      <c r="K59" s="4" t="s">
        <v>33</v>
      </c>
    </row>
    <row r="60">
      <c r="A60" s="4">
        <v>59.0</v>
      </c>
      <c r="B60" s="4" t="s">
        <v>31</v>
      </c>
      <c r="D60" s="4">
        <v>59.0</v>
      </c>
      <c r="E60" s="4" t="s">
        <v>29</v>
      </c>
      <c r="G60" s="4">
        <v>59.0</v>
      </c>
      <c r="H60" s="4" t="s">
        <v>42</v>
      </c>
      <c r="I60" s="4"/>
      <c r="J60" s="4">
        <v>59.0</v>
      </c>
      <c r="K60" s="4" t="s">
        <v>33</v>
      </c>
    </row>
    <row r="61">
      <c r="A61" s="4">
        <v>60.0</v>
      </c>
      <c r="B61" s="4" t="s">
        <v>31</v>
      </c>
      <c r="D61" s="4">
        <v>60.0</v>
      </c>
      <c r="E61" s="4" t="s">
        <v>29</v>
      </c>
      <c r="G61" s="4">
        <v>60.0</v>
      </c>
      <c r="H61" s="4" t="s">
        <v>42</v>
      </c>
      <c r="I61" s="4"/>
      <c r="J61" s="4">
        <v>60.0</v>
      </c>
      <c r="K61" s="4" t="s">
        <v>33</v>
      </c>
    </row>
    <row r="62">
      <c r="A62" s="4">
        <v>61.0</v>
      </c>
      <c r="B62" s="4" t="s">
        <v>31</v>
      </c>
      <c r="D62" s="4">
        <v>61.0</v>
      </c>
      <c r="E62" s="4" t="s">
        <v>29</v>
      </c>
      <c r="G62" s="4">
        <v>61.0</v>
      </c>
      <c r="H62" s="4" t="s">
        <v>42</v>
      </c>
      <c r="I62" s="4"/>
      <c r="J62" s="4">
        <v>61.0</v>
      </c>
      <c r="K62" s="4" t="s">
        <v>33</v>
      </c>
    </row>
    <row r="63">
      <c r="A63" s="4">
        <v>62.0</v>
      </c>
      <c r="B63" s="4" t="s">
        <v>31</v>
      </c>
      <c r="D63" s="4">
        <v>62.0</v>
      </c>
      <c r="E63" s="4" t="s">
        <v>29</v>
      </c>
      <c r="G63" s="4">
        <v>62.0</v>
      </c>
      <c r="H63" s="4" t="s">
        <v>42</v>
      </c>
      <c r="I63" s="4"/>
      <c r="J63" s="4">
        <v>62.0</v>
      </c>
      <c r="K63" s="4" t="s">
        <v>33</v>
      </c>
    </row>
    <row r="64">
      <c r="A64" s="4">
        <v>63.0</v>
      </c>
      <c r="B64" s="4" t="s">
        <v>31</v>
      </c>
      <c r="D64" s="4">
        <v>63.0</v>
      </c>
      <c r="E64" s="4" t="s">
        <v>29</v>
      </c>
      <c r="G64" s="4">
        <v>63.0</v>
      </c>
      <c r="H64" s="4" t="s">
        <v>42</v>
      </c>
      <c r="I64" s="4"/>
      <c r="J64" s="4">
        <v>63.0</v>
      </c>
      <c r="K64" s="4" t="s">
        <v>33</v>
      </c>
    </row>
    <row r="65">
      <c r="A65" s="4">
        <v>64.0</v>
      </c>
      <c r="B65" s="4" t="s">
        <v>31</v>
      </c>
      <c r="D65" s="4">
        <v>64.0</v>
      </c>
      <c r="E65" s="4" t="s">
        <v>29</v>
      </c>
      <c r="G65" s="4">
        <v>64.0</v>
      </c>
      <c r="H65" s="4" t="s">
        <v>42</v>
      </c>
      <c r="I65" s="4"/>
      <c r="J65" s="4">
        <v>64.0</v>
      </c>
      <c r="K65" s="4" t="s">
        <v>33</v>
      </c>
    </row>
    <row r="66">
      <c r="A66" s="4">
        <v>65.0</v>
      </c>
      <c r="B66" s="4" t="s">
        <v>31</v>
      </c>
      <c r="D66" s="4">
        <v>65.0</v>
      </c>
      <c r="E66" s="4" t="s">
        <v>29</v>
      </c>
      <c r="G66" s="4">
        <v>65.0</v>
      </c>
      <c r="H66" s="4" t="s">
        <v>42</v>
      </c>
      <c r="I66" s="4"/>
      <c r="J66" s="4">
        <v>65.0</v>
      </c>
      <c r="K66" s="4" t="s">
        <v>33</v>
      </c>
    </row>
    <row r="67">
      <c r="A67" s="4">
        <v>66.0</v>
      </c>
      <c r="B67" s="4" t="s">
        <v>31</v>
      </c>
      <c r="D67" s="4">
        <v>66.0</v>
      </c>
      <c r="E67" s="4" t="s">
        <v>29</v>
      </c>
      <c r="G67" s="4">
        <v>66.0</v>
      </c>
      <c r="H67" s="4" t="s">
        <v>42</v>
      </c>
      <c r="I67" s="4"/>
      <c r="J67" s="4">
        <v>66.0</v>
      </c>
      <c r="K67" s="4" t="s">
        <v>33</v>
      </c>
    </row>
    <row r="68">
      <c r="A68" s="4">
        <v>67.0</v>
      </c>
      <c r="B68" s="4" t="s">
        <v>31</v>
      </c>
      <c r="D68" s="4">
        <v>67.0</v>
      </c>
      <c r="E68" s="4" t="s">
        <v>29</v>
      </c>
      <c r="G68" s="4">
        <v>67.0</v>
      </c>
      <c r="H68" s="4" t="s">
        <v>42</v>
      </c>
      <c r="I68" s="4"/>
      <c r="J68" s="4">
        <v>67.0</v>
      </c>
      <c r="K68" s="4" t="s">
        <v>33</v>
      </c>
    </row>
    <row r="69">
      <c r="A69" s="4">
        <v>68.0</v>
      </c>
      <c r="B69" s="4" t="s">
        <v>31</v>
      </c>
      <c r="D69" s="4">
        <v>68.0</v>
      </c>
      <c r="E69" s="4" t="s">
        <v>29</v>
      </c>
      <c r="G69" s="4">
        <v>68.0</v>
      </c>
      <c r="H69" s="4" t="s">
        <v>42</v>
      </c>
      <c r="I69" s="4"/>
      <c r="J69" s="4">
        <v>68.0</v>
      </c>
      <c r="K69" s="4" t="s">
        <v>33</v>
      </c>
    </row>
    <row r="70">
      <c r="A70" s="4">
        <v>69.0</v>
      </c>
      <c r="B70" s="4" t="s">
        <v>31</v>
      </c>
      <c r="D70" s="4">
        <v>69.0</v>
      </c>
      <c r="E70" s="4" t="s">
        <v>29</v>
      </c>
      <c r="G70" s="4">
        <v>69.0</v>
      </c>
      <c r="H70" s="4" t="s">
        <v>42</v>
      </c>
      <c r="I70" s="4"/>
      <c r="J70" s="4">
        <v>69.0</v>
      </c>
      <c r="K70" s="4" t="s">
        <v>33</v>
      </c>
    </row>
    <row r="71">
      <c r="A71" s="4">
        <v>70.0</v>
      </c>
      <c r="B71" s="4" t="s">
        <v>31</v>
      </c>
      <c r="D71" s="4">
        <v>70.0</v>
      </c>
      <c r="E71" s="4" t="s">
        <v>29</v>
      </c>
      <c r="G71" s="4">
        <v>70.0</v>
      </c>
      <c r="H71" s="4" t="s">
        <v>42</v>
      </c>
      <c r="I71" s="4"/>
      <c r="J71" s="4">
        <v>70.0</v>
      </c>
      <c r="K71" s="4" t="s">
        <v>33</v>
      </c>
    </row>
    <row r="72">
      <c r="A72" s="4">
        <v>71.0</v>
      </c>
      <c r="B72" s="4" t="s">
        <v>31</v>
      </c>
      <c r="D72" s="4">
        <v>71.0</v>
      </c>
      <c r="E72" s="4" t="s">
        <v>29</v>
      </c>
      <c r="G72" s="4">
        <v>71.0</v>
      </c>
      <c r="H72" s="4" t="s">
        <v>42</v>
      </c>
      <c r="I72" s="4"/>
      <c r="J72" s="4">
        <v>71.0</v>
      </c>
      <c r="K72" s="4" t="s">
        <v>33</v>
      </c>
    </row>
    <row r="73">
      <c r="A73" s="4">
        <v>72.0</v>
      </c>
      <c r="B73" s="4" t="s">
        <v>31</v>
      </c>
      <c r="D73" s="4">
        <v>72.0</v>
      </c>
      <c r="E73" s="4" t="s">
        <v>29</v>
      </c>
      <c r="G73" s="4">
        <v>72.0</v>
      </c>
      <c r="H73" s="4" t="s">
        <v>42</v>
      </c>
      <c r="I73" s="4"/>
      <c r="J73" s="4">
        <v>72.0</v>
      </c>
      <c r="K73" s="4" t="s">
        <v>33</v>
      </c>
    </row>
    <row r="74">
      <c r="A74" s="4">
        <v>73.0</v>
      </c>
      <c r="B74" s="4" t="s">
        <v>31</v>
      </c>
      <c r="D74" s="4">
        <v>73.0</v>
      </c>
      <c r="E74" s="4" t="s">
        <v>29</v>
      </c>
      <c r="G74" s="4">
        <v>73.0</v>
      </c>
      <c r="H74" s="4" t="s">
        <v>42</v>
      </c>
      <c r="I74" s="4"/>
      <c r="J74" s="4">
        <v>73.0</v>
      </c>
      <c r="K74" s="4" t="s">
        <v>33</v>
      </c>
    </row>
    <row r="75">
      <c r="A75" s="4">
        <v>74.0</v>
      </c>
      <c r="B75" s="4" t="s">
        <v>31</v>
      </c>
      <c r="D75" s="4">
        <v>74.0</v>
      </c>
      <c r="E75" s="4" t="s">
        <v>29</v>
      </c>
      <c r="G75" s="4">
        <v>74.0</v>
      </c>
      <c r="H75" s="4" t="s">
        <v>42</v>
      </c>
      <c r="I75" s="4"/>
      <c r="J75" s="4">
        <v>74.0</v>
      </c>
      <c r="K75" s="4" t="s">
        <v>33</v>
      </c>
    </row>
    <row r="76">
      <c r="A76" s="4">
        <v>75.0</v>
      </c>
      <c r="B76" s="4" t="s">
        <v>31</v>
      </c>
      <c r="D76" s="4">
        <v>75.0</v>
      </c>
      <c r="E76" s="4" t="s">
        <v>29</v>
      </c>
      <c r="G76" s="4">
        <v>75.0</v>
      </c>
      <c r="H76" s="4" t="s">
        <v>42</v>
      </c>
      <c r="I76" s="4"/>
      <c r="J76" s="4">
        <v>75.0</v>
      </c>
      <c r="K76" s="4" t="s">
        <v>33</v>
      </c>
    </row>
    <row r="77">
      <c r="A77" s="4">
        <v>76.0</v>
      </c>
      <c r="B77" s="4" t="s">
        <v>31</v>
      </c>
      <c r="D77" s="4">
        <v>76.0</v>
      </c>
      <c r="E77" s="4" t="s">
        <v>29</v>
      </c>
      <c r="G77" s="4">
        <v>76.0</v>
      </c>
      <c r="H77" s="4" t="s">
        <v>42</v>
      </c>
      <c r="I77" s="4"/>
      <c r="J77" s="4">
        <v>76.0</v>
      </c>
      <c r="K77" s="4" t="s">
        <v>33</v>
      </c>
    </row>
    <row r="78">
      <c r="A78" s="4">
        <v>77.0</v>
      </c>
      <c r="B78" s="4" t="s">
        <v>31</v>
      </c>
      <c r="D78" s="4">
        <v>77.0</v>
      </c>
      <c r="E78" s="4" t="s">
        <v>29</v>
      </c>
      <c r="G78" s="4">
        <v>77.0</v>
      </c>
      <c r="H78" s="4" t="s">
        <v>42</v>
      </c>
      <c r="I78" s="4"/>
      <c r="J78" s="4">
        <v>77.0</v>
      </c>
      <c r="K78" s="4" t="s">
        <v>33</v>
      </c>
    </row>
    <row r="79">
      <c r="A79" s="4">
        <v>78.0</v>
      </c>
      <c r="B79" s="4" t="s">
        <v>31</v>
      </c>
      <c r="D79" s="4">
        <v>78.0</v>
      </c>
      <c r="E79" s="4" t="s">
        <v>29</v>
      </c>
      <c r="G79" s="4">
        <v>78.0</v>
      </c>
      <c r="H79" s="4" t="s">
        <v>42</v>
      </c>
      <c r="I79" s="4"/>
      <c r="J79" s="4">
        <v>78.0</v>
      </c>
      <c r="K79" s="4" t="s">
        <v>33</v>
      </c>
    </row>
    <row r="80">
      <c r="A80" s="4">
        <v>79.0</v>
      </c>
      <c r="B80" s="4" t="s">
        <v>31</v>
      </c>
      <c r="D80" s="4">
        <v>79.0</v>
      </c>
      <c r="E80" s="4" t="s">
        <v>29</v>
      </c>
      <c r="G80" s="4">
        <v>79.0</v>
      </c>
      <c r="H80" s="4" t="s">
        <v>42</v>
      </c>
      <c r="I80" s="4"/>
      <c r="J80" s="4">
        <v>79.0</v>
      </c>
      <c r="K80" s="4" t="s">
        <v>33</v>
      </c>
    </row>
    <row r="81">
      <c r="A81" s="4">
        <v>80.0</v>
      </c>
      <c r="B81" s="4" t="s">
        <v>31</v>
      </c>
      <c r="D81" s="4">
        <v>80.0</v>
      </c>
      <c r="E81" s="4" t="s">
        <v>29</v>
      </c>
      <c r="G81" s="4">
        <v>80.0</v>
      </c>
      <c r="H81" s="4" t="s">
        <v>42</v>
      </c>
      <c r="I81" s="4"/>
      <c r="J81" s="4">
        <v>80.0</v>
      </c>
      <c r="K81" s="4" t="s">
        <v>33</v>
      </c>
    </row>
    <row r="82">
      <c r="A82" s="4">
        <v>81.0</v>
      </c>
      <c r="B82" s="4" t="s">
        <v>31</v>
      </c>
      <c r="D82" s="4">
        <v>81.0</v>
      </c>
      <c r="E82" s="4" t="s">
        <v>29</v>
      </c>
      <c r="G82" s="4">
        <v>81.0</v>
      </c>
      <c r="H82" s="4" t="s">
        <v>42</v>
      </c>
      <c r="I82" s="4"/>
      <c r="J82" s="4">
        <v>81.0</v>
      </c>
      <c r="K82" s="4" t="s">
        <v>33</v>
      </c>
    </row>
    <row r="83">
      <c r="A83" s="4">
        <v>82.0</v>
      </c>
      <c r="B83" s="4" t="s">
        <v>31</v>
      </c>
      <c r="D83" s="4">
        <v>82.0</v>
      </c>
      <c r="E83" s="4" t="s">
        <v>29</v>
      </c>
      <c r="G83" s="4">
        <v>82.0</v>
      </c>
      <c r="H83" s="4" t="s">
        <v>42</v>
      </c>
      <c r="I83" s="4"/>
      <c r="J83" s="4">
        <v>82.0</v>
      </c>
      <c r="K83" s="4" t="s">
        <v>33</v>
      </c>
    </row>
    <row r="84">
      <c r="A84" s="4">
        <v>83.0</v>
      </c>
      <c r="B84" s="4" t="s">
        <v>31</v>
      </c>
      <c r="D84" s="4">
        <v>83.0</v>
      </c>
      <c r="E84" s="4" t="s">
        <v>29</v>
      </c>
      <c r="G84" s="4">
        <v>83.0</v>
      </c>
      <c r="H84" s="4" t="s">
        <v>42</v>
      </c>
      <c r="I84" s="4"/>
      <c r="J84" s="4">
        <v>83.0</v>
      </c>
      <c r="K84" s="4" t="s">
        <v>33</v>
      </c>
    </row>
    <row r="85">
      <c r="A85" s="4">
        <v>84.0</v>
      </c>
      <c r="B85" s="4" t="s">
        <v>31</v>
      </c>
      <c r="D85" s="4">
        <v>84.0</v>
      </c>
      <c r="E85" s="4" t="s">
        <v>29</v>
      </c>
      <c r="G85" s="4">
        <v>84.0</v>
      </c>
      <c r="H85" s="4" t="s">
        <v>42</v>
      </c>
      <c r="I85" s="4"/>
      <c r="J85" s="4">
        <v>84.0</v>
      </c>
      <c r="K85" s="4" t="s">
        <v>33</v>
      </c>
    </row>
    <row r="86">
      <c r="A86" s="4">
        <v>85.0</v>
      </c>
      <c r="B86" s="4" t="s">
        <v>31</v>
      </c>
      <c r="D86" s="4">
        <v>85.0</v>
      </c>
      <c r="E86" s="4" t="s">
        <v>29</v>
      </c>
      <c r="G86" s="4">
        <v>85.0</v>
      </c>
      <c r="H86" s="4" t="s">
        <v>42</v>
      </c>
      <c r="I86" s="4"/>
      <c r="J86" s="4">
        <v>85.0</v>
      </c>
      <c r="K86" s="4" t="s">
        <v>33</v>
      </c>
    </row>
    <row r="87">
      <c r="A87" s="4">
        <v>86.0</v>
      </c>
      <c r="B87" s="4" t="s">
        <v>31</v>
      </c>
      <c r="D87" s="4">
        <v>86.0</v>
      </c>
      <c r="E87" s="4" t="s">
        <v>29</v>
      </c>
      <c r="G87" s="4">
        <v>86.0</v>
      </c>
      <c r="H87" s="4" t="s">
        <v>42</v>
      </c>
      <c r="I87" s="4"/>
      <c r="J87" s="4">
        <v>86.0</v>
      </c>
      <c r="K87" s="4" t="s">
        <v>33</v>
      </c>
    </row>
    <row r="88">
      <c r="A88" s="4">
        <v>87.0</v>
      </c>
      <c r="B88" s="4" t="s">
        <v>31</v>
      </c>
      <c r="D88" s="4">
        <v>87.0</v>
      </c>
      <c r="E88" s="4" t="s">
        <v>29</v>
      </c>
      <c r="G88" s="4">
        <v>87.0</v>
      </c>
      <c r="H88" s="4" t="s">
        <v>42</v>
      </c>
      <c r="I88" s="4"/>
      <c r="J88" s="4">
        <v>87.0</v>
      </c>
      <c r="K88" s="4" t="s">
        <v>33</v>
      </c>
    </row>
    <row r="89">
      <c r="A89" s="4">
        <v>88.0</v>
      </c>
      <c r="B89" s="4" t="s">
        <v>31</v>
      </c>
      <c r="D89" s="4">
        <v>88.0</v>
      </c>
      <c r="E89" s="4" t="s">
        <v>29</v>
      </c>
      <c r="G89" s="4">
        <v>88.0</v>
      </c>
      <c r="H89" s="4" t="s">
        <v>42</v>
      </c>
      <c r="I89" s="4"/>
      <c r="J89" s="4">
        <v>88.0</v>
      </c>
      <c r="K89" s="4" t="s">
        <v>33</v>
      </c>
    </row>
    <row r="90">
      <c r="A90" s="4">
        <v>89.0</v>
      </c>
      <c r="B90" s="4" t="s">
        <v>31</v>
      </c>
      <c r="D90" s="4">
        <v>89.0</v>
      </c>
      <c r="E90" s="4" t="s">
        <v>29</v>
      </c>
      <c r="G90" s="4">
        <v>89.0</v>
      </c>
      <c r="H90" s="4" t="s">
        <v>42</v>
      </c>
      <c r="I90" s="4"/>
      <c r="J90" s="4">
        <v>89.0</v>
      </c>
      <c r="K90" s="4" t="s">
        <v>33</v>
      </c>
    </row>
    <row r="91">
      <c r="A91" s="4">
        <v>90.0</v>
      </c>
      <c r="B91" s="4" t="s">
        <v>31</v>
      </c>
      <c r="D91" s="4">
        <v>90.0</v>
      </c>
      <c r="E91" s="4" t="s">
        <v>29</v>
      </c>
      <c r="G91" s="4">
        <v>90.0</v>
      </c>
      <c r="H91" s="4" t="s">
        <v>42</v>
      </c>
      <c r="I91" s="4"/>
      <c r="J91" s="4">
        <v>90.0</v>
      </c>
      <c r="K91" s="4" t="s">
        <v>33</v>
      </c>
    </row>
    <row r="92">
      <c r="A92" s="4">
        <v>91.0</v>
      </c>
      <c r="B92" s="4" t="s">
        <v>31</v>
      </c>
      <c r="D92" s="4">
        <v>91.0</v>
      </c>
      <c r="E92" s="4" t="s">
        <v>29</v>
      </c>
      <c r="G92" s="4">
        <v>91.0</v>
      </c>
      <c r="H92" s="4" t="s">
        <v>42</v>
      </c>
      <c r="I92" s="4"/>
      <c r="J92" s="4">
        <v>91.0</v>
      </c>
      <c r="K92" s="4" t="s">
        <v>33</v>
      </c>
    </row>
    <row r="93">
      <c r="A93" s="4">
        <v>92.0</v>
      </c>
      <c r="B93" s="4" t="s">
        <v>31</v>
      </c>
      <c r="D93" s="4">
        <v>92.0</v>
      </c>
      <c r="E93" s="4" t="s">
        <v>29</v>
      </c>
      <c r="G93" s="4">
        <v>92.0</v>
      </c>
      <c r="H93" s="4" t="s">
        <v>42</v>
      </c>
      <c r="I93" s="4"/>
      <c r="J93" s="4">
        <v>92.0</v>
      </c>
      <c r="K93" s="4" t="s">
        <v>33</v>
      </c>
    </row>
    <row r="94">
      <c r="A94" s="4">
        <v>93.0</v>
      </c>
      <c r="B94" s="4" t="s">
        <v>31</v>
      </c>
      <c r="D94" s="4">
        <v>93.0</v>
      </c>
      <c r="E94" s="4" t="s">
        <v>29</v>
      </c>
      <c r="G94" s="4">
        <v>93.0</v>
      </c>
      <c r="H94" s="4" t="s">
        <v>42</v>
      </c>
      <c r="I94" s="4"/>
      <c r="J94" s="4">
        <v>93.0</v>
      </c>
      <c r="K94" s="4" t="s">
        <v>33</v>
      </c>
    </row>
    <row r="95">
      <c r="A95" s="4">
        <v>94.0</v>
      </c>
      <c r="B95" s="4" t="s">
        <v>31</v>
      </c>
      <c r="D95" s="4">
        <v>94.0</v>
      </c>
      <c r="E95" s="4" t="s">
        <v>29</v>
      </c>
      <c r="G95" s="4">
        <v>94.0</v>
      </c>
      <c r="H95" s="4" t="s">
        <v>42</v>
      </c>
      <c r="I95" s="4"/>
      <c r="J95" s="4">
        <v>94.0</v>
      </c>
      <c r="K95" s="4" t="s">
        <v>33</v>
      </c>
    </row>
    <row r="96">
      <c r="A96" s="4">
        <v>95.0</v>
      </c>
      <c r="B96" s="4" t="s">
        <v>31</v>
      </c>
      <c r="D96" s="4">
        <v>95.0</v>
      </c>
      <c r="E96" s="4" t="s">
        <v>29</v>
      </c>
      <c r="G96" s="4">
        <v>95.0</v>
      </c>
      <c r="H96" s="4" t="s">
        <v>42</v>
      </c>
      <c r="I96" s="4"/>
      <c r="J96" s="4">
        <v>95.0</v>
      </c>
      <c r="K96" s="4" t="s">
        <v>33</v>
      </c>
    </row>
    <row r="97">
      <c r="A97" s="4">
        <v>96.0</v>
      </c>
      <c r="B97" s="4" t="s">
        <v>31</v>
      </c>
      <c r="D97" s="4">
        <v>96.0</v>
      </c>
      <c r="E97" s="4" t="s">
        <v>29</v>
      </c>
      <c r="G97" s="4">
        <v>96.0</v>
      </c>
      <c r="H97" s="4" t="s">
        <v>42</v>
      </c>
      <c r="I97" s="4"/>
      <c r="J97" s="4">
        <v>96.0</v>
      </c>
      <c r="K97" s="4" t="s">
        <v>33</v>
      </c>
    </row>
    <row r="98">
      <c r="A98" s="4">
        <v>97.0</v>
      </c>
      <c r="B98" s="4" t="s">
        <v>31</v>
      </c>
      <c r="D98" s="4">
        <v>97.0</v>
      </c>
      <c r="E98" s="4" t="s">
        <v>29</v>
      </c>
      <c r="G98" s="4">
        <v>97.0</v>
      </c>
      <c r="H98" s="4" t="s">
        <v>42</v>
      </c>
      <c r="I98" s="4"/>
      <c r="J98" s="4">
        <v>97.0</v>
      </c>
      <c r="K98" s="4" t="s">
        <v>33</v>
      </c>
    </row>
    <row r="99">
      <c r="A99" s="4">
        <v>98.0</v>
      </c>
      <c r="B99" s="4" t="s">
        <v>31</v>
      </c>
      <c r="D99" s="4">
        <v>98.0</v>
      </c>
      <c r="E99" s="4" t="s">
        <v>29</v>
      </c>
      <c r="G99" s="4">
        <v>98.0</v>
      </c>
      <c r="H99" s="4" t="s">
        <v>52</v>
      </c>
      <c r="I99" s="4"/>
      <c r="J99" s="4">
        <v>98.0</v>
      </c>
      <c r="K99" s="4" t="s">
        <v>41</v>
      </c>
    </row>
    <row r="100">
      <c r="A100" s="4">
        <v>99.0</v>
      </c>
      <c r="B100" s="4" t="s">
        <v>31</v>
      </c>
      <c r="D100" s="4">
        <v>99.0</v>
      </c>
      <c r="E100" s="4" t="s">
        <v>29</v>
      </c>
      <c r="G100" s="4">
        <v>99.0</v>
      </c>
      <c r="H100" s="4" t="s">
        <v>52</v>
      </c>
      <c r="I100" s="4"/>
      <c r="J100" s="4">
        <v>99.0</v>
      </c>
      <c r="K100" s="4" t="s">
        <v>41</v>
      </c>
    </row>
    <row r="101">
      <c r="A101" s="4">
        <v>100.0</v>
      </c>
      <c r="B101" s="4" t="s">
        <v>31</v>
      </c>
      <c r="D101" s="4">
        <v>100.0</v>
      </c>
      <c r="E101" s="4" t="s">
        <v>29</v>
      </c>
      <c r="G101" s="4">
        <v>100.0</v>
      </c>
      <c r="H101" s="4" t="s">
        <v>52</v>
      </c>
      <c r="I101" s="4"/>
      <c r="J101" s="4">
        <v>100.0</v>
      </c>
      <c r="K101" s="4" t="s">
        <v>41</v>
      </c>
    </row>
    <row r="102">
      <c r="A102" s="4">
        <v>101.0</v>
      </c>
      <c r="B102" s="4" t="s">
        <v>31</v>
      </c>
      <c r="D102" s="4">
        <v>101.0</v>
      </c>
      <c r="E102" s="4" t="s">
        <v>29</v>
      </c>
      <c r="G102" s="4">
        <v>101.0</v>
      </c>
      <c r="H102" s="4" t="s">
        <v>52</v>
      </c>
      <c r="I102" s="4"/>
      <c r="J102" s="4">
        <v>101.0</v>
      </c>
      <c r="K102" s="4" t="s">
        <v>41</v>
      </c>
    </row>
    <row r="103">
      <c r="A103" s="4">
        <v>102.0</v>
      </c>
      <c r="B103" s="4" t="s">
        <v>31</v>
      </c>
      <c r="D103" s="4">
        <v>102.0</v>
      </c>
      <c r="E103" s="4" t="s">
        <v>29</v>
      </c>
      <c r="G103" s="4">
        <v>102.0</v>
      </c>
      <c r="H103" s="4" t="s">
        <v>52</v>
      </c>
      <c r="I103" s="4"/>
      <c r="J103" s="4">
        <v>102.0</v>
      </c>
      <c r="K103" s="4" t="s">
        <v>41</v>
      </c>
    </row>
    <row r="104">
      <c r="A104" s="4">
        <v>103.0</v>
      </c>
      <c r="B104" s="4" t="s">
        <v>31</v>
      </c>
      <c r="D104" s="4">
        <v>103.0</v>
      </c>
      <c r="E104" s="4" t="s">
        <v>29</v>
      </c>
      <c r="G104" s="4">
        <v>103.0</v>
      </c>
      <c r="H104" s="4" t="s">
        <v>52</v>
      </c>
      <c r="I104" s="4"/>
      <c r="J104" s="4">
        <v>103.0</v>
      </c>
      <c r="K104" s="4" t="s">
        <v>41</v>
      </c>
    </row>
    <row r="105">
      <c r="A105" s="4">
        <v>104.0</v>
      </c>
      <c r="B105" s="4" t="s">
        <v>31</v>
      </c>
      <c r="D105" s="4">
        <v>104.0</v>
      </c>
      <c r="E105" s="4" t="s">
        <v>29</v>
      </c>
      <c r="G105" s="4">
        <v>104.0</v>
      </c>
      <c r="H105" s="4" t="s">
        <v>52</v>
      </c>
      <c r="I105" s="4"/>
      <c r="J105" s="4">
        <v>104.0</v>
      </c>
      <c r="K105" s="4" t="s">
        <v>41</v>
      </c>
    </row>
    <row r="106">
      <c r="A106" s="4">
        <v>105.0</v>
      </c>
      <c r="B106" s="4" t="s">
        <v>31</v>
      </c>
      <c r="D106" s="4">
        <v>105.0</v>
      </c>
      <c r="E106" s="4" t="s">
        <v>29</v>
      </c>
      <c r="G106" s="4">
        <v>105.0</v>
      </c>
      <c r="H106" s="4" t="s">
        <v>52</v>
      </c>
      <c r="I106" s="4"/>
      <c r="J106" s="4">
        <v>105.0</v>
      </c>
      <c r="K106" s="4" t="s">
        <v>41</v>
      </c>
    </row>
    <row r="107">
      <c r="A107" s="4">
        <v>106.0</v>
      </c>
      <c r="B107" s="4" t="s">
        <v>31</v>
      </c>
      <c r="D107" s="4">
        <v>106.0</v>
      </c>
      <c r="E107" s="4" t="s">
        <v>29</v>
      </c>
      <c r="G107" s="4">
        <v>106.0</v>
      </c>
      <c r="H107" s="4" t="s">
        <v>32</v>
      </c>
      <c r="I107" s="4"/>
      <c r="J107" s="4">
        <v>106.0</v>
      </c>
      <c r="K107" s="4" t="s">
        <v>47</v>
      </c>
    </row>
    <row r="108">
      <c r="A108" s="4">
        <v>107.0</v>
      </c>
      <c r="B108" s="4" t="s">
        <v>31</v>
      </c>
      <c r="D108" s="4">
        <v>107.0</v>
      </c>
      <c r="E108" s="4" t="s">
        <v>29</v>
      </c>
      <c r="G108" s="4">
        <v>107.0</v>
      </c>
      <c r="H108" s="4" t="s">
        <v>32</v>
      </c>
      <c r="I108" s="4"/>
      <c r="J108" s="4">
        <v>107.0</v>
      </c>
      <c r="K108" s="4" t="s">
        <v>47</v>
      </c>
    </row>
    <row r="109">
      <c r="A109" s="4">
        <v>108.0</v>
      </c>
      <c r="B109" s="4" t="s">
        <v>31</v>
      </c>
      <c r="D109" s="4">
        <v>108.0</v>
      </c>
      <c r="E109" s="4" t="s">
        <v>29</v>
      </c>
      <c r="G109" s="4">
        <v>108.0</v>
      </c>
      <c r="H109" s="4" t="s">
        <v>32</v>
      </c>
      <c r="I109" s="4"/>
      <c r="J109" s="4">
        <v>108.0</v>
      </c>
      <c r="K109" s="4" t="s">
        <v>47</v>
      </c>
    </row>
    <row r="110">
      <c r="A110" s="4">
        <v>109.0</v>
      </c>
      <c r="B110" s="4" t="s">
        <v>31</v>
      </c>
      <c r="D110" s="4">
        <v>109.0</v>
      </c>
      <c r="E110" s="4" t="s">
        <v>29</v>
      </c>
      <c r="G110" s="4">
        <v>109.0</v>
      </c>
      <c r="H110" s="4" t="s">
        <v>32</v>
      </c>
      <c r="I110" s="4"/>
      <c r="J110" s="4">
        <v>109.0</v>
      </c>
      <c r="K110" s="4" t="s">
        <v>47</v>
      </c>
    </row>
    <row r="111">
      <c r="A111" s="4">
        <v>110.0</v>
      </c>
      <c r="B111" s="4" t="s">
        <v>31</v>
      </c>
      <c r="D111" s="4">
        <v>110.0</v>
      </c>
      <c r="E111" s="4" t="s">
        <v>29</v>
      </c>
      <c r="G111" s="4">
        <v>110.0</v>
      </c>
      <c r="H111" s="4" t="s">
        <v>32</v>
      </c>
      <c r="I111" s="4"/>
      <c r="J111" s="4">
        <v>110.0</v>
      </c>
      <c r="K111" s="4" t="s">
        <v>47</v>
      </c>
    </row>
    <row r="112">
      <c r="A112" s="4">
        <v>111.0</v>
      </c>
      <c r="B112" s="4" t="s">
        <v>31</v>
      </c>
      <c r="D112" s="4">
        <v>111.0</v>
      </c>
      <c r="E112" s="4" t="s">
        <v>29</v>
      </c>
      <c r="G112" s="4">
        <v>111.0</v>
      </c>
      <c r="H112" s="4" t="s">
        <v>32</v>
      </c>
      <c r="I112" s="4"/>
      <c r="J112" s="4">
        <v>111.0</v>
      </c>
      <c r="K112" s="4" t="s">
        <v>47</v>
      </c>
    </row>
    <row r="113">
      <c r="A113" s="4">
        <v>112.0</v>
      </c>
      <c r="B113" s="4" t="s">
        <v>31</v>
      </c>
      <c r="D113" s="4">
        <v>112.0</v>
      </c>
      <c r="E113" s="4" t="s">
        <v>29</v>
      </c>
      <c r="G113" s="4">
        <v>112.0</v>
      </c>
      <c r="H113" s="4" t="s">
        <v>32</v>
      </c>
      <c r="I113" s="4"/>
      <c r="J113" s="4">
        <v>112.0</v>
      </c>
      <c r="K113" s="4" t="s">
        <v>47</v>
      </c>
    </row>
    <row r="114">
      <c r="A114" s="4">
        <v>113.0</v>
      </c>
      <c r="B114" s="4" t="s">
        <v>31</v>
      </c>
      <c r="D114" s="4">
        <v>113.0</v>
      </c>
      <c r="E114" s="4" t="s">
        <v>29</v>
      </c>
      <c r="G114" s="4">
        <v>113.0</v>
      </c>
      <c r="H114" s="4" t="s">
        <v>32</v>
      </c>
      <c r="I114" s="4"/>
      <c r="J114" s="4">
        <v>113.0</v>
      </c>
      <c r="K114" s="4" t="s">
        <v>47</v>
      </c>
    </row>
    <row r="115">
      <c r="A115" s="4">
        <v>114.0</v>
      </c>
      <c r="B115" s="4" t="s">
        <v>31</v>
      </c>
      <c r="D115" s="4">
        <v>114.0</v>
      </c>
      <c r="E115" s="4" t="s">
        <v>29</v>
      </c>
      <c r="G115" s="4">
        <v>114.0</v>
      </c>
      <c r="H115" s="4" t="s">
        <v>32</v>
      </c>
      <c r="I115" s="4"/>
      <c r="J115" s="4">
        <v>114.0</v>
      </c>
      <c r="K115" s="4" t="s">
        <v>47</v>
      </c>
    </row>
    <row r="116">
      <c r="A116" s="4">
        <v>115.0</v>
      </c>
      <c r="B116" s="4" t="s">
        <v>39</v>
      </c>
      <c r="D116" s="4">
        <v>115.0</v>
      </c>
      <c r="E116" s="4" t="s">
        <v>38</v>
      </c>
      <c r="G116" s="4">
        <v>115.0</v>
      </c>
      <c r="H116" s="4" t="s">
        <v>40</v>
      </c>
      <c r="I116" s="4"/>
      <c r="J116" s="4">
        <v>115.0</v>
      </c>
      <c r="K116" s="4" t="s">
        <v>51</v>
      </c>
    </row>
    <row r="117">
      <c r="A117" s="4">
        <v>116.0</v>
      </c>
      <c r="B117" s="4" t="s">
        <v>39</v>
      </c>
      <c r="D117" s="4">
        <v>116.0</v>
      </c>
      <c r="E117" s="4" t="s">
        <v>38</v>
      </c>
      <c r="G117" s="4">
        <v>116.0</v>
      </c>
      <c r="H117" s="4" t="s">
        <v>40</v>
      </c>
      <c r="I117" s="4"/>
      <c r="J117" s="4">
        <v>116.0</v>
      </c>
      <c r="K117" s="4" t="s">
        <v>51</v>
      </c>
    </row>
    <row r="118">
      <c r="A118" s="4">
        <v>117.0</v>
      </c>
      <c r="B118" s="4" t="s">
        <v>39</v>
      </c>
      <c r="D118" s="4">
        <v>117.0</v>
      </c>
      <c r="E118" s="4" t="s">
        <v>38</v>
      </c>
      <c r="G118" s="4">
        <v>117.0</v>
      </c>
      <c r="H118" s="4" t="s">
        <v>40</v>
      </c>
      <c r="I118" s="4"/>
      <c r="J118" s="4">
        <v>117.0</v>
      </c>
      <c r="K118" s="4" t="s">
        <v>51</v>
      </c>
    </row>
    <row r="119">
      <c r="A119" s="4">
        <v>118.0</v>
      </c>
      <c r="B119" s="4" t="s">
        <v>39</v>
      </c>
      <c r="D119" s="4">
        <v>118.0</v>
      </c>
      <c r="E119" s="4" t="s">
        <v>38</v>
      </c>
      <c r="G119" s="4">
        <v>118.0</v>
      </c>
      <c r="H119" s="4" t="s">
        <v>40</v>
      </c>
      <c r="I119" s="4"/>
      <c r="J119" s="4">
        <v>118.0</v>
      </c>
      <c r="K119" s="4" t="s">
        <v>51</v>
      </c>
    </row>
    <row r="120">
      <c r="A120" s="4">
        <v>119.0</v>
      </c>
      <c r="B120" s="4" t="s">
        <v>39</v>
      </c>
      <c r="D120" s="4">
        <v>119.0</v>
      </c>
      <c r="E120" s="4" t="s">
        <v>38</v>
      </c>
      <c r="G120" s="4">
        <v>119.0</v>
      </c>
      <c r="H120" s="4" t="s">
        <v>40</v>
      </c>
      <c r="I120" s="4"/>
      <c r="J120" s="4">
        <v>119.0</v>
      </c>
      <c r="K120" s="4" t="s">
        <v>51</v>
      </c>
    </row>
    <row r="121">
      <c r="A121" s="4">
        <v>120.0</v>
      </c>
      <c r="B121" s="4" t="s">
        <v>39</v>
      </c>
      <c r="D121" s="4">
        <v>120.0</v>
      </c>
      <c r="E121" s="4" t="s">
        <v>38</v>
      </c>
      <c r="G121" s="4">
        <v>120.0</v>
      </c>
      <c r="H121" s="4" t="s">
        <v>40</v>
      </c>
      <c r="I121" s="4"/>
      <c r="J121" s="4">
        <v>120.0</v>
      </c>
      <c r="K121" s="4" t="s">
        <v>51</v>
      </c>
    </row>
    <row r="122">
      <c r="A122" s="4">
        <v>121.0</v>
      </c>
      <c r="B122" s="4" t="s">
        <v>39</v>
      </c>
      <c r="D122" s="4">
        <v>121.0</v>
      </c>
      <c r="E122" s="4" t="s">
        <v>38</v>
      </c>
      <c r="G122" s="4">
        <v>121.0</v>
      </c>
      <c r="H122" s="4" t="s">
        <v>40</v>
      </c>
      <c r="I122" s="4"/>
      <c r="J122" s="4">
        <v>121.0</v>
      </c>
      <c r="K122" s="4" t="s">
        <v>51</v>
      </c>
    </row>
    <row r="123">
      <c r="A123" s="4">
        <v>122.0</v>
      </c>
      <c r="B123" s="4" t="s">
        <v>39</v>
      </c>
      <c r="D123" s="4">
        <v>122.0</v>
      </c>
      <c r="E123" s="4" t="s">
        <v>38</v>
      </c>
      <c r="G123" s="4">
        <v>122.0</v>
      </c>
      <c r="H123" s="4" t="s">
        <v>40</v>
      </c>
      <c r="I123" s="4"/>
      <c r="J123" s="4">
        <v>122.0</v>
      </c>
      <c r="K123" s="4" t="s">
        <v>51</v>
      </c>
    </row>
    <row r="124">
      <c r="A124" s="4">
        <v>123.0</v>
      </c>
      <c r="B124" s="4" t="s">
        <v>39</v>
      </c>
      <c r="D124" s="4">
        <v>123.0</v>
      </c>
      <c r="E124" s="4" t="s">
        <v>38</v>
      </c>
      <c r="G124" s="4">
        <v>123.0</v>
      </c>
      <c r="H124" s="4" t="s">
        <v>40</v>
      </c>
      <c r="I124" s="4"/>
      <c r="J124" s="4">
        <v>123.0</v>
      </c>
      <c r="K124" s="4" t="s">
        <v>51</v>
      </c>
    </row>
    <row r="125">
      <c r="A125" s="4">
        <v>124.0</v>
      </c>
      <c r="B125" s="4" t="s">
        <v>45</v>
      </c>
      <c r="D125" s="4">
        <v>124.0</v>
      </c>
      <c r="E125" s="4" t="s">
        <v>44</v>
      </c>
      <c r="G125" s="4">
        <v>124.0</v>
      </c>
      <c r="H125" s="4" t="s">
        <v>46</v>
      </c>
      <c r="I125" s="4"/>
      <c r="J125" s="4">
        <v>124.0</v>
      </c>
      <c r="K125" s="4" t="s">
        <v>57</v>
      </c>
    </row>
    <row r="126">
      <c r="A126" s="4">
        <v>125.0</v>
      </c>
      <c r="B126" s="4" t="s">
        <v>45</v>
      </c>
      <c r="D126" s="4">
        <v>125.0</v>
      </c>
      <c r="E126" s="4" t="s">
        <v>44</v>
      </c>
      <c r="G126" s="4">
        <v>125.0</v>
      </c>
      <c r="H126" s="4" t="s">
        <v>46</v>
      </c>
      <c r="I126" s="4"/>
      <c r="J126" s="4">
        <v>125.0</v>
      </c>
      <c r="K126" s="4" t="s">
        <v>57</v>
      </c>
    </row>
    <row r="127">
      <c r="A127" s="4">
        <v>126.0</v>
      </c>
      <c r="B127" s="4" t="s">
        <v>45</v>
      </c>
      <c r="D127" s="4">
        <v>126.0</v>
      </c>
      <c r="E127" s="4" t="s">
        <v>44</v>
      </c>
      <c r="G127" s="4">
        <v>126.0</v>
      </c>
      <c r="H127" s="4" t="s">
        <v>46</v>
      </c>
      <c r="I127" s="4"/>
      <c r="J127" s="4">
        <v>126.0</v>
      </c>
      <c r="K127" s="4" t="s">
        <v>57</v>
      </c>
    </row>
    <row r="128">
      <c r="A128" s="4">
        <v>127.0</v>
      </c>
      <c r="B128" s="4" t="s">
        <v>45</v>
      </c>
      <c r="D128" s="4">
        <v>127.0</v>
      </c>
      <c r="E128" s="4" t="s">
        <v>44</v>
      </c>
      <c r="G128" s="4">
        <v>127.0</v>
      </c>
      <c r="H128" s="4" t="s">
        <v>46</v>
      </c>
      <c r="I128" s="4"/>
      <c r="J128" s="4">
        <v>127.0</v>
      </c>
      <c r="K128" s="4" t="s">
        <v>57</v>
      </c>
    </row>
    <row r="129">
      <c r="A129" s="4">
        <v>128.0</v>
      </c>
      <c r="B129" s="4" t="s">
        <v>45</v>
      </c>
      <c r="D129" s="4">
        <v>128.0</v>
      </c>
      <c r="E129" s="4" t="s">
        <v>44</v>
      </c>
      <c r="G129" s="4">
        <v>128.0</v>
      </c>
      <c r="H129" s="4" t="s">
        <v>46</v>
      </c>
      <c r="I129" s="4"/>
      <c r="J129" s="4">
        <v>128.0</v>
      </c>
      <c r="K129" s="4" t="s">
        <v>57</v>
      </c>
    </row>
    <row r="130">
      <c r="A130" s="4">
        <v>129.0</v>
      </c>
      <c r="B130" s="4" t="s">
        <v>45</v>
      </c>
      <c r="D130" s="4">
        <v>129.0</v>
      </c>
      <c r="E130" s="4" t="s">
        <v>44</v>
      </c>
      <c r="G130" s="4">
        <v>129.0</v>
      </c>
      <c r="H130" s="4" t="s">
        <v>46</v>
      </c>
      <c r="I130" s="4"/>
      <c r="J130" s="4">
        <v>129.0</v>
      </c>
      <c r="K130" s="4" t="s">
        <v>57</v>
      </c>
    </row>
    <row r="131">
      <c r="A131" s="4">
        <v>130.0</v>
      </c>
      <c r="B131" s="4" t="s">
        <v>45</v>
      </c>
      <c r="D131" s="4">
        <v>130.0</v>
      </c>
      <c r="E131" s="4" t="s">
        <v>44</v>
      </c>
      <c r="G131" s="4">
        <v>130.0</v>
      </c>
      <c r="H131" s="4" t="s">
        <v>46</v>
      </c>
      <c r="I131" s="4"/>
      <c r="J131" s="4">
        <v>130.0</v>
      </c>
      <c r="K131" s="4" t="s">
        <v>57</v>
      </c>
    </row>
    <row r="132">
      <c r="A132" s="4">
        <v>131.0</v>
      </c>
      <c r="B132" s="4" t="s">
        <v>45</v>
      </c>
      <c r="D132" s="4">
        <v>131.0</v>
      </c>
      <c r="E132" s="4" t="s">
        <v>44</v>
      </c>
      <c r="G132" s="4">
        <v>131.0</v>
      </c>
      <c r="H132" s="4" t="s">
        <v>46</v>
      </c>
      <c r="I132" s="4"/>
      <c r="J132" s="4">
        <v>131.0</v>
      </c>
      <c r="K132" s="4" t="s">
        <v>57</v>
      </c>
    </row>
    <row r="133">
      <c r="A133" s="4">
        <v>132.0</v>
      </c>
      <c r="B133" s="4" t="s">
        <v>45</v>
      </c>
      <c r="D133" s="4">
        <v>132.0</v>
      </c>
      <c r="E133" s="4" t="s">
        <v>44</v>
      </c>
      <c r="G133" s="4">
        <v>132.0</v>
      </c>
      <c r="H133" s="4" t="s">
        <v>46</v>
      </c>
      <c r="I133" s="4"/>
      <c r="J133" s="4">
        <v>132.0</v>
      </c>
      <c r="K133" s="4" t="s">
        <v>57</v>
      </c>
    </row>
    <row r="134">
      <c r="A134" s="4">
        <v>133.0</v>
      </c>
      <c r="B134" s="4" t="s">
        <v>49</v>
      </c>
      <c r="D134" s="4">
        <v>133.0</v>
      </c>
      <c r="E134" s="4" t="s">
        <v>48</v>
      </c>
      <c r="G134" s="4">
        <v>133.0</v>
      </c>
      <c r="H134" s="4" t="s">
        <v>50</v>
      </c>
      <c r="I134" s="4"/>
      <c r="J134" s="4">
        <v>133.0</v>
      </c>
      <c r="K134" s="4" t="s">
        <v>63</v>
      </c>
    </row>
    <row r="135">
      <c r="A135" s="4">
        <v>134.0</v>
      </c>
      <c r="B135" s="4" t="s">
        <v>49</v>
      </c>
      <c r="D135" s="4">
        <v>134.0</v>
      </c>
      <c r="E135" s="4" t="s">
        <v>48</v>
      </c>
      <c r="G135" s="4">
        <v>134.0</v>
      </c>
      <c r="H135" s="4" t="s">
        <v>50</v>
      </c>
      <c r="I135" s="4"/>
      <c r="J135" s="4">
        <v>134.0</v>
      </c>
      <c r="K135" s="4" t="s">
        <v>63</v>
      </c>
    </row>
    <row r="136">
      <c r="A136" s="4">
        <v>135.0</v>
      </c>
      <c r="B136" s="4" t="s">
        <v>49</v>
      </c>
      <c r="D136" s="4">
        <v>135.0</v>
      </c>
      <c r="E136" s="4" t="s">
        <v>48</v>
      </c>
      <c r="G136" s="4">
        <v>135.0</v>
      </c>
      <c r="H136" s="4" t="s">
        <v>50</v>
      </c>
      <c r="I136" s="4"/>
      <c r="J136" s="4">
        <v>135.0</v>
      </c>
      <c r="K136" s="4" t="s">
        <v>63</v>
      </c>
    </row>
    <row r="137">
      <c r="A137" s="4">
        <v>136.0</v>
      </c>
      <c r="B137" s="4" t="s">
        <v>49</v>
      </c>
      <c r="D137" s="4">
        <v>136.0</v>
      </c>
      <c r="E137" s="4" t="s">
        <v>48</v>
      </c>
      <c r="G137" s="4">
        <v>136.0</v>
      </c>
      <c r="H137" s="4" t="s">
        <v>50</v>
      </c>
      <c r="I137" s="4"/>
      <c r="J137" s="4">
        <v>136.0</v>
      </c>
      <c r="K137" s="4" t="s">
        <v>63</v>
      </c>
    </row>
    <row r="138">
      <c r="A138" s="4">
        <v>137.0</v>
      </c>
      <c r="B138" s="4" t="s">
        <v>49</v>
      </c>
      <c r="D138" s="4">
        <v>137.0</v>
      </c>
      <c r="E138" s="4" t="s">
        <v>48</v>
      </c>
      <c r="G138" s="4">
        <v>137.0</v>
      </c>
      <c r="H138" s="4" t="s">
        <v>50</v>
      </c>
      <c r="I138" s="4"/>
      <c r="J138" s="4">
        <v>137.0</v>
      </c>
      <c r="K138" s="4" t="s">
        <v>63</v>
      </c>
    </row>
    <row r="139">
      <c r="A139" s="4">
        <v>138.0</v>
      </c>
      <c r="B139" s="4" t="s">
        <v>49</v>
      </c>
      <c r="D139" s="4">
        <v>138.0</v>
      </c>
      <c r="E139" s="4" t="s">
        <v>48</v>
      </c>
      <c r="G139" s="4">
        <v>138.0</v>
      </c>
      <c r="H139" s="4" t="s">
        <v>50</v>
      </c>
      <c r="I139" s="4"/>
      <c r="J139" s="4">
        <v>138.0</v>
      </c>
      <c r="K139" s="4" t="s">
        <v>63</v>
      </c>
    </row>
    <row r="140">
      <c r="A140" s="4">
        <v>139.0</v>
      </c>
      <c r="B140" s="4" t="s">
        <v>49</v>
      </c>
      <c r="D140" s="4">
        <v>139.0</v>
      </c>
      <c r="E140" s="4" t="s">
        <v>48</v>
      </c>
      <c r="G140" s="4">
        <v>139.0</v>
      </c>
      <c r="H140" s="4" t="s">
        <v>50</v>
      </c>
      <c r="I140" s="4"/>
      <c r="J140" s="4">
        <v>139.0</v>
      </c>
      <c r="K140" s="4" t="s">
        <v>63</v>
      </c>
    </row>
    <row r="141">
      <c r="A141" s="4">
        <v>140.0</v>
      </c>
      <c r="B141" s="4" t="s">
        <v>49</v>
      </c>
      <c r="D141" s="4">
        <v>140.0</v>
      </c>
      <c r="E141" s="4" t="s">
        <v>48</v>
      </c>
      <c r="G141" s="4">
        <v>140.0</v>
      </c>
      <c r="H141" s="4" t="s">
        <v>50</v>
      </c>
      <c r="I141" s="4"/>
      <c r="J141" s="4">
        <v>140.0</v>
      </c>
      <c r="K141" s="4" t="s">
        <v>63</v>
      </c>
    </row>
    <row r="142">
      <c r="A142" s="4">
        <v>141.0</v>
      </c>
      <c r="B142" s="4" t="s">
        <v>49</v>
      </c>
      <c r="D142" s="4">
        <v>141.0</v>
      </c>
      <c r="E142" s="4" t="s">
        <v>48</v>
      </c>
      <c r="G142" s="4">
        <v>141.0</v>
      </c>
      <c r="H142" s="4" t="s">
        <v>50</v>
      </c>
      <c r="I142" s="4"/>
      <c r="J142" s="4">
        <v>141.0</v>
      </c>
      <c r="K142" s="4" t="s">
        <v>63</v>
      </c>
    </row>
    <row r="143">
      <c r="A143" s="4">
        <v>142.0</v>
      </c>
      <c r="B143" s="4" t="s">
        <v>49</v>
      </c>
      <c r="D143" s="4">
        <v>142.0</v>
      </c>
      <c r="E143" s="4" t="s">
        <v>48</v>
      </c>
      <c r="G143" s="4">
        <v>142.0</v>
      </c>
      <c r="H143" s="4" t="s">
        <v>50</v>
      </c>
      <c r="I143" s="4"/>
      <c r="J143" s="4">
        <v>142.0</v>
      </c>
      <c r="K143" s="4" t="s">
        <v>63</v>
      </c>
    </row>
    <row r="144">
      <c r="A144" s="4">
        <v>143.0</v>
      </c>
      <c r="B144" s="4" t="s">
        <v>49</v>
      </c>
      <c r="D144" s="4">
        <v>143.0</v>
      </c>
      <c r="E144" s="4" t="s">
        <v>48</v>
      </c>
      <c r="G144" s="4">
        <v>143.0</v>
      </c>
      <c r="H144" s="4" t="s">
        <v>50</v>
      </c>
      <c r="I144" s="4"/>
      <c r="J144" s="4">
        <v>143.0</v>
      </c>
      <c r="K144" s="4" t="s">
        <v>63</v>
      </c>
    </row>
    <row r="145">
      <c r="A145" s="4">
        <v>144.0</v>
      </c>
      <c r="B145" s="4" t="s">
        <v>49</v>
      </c>
      <c r="D145" s="4">
        <v>144.0</v>
      </c>
      <c r="E145" s="4" t="s">
        <v>48</v>
      </c>
      <c r="G145" s="4">
        <v>144.0</v>
      </c>
      <c r="H145" s="4" t="s">
        <v>50</v>
      </c>
      <c r="I145" s="4"/>
      <c r="J145" s="4">
        <v>144.0</v>
      </c>
      <c r="K145" s="4" t="s">
        <v>63</v>
      </c>
    </row>
    <row r="146">
      <c r="A146" s="4">
        <v>145.0</v>
      </c>
      <c r="B146" s="4" t="s">
        <v>49</v>
      </c>
      <c r="D146" s="4">
        <v>145.0</v>
      </c>
      <c r="E146" s="4" t="s">
        <v>48</v>
      </c>
      <c r="G146" s="4">
        <v>145.0</v>
      </c>
      <c r="H146" s="4" t="s">
        <v>50</v>
      </c>
      <c r="I146" s="4"/>
      <c r="J146" s="4">
        <v>145.0</v>
      </c>
      <c r="K146" s="4" t="s">
        <v>63</v>
      </c>
    </row>
    <row r="147">
      <c r="A147" s="4">
        <v>146.0</v>
      </c>
      <c r="B147" s="4" t="s">
        <v>55</v>
      </c>
      <c r="D147" s="4">
        <v>146.0</v>
      </c>
      <c r="E147" s="4" t="s">
        <v>54</v>
      </c>
      <c r="G147" s="4">
        <v>146.0</v>
      </c>
      <c r="H147" s="4" t="s">
        <v>56</v>
      </c>
      <c r="I147" s="4"/>
      <c r="J147" s="4">
        <v>146.0</v>
      </c>
      <c r="K147" s="4" t="s">
        <v>68</v>
      </c>
    </row>
    <row r="148">
      <c r="A148" s="4">
        <v>147.0</v>
      </c>
      <c r="B148" s="4" t="s">
        <v>55</v>
      </c>
      <c r="D148" s="4">
        <v>147.0</v>
      </c>
      <c r="E148" s="4" t="s">
        <v>54</v>
      </c>
      <c r="G148" s="4">
        <v>147.0</v>
      </c>
      <c r="H148" s="4" t="s">
        <v>56</v>
      </c>
      <c r="I148" s="4"/>
      <c r="J148" s="4">
        <v>147.0</v>
      </c>
      <c r="K148" s="4" t="s">
        <v>68</v>
      </c>
    </row>
    <row r="149">
      <c r="A149" s="4">
        <v>148.0</v>
      </c>
      <c r="B149" s="4" t="s">
        <v>55</v>
      </c>
      <c r="D149" s="4">
        <v>148.0</v>
      </c>
      <c r="E149" s="4" t="s">
        <v>54</v>
      </c>
      <c r="G149" s="4">
        <v>148.0</v>
      </c>
      <c r="H149" s="4" t="s">
        <v>56</v>
      </c>
      <c r="I149" s="4"/>
      <c r="J149" s="4">
        <v>148.0</v>
      </c>
      <c r="K149" s="4" t="s">
        <v>68</v>
      </c>
    </row>
    <row r="150">
      <c r="A150" s="4">
        <v>149.0</v>
      </c>
      <c r="B150" s="4" t="s">
        <v>55</v>
      </c>
      <c r="D150" s="4">
        <v>149.0</v>
      </c>
      <c r="E150" s="4" t="s">
        <v>54</v>
      </c>
      <c r="G150" s="4">
        <v>149.0</v>
      </c>
      <c r="H150" s="4" t="s">
        <v>56</v>
      </c>
      <c r="I150" s="4"/>
      <c r="J150" s="4">
        <v>149.0</v>
      </c>
      <c r="K150" s="4" t="s">
        <v>68</v>
      </c>
    </row>
    <row r="151">
      <c r="A151" s="4">
        <v>150.0</v>
      </c>
      <c r="B151" s="4" t="s">
        <v>55</v>
      </c>
      <c r="D151" s="4">
        <v>150.0</v>
      </c>
      <c r="E151" s="4" t="s">
        <v>54</v>
      </c>
      <c r="G151" s="4">
        <v>150.0</v>
      </c>
      <c r="H151" s="4" t="s">
        <v>56</v>
      </c>
      <c r="I151" s="4"/>
      <c r="J151" s="4">
        <v>150.0</v>
      </c>
      <c r="K151" s="4" t="s">
        <v>68</v>
      </c>
    </row>
    <row r="152">
      <c r="A152" s="4">
        <v>151.0</v>
      </c>
      <c r="B152" s="4" t="s">
        <v>55</v>
      </c>
      <c r="D152" s="4">
        <v>151.0</v>
      </c>
      <c r="E152" s="4" t="s">
        <v>54</v>
      </c>
      <c r="G152" s="4">
        <v>151.0</v>
      </c>
      <c r="H152" s="4" t="s">
        <v>56</v>
      </c>
      <c r="I152" s="4"/>
      <c r="J152" s="4">
        <v>151.0</v>
      </c>
      <c r="K152" s="4" t="s">
        <v>68</v>
      </c>
    </row>
    <row r="153">
      <c r="A153" s="4">
        <v>152.0</v>
      </c>
      <c r="B153" s="4" t="s">
        <v>55</v>
      </c>
      <c r="D153" s="4">
        <v>152.0</v>
      </c>
      <c r="E153" s="4" t="s">
        <v>54</v>
      </c>
      <c r="G153" s="4">
        <v>152.0</v>
      </c>
      <c r="H153" s="4" t="s">
        <v>56</v>
      </c>
      <c r="I153" s="4"/>
      <c r="J153" s="4">
        <v>152.0</v>
      </c>
      <c r="K153" s="4" t="s">
        <v>68</v>
      </c>
    </row>
    <row r="154">
      <c r="A154" s="4">
        <v>153.0</v>
      </c>
      <c r="B154" s="4" t="s">
        <v>55</v>
      </c>
      <c r="D154" s="4">
        <v>153.0</v>
      </c>
      <c r="E154" s="4" t="s">
        <v>54</v>
      </c>
      <c r="G154" s="4">
        <v>153.0</v>
      </c>
      <c r="H154" s="4" t="s">
        <v>56</v>
      </c>
      <c r="I154" s="4"/>
      <c r="J154" s="4">
        <v>153.0</v>
      </c>
      <c r="K154" s="4" t="s">
        <v>68</v>
      </c>
    </row>
    <row r="155">
      <c r="A155" s="4">
        <v>154.0</v>
      </c>
      <c r="B155" s="4" t="s">
        <v>55</v>
      </c>
      <c r="D155" s="4">
        <v>154.0</v>
      </c>
      <c r="E155" s="4" t="s">
        <v>54</v>
      </c>
      <c r="G155" s="4">
        <v>154.0</v>
      </c>
      <c r="H155" s="4" t="s">
        <v>56</v>
      </c>
      <c r="I155" s="4"/>
      <c r="J155" s="4">
        <v>154.0</v>
      </c>
      <c r="K155" s="4" t="s">
        <v>68</v>
      </c>
    </row>
    <row r="156">
      <c r="A156" s="4">
        <v>155.0</v>
      </c>
      <c r="B156" s="4" t="s">
        <v>55</v>
      </c>
      <c r="D156" s="4">
        <v>155.0</v>
      </c>
      <c r="E156" s="4" t="s">
        <v>54</v>
      </c>
      <c r="G156" s="4">
        <v>155.0</v>
      </c>
      <c r="H156" s="4" t="s">
        <v>56</v>
      </c>
      <c r="I156" s="4"/>
      <c r="J156" s="4">
        <v>155.0</v>
      </c>
      <c r="K156" s="4" t="s">
        <v>68</v>
      </c>
    </row>
    <row r="157">
      <c r="A157" s="4">
        <v>156.0</v>
      </c>
      <c r="B157" s="4" t="s">
        <v>61</v>
      </c>
      <c r="D157" s="4">
        <v>156.0</v>
      </c>
      <c r="E157" s="4" t="s">
        <v>60</v>
      </c>
      <c r="G157" s="4">
        <v>156.0</v>
      </c>
      <c r="H157" s="4" t="s">
        <v>62</v>
      </c>
      <c r="I157" s="4"/>
      <c r="J157" s="4">
        <v>156.0</v>
      </c>
      <c r="K157" s="4" t="s">
        <v>74</v>
      </c>
    </row>
    <row r="158">
      <c r="A158" s="4">
        <v>157.0</v>
      </c>
      <c r="B158" s="4" t="s">
        <v>61</v>
      </c>
      <c r="D158" s="4">
        <v>157.0</v>
      </c>
      <c r="E158" s="4" t="s">
        <v>60</v>
      </c>
      <c r="G158" s="4">
        <v>157.0</v>
      </c>
      <c r="H158" s="4" t="s">
        <v>62</v>
      </c>
      <c r="I158" s="4"/>
      <c r="J158" s="4">
        <v>157.0</v>
      </c>
      <c r="K158" s="4" t="s">
        <v>74</v>
      </c>
    </row>
    <row r="159">
      <c r="A159" s="4">
        <v>158.0</v>
      </c>
      <c r="B159" s="4" t="s">
        <v>61</v>
      </c>
      <c r="D159" s="4">
        <v>158.0</v>
      </c>
      <c r="E159" s="4" t="s">
        <v>60</v>
      </c>
      <c r="G159" s="4">
        <v>158.0</v>
      </c>
      <c r="H159" s="4" t="s">
        <v>62</v>
      </c>
      <c r="I159" s="4"/>
      <c r="J159" s="4">
        <v>158.0</v>
      </c>
      <c r="K159" s="4" t="s">
        <v>74</v>
      </c>
    </row>
    <row r="160">
      <c r="A160" s="4">
        <v>159.0</v>
      </c>
      <c r="B160" s="4" t="s">
        <v>61</v>
      </c>
      <c r="D160" s="4">
        <v>159.0</v>
      </c>
      <c r="E160" s="4" t="s">
        <v>60</v>
      </c>
      <c r="G160" s="4">
        <v>159.0</v>
      </c>
      <c r="H160" s="4" t="s">
        <v>62</v>
      </c>
      <c r="I160" s="4"/>
      <c r="J160" s="4">
        <v>159.0</v>
      </c>
      <c r="K160" s="4" t="s">
        <v>74</v>
      </c>
    </row>
    <row r="161">
      <c r="A161" s="4">
        <v>160.0</v>
      </c>
      <c r="B161" s="4" t="s">
        <v>61</v>
      </c>
      <c r="D161" s="4">
        <v>160.0</v>
      </c>
      <c r="E161" s="4" t="s">
        <v>60</v>
      </c>
      <c r="G161" s="4">
        <v>160.0</v>
      </c>
      <c r="H161" s="4" t="s">
        <v>62</v>
      </c>
      <c r="I161" s="4"/>
      <c r="J161" s="4">
        <v>160.0</v>
      </c>
      <c r="K161" s="4" t="s">
        <v>74</v>
      </c>
    </row>
    <row r="162">
      <c r="A162" s="4">
        <v>161.0</v>
      </c>
      <c r="B162" s="4" t="s">
        <v>61</v>
      </c>
      <c r="D162" s="4">
        <v>161.0</v>
      </c>
      <c r="E162" s="4" t="s">
        <v>60</v>
      </c>
      <c r="G162" s="4">
        <v>161.0</v>
      </c>
      <c r="H162" s="4" t="s">
        <v>62</v>
      </c>
      <c r="I162" s="4"/>
      <c r="J162" s="4">
        <v>161.0</v>
      </c>
      <c r="K162" s="4" t="s">
        <v>74</v>
      </c>
    </row>
    <row r="163">
      <c r="A163" s="4">
        <v>162.0</v>
      </c>
      <c r="B163" s="4" t="s">
        <v>61</v>
      </c>
      <c r="D163" s="4">
        <v>162.0</v>
      </c>
      <c r="E163" s="4" t="s">
        <v>60</v>
      </c>
      <c r="G163" s="4">
        <v>162.0</v>
      </c>
      <c r="H163" s="4" t="s">
        <v>62</v>
      </c>
      <c r="I163" s="4"/>
      <c r="J163" s="4">
        <v>162.0</v>
      </c>
      <c r="K163" s="4" t="s">
        <v>74</v>
      </c>
    </row>
    <row r="164">
      <c r="A164" s="4">
        <v>163.0</v>
      </c>
      <c r="B164" s="4" t="s">
        <v>61</v>
      </c>
      <c r="D164" s="4">
        <v>163.0</v>
      </c>
      <c r="E164" s="4" t="s">
        <v>60</v>
      </c>
      <c r="G164" s="4">
        <v>163.0</v>
      </c>
      <c r="H164" s="4" t="s">
        <v>62</v>
      </c>
      <c r="I164" s="4"/>
      <c r="J164" s="4">
        <v>163.0</v>
      </c>
      <c r="K164" s="4" t="s">
        <v>74</v>
      </c>
    </row>
    <row r="165">
      <c r="A165" s="4">
        <v>164.0</v>
      </c>
      <c r="B165" s="4" t="s">
        <v>61</v>
      </c>
      <c r="D165" s="4">
        <v>164.0</v>
      </c>
      <c r="E165" s="4" t="s">
        <v>60</v>
      </c>
      <c r="G165" s="4">
        <v>164.0</v>
      </c>
      <c r="H165" s="4" t="s">
        <v>62</v>
      </c>
      <c r="I165" s="4"/>
      <c r="J165" s="4">
        <v>164.0</v>
      </c>
      <c r="K165" s="4" t="s">
        <v>74</v>
      </c>
    </row>
    <row r="166">
      <c r="A166" s="4">
        <v>165.0</v>
      </c>
      <c r="B166" s="4" t="s">
        <v>61</v>
      </c>
      <c r="D166" s="4">
        <v>165.0</v>
      </c>
      <c r="E166" s="4" t="s">
        <v>60</v>
      </c>
      <c r="G166" s="4">
        <v>165.0</v>
      </c>
      <c r="H166" s="4" t="s">
        <v>62</v>
      </c>
      <c r="I166" s="4"/>
      <c r="J166" s="4">
        <v>165.0</v>
      </c>
      <c r="K166" s="4" t="s">
        <v>74</v>
      </c>
    </row>
    <row r="167">
      <c r="A167" s="4">
        <v>166.0</v>
      </c>
      <c r="B167" s="4" t="s">
        <v>66</v>
      </c>
      <c r="D167" s="4">
        <v>166.0</v>
      </c>
      <c r="E167" s="4" t="s">
        <v>65</v>
      </c>
      <c r="G167" s="4">
        <v>166.0</v>
      </c>
      <c r="H167" s="4" t="s">
        <v>67</v>
      </c>
      <c r="I167" s="4"/>
      <c r="J167" s="4">
        <v>166.0</v>
      </c>
      <c r="K167" s="4" t="s">
        <v>78</v>
      </c>
    </row>
    <row r="168">
      <c r="A168" s="4">
        <v>167.0</v>
      </c>
      <c r="B168" s="4" t="s">
        <v>66</v>
      </c>
      <c r="D168" s="4">
        <v>167.0</v>
      </c>
      <c r="E168" s="4" t="s">
        <v>65</v>
      </c>
      <c r="G168" s="4">
        <v>167.0</v>
      </c>
      <c r="H168" s="4" t="s">
        <v>67</v>
      </c>
      <c r="I168" s="4"/>
      <c r="J168" s="4">
        <v>167.0</v>
      </c>
      <c r="K168" s="4" t="s">
        <v>78</v>
      </c>
    </row>
    <row r="169">
      <c r="A169" s="4">
        <v>168.0</v>
      </c>
      <c r="B169" s="4" t="s">
        <v>66</v>
      </c>
      <c r="D169" s="4">
        <v>168.0</v>
      </c>
      <c r="E169" s="4" t="s">
        <v>65</v>
      </c>
      <c r="G169" s="4">
        <v>168.0</v>
      </c>
      <c r="H169" s="4" t="s">
        <v>67</v>
      </c>
      <c r="I169" s="4"/>
      <c r="J169" s="4">
        <v>168.0</v>
      </c>
      <c r="K169" s="4" t="s">
        <v>78</v>
      </c>
    </row>
    <row r="170">
      <c r="A170" s="4">
        <v>169.0</v>
      </c>
      <c r="B170" s="4" t="s">
        <v>66</v>
      </c>
      <c r="D170" s="4">
        <v>169.0</v>
      </c>
      <c r="E170" s="4" t="s">
        <v>65</v>
      </c>
      <c r="G170" s="4">
        <v>169.0</v>
      </c>
      <c r="H170" s="4" t="s">
        <v>67</v>
      </c>
      <c r="I170" s="4"/>
      <c r="J170" s="4">
        <v>169.0</v>
      </c>
      <c r="K170" s="4" t="s">
        <v>78</v>
      </c>
    </row>
    <row r="171">
      <c r="A171" s="4">
        <v>170.0</v>
      </c>
      <c r="B171" s="4" t="s">
        <v>66</v>
      </c>
      <c r="D171" s="4">
        <v>170.0</v>
      </c>
      <c r="E171" s="4" t="s">
        <v>65</v>
      </c>
      <c r="G171" s="4">
        <v>170.0</v>
      </c>
      <c r="H171" s="4" t="s">
        <v>67</v>
      </c>
      <c r="I171" s="4"/>
      <c r="J171" s="4">
        <v>170.0</v>
      </c>
      <c r="K171" s="4" t="s">
        <v>78</v>
      </c>
    </row>
    <row r="172">
      <c r="A172" s="4">
        <v>171.0</v>
      </c>
      <c r="B172" s="4" t="s">
        <v>66</v>
      </c>
      <c r="D172" s="4">
        <v>171.0</v>
      </c>
      <c r="E172" s="4" t="s">
        <v>65</v>
      </c>
      <c r="G172" s="4">
        <v>171.0</v>
      </c>
      <c r="H172" s="4" t="s">
        <v>67</v>
      </c>
      <c r="I172" s="4"/>
      <c r="J172" s="4">
        <v>171.0</v>
      </c>
      <c r="K172" s="4" t="s">
        <v>78</v>
      </c>
    </row>
    <row r="173">
      <c r="A173" s="4">
        <v>172.0</v>
      </c>
      <c r="B173" s="4" t="s">
        <v>66</v>
      </c>
      <c r="D173" s="4">
        <v>172.0</v>
      </c>
      <c r="E173" s="4" t="s">
        <v>65</v>
      </c>
      <c r="G173" s="4">
        <v>172.0</v>
      </c>
      <c r="H173" s="4" t="s">
        <v>67</v>
      </c>
      <c r="I173" s="4"/>
      <c r="J173" s="4">
        <v>172.0</v>
      </c>
      <c r="K173" s="4" t="s">
        <v>78</v>
      </c>
    </row>
    <row r="174">
      <c r="A174" s="4">
        <v>173.0</v>
      </c>
      <c r="B174" s="4" t="s">
        <v>66</v>
      </c>
      <c r="D174" s="4">
        <v>173.0</v>
      </c>
      <c r="E174" s="4" t="s">
        <v>65</v>
      </c>
      <c r="G174" s="4">
        <v>173.0</v>
      </c>
      <c r="H174" s="4" t="s">
        <v>67</v>
      </c>
      <c r="I174" s="4"/>
      <c r="J174" s="4">
        <v>173.0</v>
      </c>
      <c r="K174" s="4" t="s">
        <v>78</v>
      </c>
    </row>
    <row r="175">
      <c r="A175" s="4">
        <v>174.0</v>
      </c>
      <c r="B175" s="4" t="s">
        <v>66</v>
      </c>
      <c r="D175" s="4">
        <v>174.0</v>
      </c>
      <c r="E175" s="4" t="s">
        <v>65</v>
      </c>
      <c r="G175" s="4">
        <v>174.0</v>
      </c>
      <c r="H175" s="4" t="s">
        <v>67</v>
      </c>
      <c r="I175" s="4"/>
      <c r="J175" s="4">
        <v>174.0</v>
      </c>
      <c r="K175" s="4" t="s">
        <v>78</v>
      </c>
    </row>
    <row r="176">
      <c r="A176" s="4">
        <v>175.0</v>
      </c>
      <c r="B176" s="4" t="s">
        <v>66</v>
      </c>
      <c r="D176" s="4">
        <v>175.0</v>
      </c>
      <c r="E176" s="4" t="s">
        <v>65</v>
      </c>
      <c r="G176" s="4">
        <v>175.0</v>
      </c>
      <c r="H176" s="4" t="s">
        <v>67</v>
      </c>
      <c r="I176" s="4"/>
      <c r="J176" s="4">
        <v>175.0</v>
      </c>
      <c r="K176" s="4" t="s">
        <v>78</v>
      </c>
    </row>
    <row r="177">
      <c r="A177" s="4">
        <v>176.0</v>
      </c>
      <c r="B177" s="4" t="s">
        <v>66</v>
      </c>
      <c r="D177" s="4">
        <v>176.0</v>
      </c>
      <c r="E177" s="4" t="s">
        <v>65</v>
      </c>
      <c r="G177" s="4">
        <v>176.0</v>
      </c>
      <c r="H177" s="4" t="s">
        <v>67</v>
      </c>
      <c r="I177" s="4"/>
      <c r="J177" s="4">
        <v>176.0</v>
      </c>
      <c r="K177" s="4" t="s">
        <v>78</v>
      </c>
    </row>
    <row r="178">
      <c r="A178" s="4">
        <v>177.0</v>
      </c>
      <c r="B178" s="4" t="s">
        <v>66</v>
      </c>
      <c r="D178" s="4">
        <v>177.0</v>
      </c>
      <c r="E178" s="4" t="s">
        <v>65</v>
      </c>
      <c r="G178" s="4">
        <v>177.0</v>
      </c>
      <c r="H178" s="4" t="s">
        <v>67</v>
      </c>
      <c r="I178" s="4"/>
      <c r="J178" s="4">
        <v>177.0</v>
      </c>
      <c r="K178" s="4" t="s">
        <v>78</v>
      </c>
    </row>
    <row r="179">
      <c r="A179" s="4">
        <v>178.0</v>
      </c>
      <c r="B179" s="4" t="s">
        <v>66</v>
      </c>
      <c r="D179" s="4">
        <v>178.0</v>
      </c>
      <c r="E179" s="4" t="s">
        <v>65</v>
      </c>
      <c r="G179" s="4">
        <v>178.0</v>
      </c>
      <c r="H179" s="4" t="s">
        <v>67</v>
      </c>
      <c r="I179" s="4"/>
      <c r="J179" s="4">
        <v>178.0</v>
      </c>
      <c r="K179" s="4" t="s">
        <v>78</v>
      </c>
    </row>
    <row r="180">
      <c r="A180" s="4">
        <v>179.0</v>
      </c>
      <c r="B180" s="4" t="s">
        <v>66</v>
      </c>
      <c r="D180" s="4">
        <v>179.0</v>
      </c>
      <c r="E180" s="4" t="s">
        <v>65</v>
      </c>
      <c r="G180" s="4">
        <v>179.0</v>
      </c>
      <c r="H180" s="4" t="s">
        <v>67</v>
      </c>
      <c r="I180" s="4"/>
      <c r="J180" s="4">
        <v>179.0</v>
      </c>
      <c r="K180" s="4" t="s">
        <v>78</v>
      </c>
    </row>
    <row r="181">
      <c r="A181" s="4">
        <v>180.0</v>
      </c>
      <c r="B181" s="4" t="s">
        <v>66</v>
      </c>
      <c r="D181" s="4">
        <v>180.0</v>
      </c>
      <c r="E181" s="4" t="s">
        <v>65</v>
      </c>
      <c r="G181" s="4">
        <v>180.0</v>
      </c>
      <c r="H181" s="4" t="s">
        <v>67</v>
      </c>
      <c r="I181" s="4"/>
      <c r="J181" s="4">
        <v>180.0</v>
      </c>
      <c r="K181" s="4" t="s">
        <v>78</v>
      </c>
    </row>
    <row r="182">
      <c r="A182" s="4">
        <v>181.0</v>
      </c>
      <c r="B182" s="4" t="s">
        <v>66</v>
      </c>
      <c r="D182" s="4">
        <v>181.0</v>
      </c>
      <c r="E182" s="4" t="s">
        <v>65</v>
      </c>
      <c r="G182" s="4">
        <v>181.0</v>
      </c>
      <c r="H182" s="4" t="s">
        <v>67</v>
      </c>
      <c r="I182" s="4"/>
      <c r="J182" s="4">
        <v>181.0</v>
      </c>
      <c r="K182" s="4" t="s">
        <v>78</v>
      </c>
    </row>
    <row r="183">
      <c r="A183" s="4">
        <v>182.0</v>
      </c>
      <c r="B183" s="4" t="s">
        <v>72</v>
      </c>
      <c r="D183" s="4">
        <v>182.0</v>
      </c>
      <c r="E183" s="4" t="s">
        <v>71</v>
      </c>
      <c r="G183" s="4">
        <v>182.0</v>
      </c>
      <c r="H183" s="4" t="s">
        <v>85</v>
      </c>
      <c r="I183" s="4"/>
      <c r="J183" s="4">
        <v>182.0</v>
      </c>
      <c r="K183" s="4" t="s">
        <v>84</v>
      </c>
    </row>
    <row r="184">
      <c r="A184" s="4">
        <v>183.0</v>
      </c>
      <c r="B184" s="4" t="s">
        <v>72</v>
      </c>
      <c r="D184" s="4">
        <v>183.0</v>
      </c>
      <c r="E184" s="4" t="s">
        <v>71</v>
      </c>
      <c r="G184" s="4">
        <v>183.0</v>
      </c>
      <c r="H184" s="4" t="s">
        <v>85</v>
      </c>
      <c r="I184" s="4"/>
      <c r="J184" s="4">
        <v>183.0</v>
      </c>
      <c r="K184" s="4" t="s">
        <v>84</v>
      </c>
    </row>
    <row r="185">
      <c r="A185" s="4">
        <v>184.0</v>
      </c>
      <c r="B185" s="4" t="s">
        <v>72</v>
      </c>
      <c r="D185" s="4">
        <v>184.0</v>
      </c>
      <c r="E185" s="4" t="s">
        <v>71</v>
      </c>
      <c r="G185" s="4">
        <v>184.0</v>
      </c>
      <c r="H185" s="4" t="s">
        <v>85</v>
      </c>
      <c r="I185" s="4"/>
      <c r="J185" s="4">
        <v>184.0</v>
      </c>
      <c r="K185" s="4" t="s">
        <v>84</v>
      </c>
    </row>
    <row r="186">
      <c r="A186" s="4">
        <v>185.0</v>
      </c>
      <c r="B186" s="4" t="s">
        <v>72</v>
      </c>
      <c r="D186" s="4">
        <v>185.0</v>
      </c>
      <c r="E186" s="4" t="s">
        <v>71</v>
      </c>
      <c r="G186" s="4">
        <v>185.0</v>
      </c>
      <c r="H186" s="4" t="s">
        <v>85</v>
      </c>
      <c r="I186" s="4"/>
      <c r="J186" s="4">
        <v>185.0</v>
      </c>
      <c r="K186" s="4" t="s">
        <v>84</v>
      </c>
    </row>
    <row r="187">
      <c r="A187" s="4">
        <v>186.0</v>
      </c>
      <c r="B187" s="4" t="s">
        <v>72</v>
      </c>
      <c r="D187" s="4">
        <v>186.0</v>
      </c>
      <c r="E187" s="4" t="s">
        <v>71</v>
      </c>
      <c r="G187" s="4">
        <v>186.0</v>
      </c>
      <c r="H187" s="4" t="s">
        <v>85</v>
      </c>
      <c r="I187" s="4"/>
      <c r="J187" s="4">
        <v>186.0</v>
      </c>
      <c r="K187" s="4" t="s">
        <v>84</v>
      </c>
    </row>
    <row r="188">
      <c r="A188" s="4">
        <v>187.0</v>
      </c>
      <c r="B188" s="4" t="s">
        <v>72</v>
      </c>
      <c r="D188" s="4">
        <v>187.0</v>
      </c>
      <c r="E188" s="4" t="s">
        <v>71</v>
      </c>
      <c r="G188" s="4">
        <v>187.0</v>
      </c>
      <c r="H188" s="4" t="s">
        <v>85</v>
      </c>
      <c r="I188" s="4"/>
      <c r="J188" s="4">
        <v>187.0</v>
      </c>
      <c r="K188" s="4" t="s">
        <v>84</v>
      </c>
    </row>
    <row r="189">
      <c r="A189" s="4">
        <v>188.0</v>
      </c>
      <c r="B189" s="4" t="s">
        <v>72</v>
      </c>
      <c r="D189" s="4">
        <v>188.0</v>
      </c>
      <c r="E189" s="4" t="s">
        <v>71</v>
      </c>
      <c r="G189" s="4">
        <v>188.0</v>
      </c>
      <c r="H189" s="4" t="s">
        <v>85</v>
      </c>
      <c r="I189" s="4"/>
      <c r="J189" s="4">
        <v>188.0</v>
      </c>
      <c r="K189" s="4" t="s">
        <v>84</v>
      </c>
    </row>
    <row r="190">
      <c r="A190" s="4">
        <v>189.0</v>
      </c>
      <c r="B190" s="4" t="s">
        <v>72</v>
      </c>
      <c r="D190" s="4">
        <v>189.0</v>
      </c>
      <c r="E190" s="4" t="s">
        <v>71</v>
      </c>
      <c r="G190" s="4">
        <v>189.0</v>
      </c>
      <c r="H190" s="4" t="s">
        <v>85</v>
      </c>
      <c r="I190" s="4"/>
      <c r="J190" s="4">
        <v>189.0</v>
      </c>
      <c r="K190" s="4" t="s">
        <v>84</v>
      </c>
    </row>
    <row r="191">
      <c r="A191" s="4">
        <v>190.0</v>
      </c>
      <c r="B191" s="4" t="s">
        <v>72</v>
      </c>
      <c r="D191" s="4">
        <v>190.0</v>
      </c>
      <c r="E191" s="4" t="s">
        <v>71</v>
      </c>
      <c r="G191" s="4">
        <v>190.0</v>
      </c>
      <c r="H191" s="4" t="s">
        <v>85</v>
      </c>
      <c r="I191" s="4"/>
      <c r="J191" s="4">
        <v>190.0</v>
      </c>
      <c r="K191" s="4" t="s">
        <v>84</v>
      </c>
    </row>
    <row r="192">
      <c r="A192" s="4">
        <v>191.0</v>
      </c>
      <c r="B192" s="4" t="s">
        <v>72</v>
      </c>
      <c r="D192" s="4">
        <v>191.0</v>
      </c>
      <c r="E192" s="4" t="s">
        <v>71</v>
      </c>
      <c r="G192" s="4">
        <v>191.0</v>
      </c>
      <c r="H192" s="4" t="s">
        <v>85</v>
      </c>
      <c r="I192" s="4"/>
      <c r="J192" s="4">
        <v>191.0</v>
      </c>
      <c r="K192" s="4" t="s">
        <v>84</v>
      </c>
    </row>
    <row r="193">
      <c r="A193" s="4">
        <v>192.0</v>
      </c>
      <c r="B193" s="4" t="s">
        <v>72</v>
      </c>
      <c r="D193" s="4">
        <v>192.0</v>
      </c>
      <c r="E193" s="4" t="s">
        <v>71</v>
      </c>
      <c r="G193" s="4">
        <v>192.0</v>
      </c>
      <c r="H193" s="4" t="s">
        <v>85</v>
      </c>
      <c r="I193" s="4"/>
      <c r="J193" s="4">
        <v>192.0</v>
      </c>
      <c r="K193" s="4" t="s">
        <v>84</v>
      </c>
    </row>
    <row r="194">
      <c r="A194" s="4">
        <v>193.0</v>
      </c>
      <c r="B194" s="4" t="s">
        <v>72</v>
      </c>
      <c r="D194" s="4">
        <v>193.0</v>
      </c>
      <c r="E194" s="4" t="s">
        <v>71</v>
      </c>
      <c r="G194" s="4">
        <v>193.0</v>
      </c>
      <c r="H194" s="4" t="s">
        <v>85</v>
      </c>
      <c r="I194" s="4"/>
      <c r="J194" s="4">
        <v>193.0</v>
      </c>
      <c r="K194" s="4" t="s">
        <v>84</v>
      </c>
    </row>
    <row r="195">
      <c r="A195" s="4">
        <v>194.0</v>
      </c>
      <c r="B195" s="4" t="s">
        <v>72</v>
      </c>
      <c r="D195" s="4">
        <v>194.0</v>
      </c>
      <c r="E195" s="4" t="s">
        <v>71</v>
      </c>
      <c r="G195" s="4">
        <v>194.0</v>
      </c>
      <c r="H195" s="4" t="s">
        <v>85</v>
      </c>
      <c r="I195" s="4"/>
      <c r="J195" s="4">
        <v>194.0</v>
      </c>
      <c r="K195" s="4" t="s">
        <v>84</v>
      </c>
    </row>
    <row r="196">
      <c r="A196" s="4">
        <v>195.0</v>
      </c>
      <c r="B196" s="4" t="s">
        <v>77</v>
      </c>
      <c r="D196" s="4">
        <v>195.0</v>
      </c>
      <c r="E196" s="4" t="s">
        <v>76</v>
      </c>
      <c r="G196" s="4">
        <v>195.0</v>
      </c>
      <c r="H196" s="4" t="s">
        <v>85</v>
      </c>
      <c r="I196" s="4"/>
      <c r="J196" s="4">
        <v>195.0</v>
      </c>
      <c r="K196" s="4" t="s">
        <v>84</v>
      </c>
    </row>
    <row r="197">
      <c r="A197" s="4">
        <v>196.0</v>
      </c>
      <c r="B197" s="4" t="s">
        <v>77</v>
      </c>
      <c r="D197" s="4">
        <v>196.0</v>
      </c>
      <c r="E197" s="4" t="s">
        <v>76</v>
      </c>
      <c r="G197" s="4">
        <v>196.0</v>
      </c>
      <c r="H197" s="4" t="s">
        <v>85</v>
      </c>
      <c r="I197" s="4"/>
      <c r="J197" s="4">
        <v>196.0</v>
      </c>
      <c r="K197" s="4" t="s">
        <v>84</v>
      </c>
    </row>
    <row r="198">
      <c r="A198" s="4">
        <v>197.0</v>
      </c>
      <c r="B198" s="4" t="s">
        <v>77</v>
      </c>
      <c r="D198" s="4">
        <v>197.0</v>
      </c>
      <c r="E198" s="4" t="s">
        <v>76</v>
      </c>
      <c r="G198" s="4">
        <v>197.0</v>
      </c>
      <c r="H198" s="4" t="s">
        <v>85</v>
      </c>
      <c r="I198" s="4"/>
      <c r="J198" s="4">
        <v>197.0</v>
      </c>
      <c r="K198" s="4" t="s">
        <v>84</v>
      </c>
    </row>
    <row r="199">
      <c r="A199" s="4">
        <v>198.0</v>
      </c>
      <c r="B199" s="4" t="s">
        <v>77</v>
      </c>
      <c r="D199" s="4">
        <v>198.0</v>
      </c>
      <c r="E199" s="4" t="s">
        <v>76</v>
      </c>
      <c r="G199" s="4">
        <v>198.0</v>
      </c>
      <c r="H199" s="4" t="s">
        <v>85</v>
      </c>
      <c r="I199" s="4"/>
      <c r="J199" s="4">
        <v>198.0</v>
      </c>
      <c r="K199" s="4" t="s">
        <v>84</v>
      </c>
    </row>
    <row r="200">
      <c r="A200" s="4">
        <v>199.0</v>
      </c>
      <c r="B200" s="4" t="s">
        <v>77</v>
      </c>
      <c r="D200" s="4">
        <v>199.0</v>
      </c>
      <c r="E200" s="4" t="s">
        <v>76</v>
      </c>
      <c r="G200" s="4">
        <v>199.0</v>
      </c>
      <c r="H200" s="4" t="s">
        <v>83</v>
      </c>
      <c r="I200" s="4"/>
      <c r="J200" s="4">
        <v>199.0</v>
      </c>
      <c r="K200" s="4" t="s">
        <v>90</v>
      </c>
    </row>
    <row r="201">
      <c r="A201" s="4">
        <v>200.0</v>
      </c>
      <c r="B201" s="4" t="s">
        <v>77</v>
      </c>
      <c r="D201" s="4">
        <v>200.0</v>
      </c>
      <c r="E201" s="4" t="s">
        <v>76</v>
      </c>
      <c r="G201" s="4">
        <v>200.0</v>
      </c>
      <c r="H201" s="4" t="s">
        <v>83</v>
      </c>
      <c r="I201" s="4"/>
      <c r="J201" s="4">
        <v>200.0</v>
      </c>
      <c r="K201" s="4" t="s">
        <v>90</v>
      </c>
    </row>
    <row r="202">
      <c r="A202" s="4">
        <v>201.0</v>
      </c>
      <c r="B202" s="4" t="s">
        <v>77</v>
      </c>
      <c r="D202" s="4">
        <v>201.0</v>
      </c>
      <c r="E202" s="4" t="s">
        <v>76</v>
      </c>
      <c r="G202" s="4">
        <v>201.0</v>
      </c>
      <c r="H202" s="4" t="s">
        <v>83</v>
      </c>
      <c r="I202" s="4"/>
      <c r="J202" s="4">
        <v>201.0</v>
      </c>
      <c r="K202" s="4" t="s">
        <v>90</v>
      </c>
    </row>
    <row r="203">
      <c r="A203" s="4">
        <v>202.0</v>
      </c>
      <c r="B203" s="4" t="s">
        <v>77</v>
      </c>
      <c r="D203" s="4">
        <v>202.0</v>
      </c>
      <c r="E203" s="4" t="s">
        <v>76</v>
      </c>
      <c r="G203" s="4">
        <v>202.0</v>
      </c>
      <c r="H203" s="4" t="s">
        <v>83</v>
      </c>
      <c r="I203" s="4"/>
      <c r="J203" s="4">
        <v>202.0</v>
      </c>
      <c r="K203" s="4" t="s">
        <v>90</v>
      </c>
    </row>
    <row r="204">
      <c r="A204" s="4">
        <v>203.0</v>
      </c>
      <c r="B204" s="4" t="s">
        <v>77</v>
      </c>
      <c r="D204" s="4">
        <v>203.0</v>
      </c>
      <c r="E204" s="4" t="s">
        <v>76</v>
      </c>
      <c r="G204" s="4">
        <v>203.0</v>
      </c>
      <c r="H204" s="4" t="s">
        <v>83</v>
      </c>
      <c r="I204" s="4"/>
      <c r="J204" s="4">
        <v>203.0</v>
      </c>
      <c r="K204" s="4" t="s">
        <v>90</v>
      </c>
    </row>
    <row r="205">
      <c r="A205" s="4">
        <v>204.0</v>
      </c>
      <c r="B205" s="4" t="s">
        <v>77</v>
      </c>
      <c r="D205" s="4">
        <v>204.0</v>
      </c>
      <c r="E205" s="4" t="s">
        <v>76</v>
      </c>
      <c r="G205" s="4">
        <v>204.0</v>
      </c>
      <c r="H205" s="4" t="s">
        <v>83</v>
      </c>
      <c r="I205" s="4"/>
      <c r="J205" s="4">
        <v>204.0</v>
      </c>
      <c r="K205" s="4" t="s">
        <v>90</v>
      </c>
    </row>
    <row r="206">
      <c r="A206" s="4">
        <v>205.0</v>
      </c>
      <c r="B206" s="4" t="s">
        <v>77</v>
      </c>
      <c r="D206" s="4">
        <v>205.0</v>
      </c>
      <c r="E206" s="4" t="s">
        <v>76</v>
      </c>
      <c r="G206" s="4">
        <v>205.0</v>
      </c>
      <c r="H206" s="4" t="s">
        <v>83</v>
      </c>
      <c r="I206" s="4"/>
      <c r="J206" s="4">
        <v>205.0</v>
      </c>
      <c r="K206" s="4" t="s">
        <v>90</v>
      </c>
    </row>
    <row r="207">
      <c r="A207" s="4">
        <v>206.0</v>
      </c>
      <c r="B207" s="4" t="s">
        <v>77</v>
      </c>
      <c r="D207" s="4">
        <v>206.0</v>
      </c>
      <c r="E207" s="4" t="s">
        <v>76</v>
      </c>
      <c r="G207" s="4">
        <v>206.0</v>
      </c>
      <c r="H207" s="4" t="s">
        <v>83</v>
      </c>
      <c r="I207" s="4"/>
      <c r="J207" s="4">
        <v>206.0</v>
      </c>
      <c r="K207" s="4" t="s">
        <v>90</v>
      </c>
    </row>
    <row r="208">
      <c r="A208" s="4">
        <v>207.0</v>
      </c>
      <c r="B208" s="4" t="s">
        <v>77</v>
      </c>
      <c r="D208" s="4">
        <v>207.0</v>
      </c>
      <c r="E208" s="4" t="s">
        <v>76</v>
      </c>
      <c r="G208" s="4">
        <v>207.0</v>
      </c>
      <c r="H208" s="4" t="s">
        <v>83</v>
      </c>
      <c r="I208" s="4"/>
      <c r="J208" s="4">
        <v>207.0</v>
      </c>
      <c r="K208" s="4" t="s">
        <v>90</v>
      </c>
    </row>
    <row r="209">
      <c r="A209" s="4">
        <v>208.0</v>
      </c>
      <c r="B209" s="4" t="s">
        <v>82</v>
      </c>
      <c r="D209" s="4">
        <v>208.0</v>
      </c>
      <c r="E209" s="4" t="s">
        <v>81</v>
      </c>
      <c r="G209" s="4">
        <v>208.0</v>
      </c>
      <c r="H209" s="4" t="s">
        <v>83</v>
      </c>
      <c r="I209" s="4"/>
      <c r="J209" s="4">
        <v>208.0</v>
      </c>
      <c r="K209" s="4" t="s">
        <v>90</v>
      </c>
    </row>
    <row r="210">
      <c r="A210" s="4">
        <v>209.0</v>
      </c>
      <c r="B210" s="4" t="s">
        <v>82</v>
      </c>
      <c r="D210" s="4">
        <v>209.0</v>
      </c>
      <c r="E210" s="4" t="s">
        <v>81</v>
      </c>
      <c r="G210" s="4">
        <v>209.0</v>
      </c>
      <c r="H210" s="4" t="s">
        <v>83</v>
      </c>
      <c r="I210" s="4"/>
      <c r="J210" s="4">
        <v>209.0</v>
      </c>
      <c r="K210" s="4" t="s">
        <v>90</v>
      </c>
    </row>
    <row r="211">
      <c r="A211" s="4">
        <v>210.0</v>
      </c>
      <c r="B211" s="4" t="s">
        <v>82</v>
      </c>
      <c r="D211" s="4">
        <v>210.0</v>
      </c>
      <c r="E211" s="4" t="s">
        <v>81</v>
      </c>
      <c r="G211" s="4">
        <v>210.0</v>
      </c>
      <c r="H211" s="4" t="s">
        <v>83</v>
      </c>
      <c r="I211" s="4"/>
      <c r="J211" s="4">
        <v>210.0</v>
      </c>
      <c r="K211" s="4" t="s">
        <v>90</v>
      </c>
    </row>
    <row r="212">
      <c r="A212" s="4">
        <v>211.0</v>
      </c>
      <c r="B212" s="4" t="s">
        <v>82</v>
      </c>
      <c r="D212" s="4">
        <v>211.0</v>
      </c>
      <c r="E212" s="4" t="s">
        <v>81</v>
      </c>
      <c r="G212" s="4">
        <v>211.0</v>
      </c>
      <c r="H212" s="4" t="s">
        <v>83</v>
      </c>
      <c r="I212" s="4"/>
      <c r="J212" s="4">
        <v>211.0</v>
      </c>
      <c r="K212" s="4" t="s">
        <v>90</v>
      </c>
    </row>
    <row r="213">
      <c r="A213" s="4">
        <v>212.0</v>
      </c>
      <c r="B213" s="4" t="s">
        <v>82</v>
      </c>
      <c r="D213" s="4">
        <v>212.0</v>
      </c>
      <c r="E213" s="4" t="s">
        <v>81</v>
      </c>
      <c r="G213" s="4">
        <v>212.0</v>
      </c>
      <c r="H213" s="4" t="s">
        <v>83</v>
      </c>
      <c r="I213" s="4"/>
      <c r="J213" s="4">
        <v>212.0</v>
      </c>
      <c r="K213" s="4" t="s">
        <v>90</v>
      </c>
    </row>
    <row r="214">
      <c r="A214" s="4">
        <v>213.0</v>
      </c>
      <c r="B214" s="4" t="s">
        <v>82</v>
      </c>
      <c r="D214" s="4">
        <v>213.0</v>
      </c>
      <c r="E214" s="4" t="s">
        <v>81</v>
      </c>
      <c r="G214" s="4">
        <v>213.0</v>
      </c>
      <c r="H214" s="4" t="s">
        <v>83</v>
      </c>
      <c r="I214" s="4"/>
      <c r="J214" s="4">
        <v>213.0</v>
      </c>
      <c r="K214" s="4" t="s">
        <v>90</v>
      </c>
    </row>
    <row r="215">
      <c r="A215" s="4">
        <v>214.0</v>
      </c>
      <c r="B215" s="4" t="s">
        <v>82</v>
      </c>
      <c r="D215" s="4">
        <v>214.0</v>
      </c>
      <c r="E215" s="4" t="s">
        <v>81</v>
      </c>
      <c r="G215" s="4">
        <v>214.0</v>
      </c>
      <c r="H215" s="4" t="s">
        <v>83</v>
      </c>
      <c r="I215" s="4"/>
      <c r="J215" s="4">
        <v>214.0</v>
      </c>
      <c r="K215" s="4" t="s">
        <v>90</v>
      </c>
    </row>
    <row r="216">
      <c r="A216" s="4">
        <v>215.0</v>
      </c>
      <c r="B216" s="4" t="s">
        <v>82</v>
      </c>
      <c r="D216" s="4">
        <v>215.0</v>
      </c>
      <c r="E216" s="4" t="s">
        <v>81</v>
      </c>
      <c r="G216" s="4">
        <v>215.0</v>
      </c>
      <c r="H216" s="4" t="s">
        <v>83</v>
      </c>
      <c r="I216" s="4"/>
      <c r="J216" s="4">
        <v>215.0</v>
      </c>
      <c r="K216" s="4" t="s">
        <v>90</v>
      </c>
    </row>
    <row r="217">
      <c r="A217" s="4">
        <v>216.0</v>
      </c>
      <c r="B217" s="4" t="s">
        <v>82</v>
      </c>
      <c r="D217" s="4">
        <v>216.0</v>
      </c>
      <c r="E217" s="4" t="s">
        <v>81</v>
      </c>
      <c r="G217" s="4">
        <v>216.0</v>
      </c>
      <c r="H217" s="4" t="s">
        <v>83</v>
      </c>
      <c r="I217" s="4"/>
      <c r="J217" s="4">
        <v>216.0</v>
      </c>
      <c r="K217" s="4" t="s">
        <v>90</v>
      </c>
    </row>
    <row r="218">
      <c r="A218" s="4">
        <v>217.0</v>
      </c>
      <c r="B218" s="4" t="s">
        <v>82</v>
      </c>
      <c r="D218" s="4">
        <v>217.0</v>
      </c>
      <c r="E218" s="4" t="s">
        <v>81</v>
      </c>
      <c r="G218" s="4">
        <v>217.0</v>
      </c>
      <c r="H218" s="4" t="s">
        <v>83</v>
      </c>
      <c r="I218" s="4"/>
      <c r="J218" s="4">
        <v>217.0</v>
      </c>
      <c r="K218" s="4" t="s">
        <v>90</v>
      </c>
    </row>
    <row r="219">
      <c r="A219" s="4">
        <v>218.0</v>
      </c>
      <c r="B219" s="4" t="s">
        <v>82</v>
      </c>
      <c r="D219" s="4">
        <v>218.0</v>
      </c>
      <c r="E219" s="4" t="s">
        <v>81</v>
      </c>
      <c r="G219" s="4">
        <v>218.0</v>
      </c>
      <c r="H219" s="4" t="s">
        <v>83</v>
      </c>
      <c r="I219" s="4"/>
      <c r="J219" s="4">
        <v>218.0</v>
      </c>
      <c r="K219" s="4" t="s">
        <v>90</v>
      </c>
    </row>
    <row r="220">
      <c r="A220" s="4">
        <v>219.0</v>
      </c>
      <c r="B220" s="4" t="s">
        <v>82</v>
      </c>
      <c r="D220" s="4">
        <v>219.0</v>
      </c>
      <c r="E220" s="4" t="s">
        <v>81</v>
      </c>
      <c r="G220" s="4">
        <v>219.0</v>
      </c>
      <c r="H220" s="4" t="s">
        <v>83</v>
      </c>
      <c r="I220" s="4"/>
      <c r="J220" s="4">
        <v>219.0</v>
      </c>
      <c r="K220" s="4" t="s">
        <v>90</v>
      </c>
    </row>
    <row r="221">
      <c r="A221" s="4">
        <v>220.0</v>
      </c>
      <c r="B221" s="4" t="s">
        <v>82</v>
      </c>
      <c r="D221" s="4">
        <v>220.0</v>
      </c>
      <c r="E221" s="4" t="s">
        <v>81</v>
      </c>
      <c r="G221" s="4">
        <v>220.0</v>
      </c>
      <c r="H221" s="4" t="s">
        <v>83</v>
      </c>
      <c r="I221" s="4"/>
      <c r="J221" s="4">
        <v>220.0</v>
      </c>
      <c r="K221" s="4" t="s">
        <v>90</v>
      </c>
    </row>
    <row r="222">
      <c r="A222" s="4">
        <v>221.0</v>
      </c>
      <c r="B222" s="4" t="s">
        <v>88</v>
      </c>
      <c r="D222" s="4">
        <v>221.0</v>
      </c>
      <c r="E222" s="4" t="s">
        <v>87</v>
      </c>
      <c r="G222" s="4">
        <v>221.0</v>
      </c>
      <c r="H222" s="4" t="s">
        <v>89</v>
      </c>
      <c r="I222" s="4"/>
      <c r="J222" s="4">
        <v>221.0</v>
      </c>
      <c r="K222" s="4" t="s">
        <v>95</v>
      </c>
    </row>
    <row r="223">
      <c r="A223" s="4">
        <v>222.0</v>
      </c>
      <c r="B223" s="4" t="s">
        <v>88</v>
      </c>
      <c r="D223" s="4">
        <v>222.0</v>
      </c>
      <c r="E223" s="4" t="s">
        <v>87</v>
      </c>
      <c r="G223" s="4">
        <v>222.0</v>
      </c>
      <c r="H223" s="4" t="s">
        <v>89</v>
      </c>
      <c r="I223" s="4"/>
      <c r="J223" s="4">
        <v>222.0</v>
      </c>
      <c r="K223" s="4" t="s">
        <v>95</v>
      </c>
    </row>
    <row r="224">
      <c r="A224" s="4">
        <v>223.0</v>
      </c>
      <c r="B224" s="4" t="s">
        <v>88</v>
      </c>
      <c r="D224" s="4">
        <v>223.0</v>
      </c>
      <c r="E224" s="4" t="s">
        <v>87</v>
      </c>
      <c r="G224" s="4">
        <v>223.0</v>
      </c>
      <c r="H224" s="4" t="s">
        <v>89</v>
      </c>
      <c r="I224" s="4"/>
      <c r="J224" s="4">
        <v>223.0</v>
      </c>
      <c r="K224" s="4" t="s">
        <v>95</v>
      </c>
    </row>
    <row r="225">
      <c r="A225" s="4">
        <v>224.0</v>
      </c>
      <c r="B225" s="4" t="s">
        <v>88</v>
      </c>
      <c r="D225" s="4">
        <v>224.0</v>
      </c>
      <c r="E225" s="4" t="s">
        <v>87</v>
      </c>
      <c r="G225" s="4">
        <v>224.0</v>
      </c>
      <c r="H225" s="4" t="s">
        <v>89</v>
      </c>
      <c r="I225" s="4"/>
      <c r="J225" s="4">
        <v>224.0</v>
      </c>
      <c r="K225" s="4" t="s">
        <v>95</v>
      </c>
    </row>
    <row r="226">
      <c r="A226" s="4">
        <v>225.0</v>
      </c>
      <c r="B226" s="4" t="s">
        <v>88</v>
      </c>
      <c r="D226" s="4">
        <v>225.0</v>
      </c>
      <c r="E226" s="4" t="s">
        <v>87</v>
      </c>
      <c r="G226" s="4">
        <v>225.0</v>
      </c>
      <c r="H226" s="4" t="s">
        <v>89</v>
      </c>
      <c r="I226" s="4"/>
      <c r="J226" s="4">
        <v>225.0</v>
      </c>
      <c r="K226" s="4" t="s">
        <v>95</v>
      </c>
    </row>
    <row r="227">
      <c r="A227" s="4">
        <v>226.0</v>
      </c>
      <c r="B227" s="4" t="s">
        <v>88</v>
      </c>
      <c r="D227" s="4">
        <v>226.0</v>
      </c>
      <c r="E227" s="4" t="s">
        <v>87</v>
      </c>
      <c r="G227" s="4">
        <v>226.0</v>
      </c>
      <c r="H227" s="4" t="s">
        <v>89</v>
      </c>
      <c r="I227" s="4"/>
      <c r="J227" s="4">
        <v>226.0</v>
      </c>
      <c r="K227" s="4" t="s">
        <v>95</v>
      </c>
    </row>
    <row r="228">
      <c r="A228" s="4">
        <v>227.0</v>
      </c>
      <c r="B228" s="4" t="s">
        <v>88</v>
      </c>
      <c r="D228" s="4">
        <v>227.0</v>
      </c>
      <c r="E228" s="4" t="s">
        <v>87</v>
      </c>
      <c r="G228" s="4">
        <v>227.0</v>
      </c>
      <c r="H228" s="4" t="s">
        <v>89</v>
      </c>
      <c r="I228" s="4"/>
      <c r="J228" s="4">
        <v>227.0</v>
      </c>
      <c r="K228" s="4" t="s">
        <v>95</v>
      </c>
    </row>
    <row r="229">
      <c r="A229" s="4">
        <v>228.0</v>
      </c>
      <c r="B229" s="4" t="s">
        <v>88</v>
      </c>
      <c r="D229" s="4">
        <v>228.0</v>
      </c>
      <c r="E229" s="4" t="s">
        <v>87</v>
      </c>
      <c r="G229" s="4">
        <v>228.0</v>
      </c>
      <c r="H229" s="4" t="s">
        <v>89</v>
      </c>
      <c r="I229" s="4"/>
      <c r="J229" s="4">
        <v>228.0</v>
      </c>
      <c r="K229" s="4" t="s">
        <v>95</v>
      </c>
    </row>
    <row r="230">
      <c r="A230" s="4">
        <v>229.0</v>
      </c>
      <c r="B230" s="4" t="s">
        <v>88</v>
      </c>
      <c r="D230" s="4">
        <v>229.0</v>
      </c>
      <c r="E230" s="4" t="s">
        <v>87</v>
      </c>
      <c r="G230" s="4">
        <v>229.0</v>
      </c>
      <c r="H230" s="4" t="s">
        <v>89</v>
      </c>
      <c r="I230" s="4"/>
      <c r="J230" s="4">
        <v>229.0</v>
      </c>
      <c r="K230" s="4" t="s">
        <v>95</v>
      </c>
    </row>
    <row r="231">
      <c r="A231" s="4">
        <v>230.0</v>
      </c>
      <c r="B231" s="4" t="s">
        <v>88</v>
      </c>
      <c r="D231" s="4">
        <v>230.0</v>
      </c>
      <c r="E231" s="4" t="s">
        <v>87</v>
      </c>
      <c r="G231" s="4">
        <v>230.0</v>
      </c>
      <c r="H231" s="4" t="s">
        <v>89</v>
      </c>
      <c r="I231" s="4"/>
      <c r="J231" s="4">
        <v>230.0</v>
      </c>
      <c r="K231" s="4" t="s">
        <v>95</v>
      </c>
    </row>
    <row r="232">
      <c r="A232" s="4">
        <v>231.0</v>
      </c>
      <c r="B232" s="4" t="s">
        <v>88</v>
      </c>
      <c r="D232" s="4">
        <v>231.0</v>
      </c>
      <c r="E232" s="4" t="s">
        <v>87</v>
      </c>
      <c r="G232" s="4">
        <v>231.0</v>
      </c>
      <c r="H232" s="4" t="s">
        <v>89</v>
      </c>
      <c r="I232" s="4"/>
      <c r="J232" s="4">
        <v>231.0</v>
      </c>
      <c r="K232" s="4" t="s">
        <v>95</v>
      </c>
    </row>
    <row r="233">
      <c r="A233" s="4">
        <v>232.0</v>
      </c>
      <c r="B233" s="4" t="s">
        <v>88</v>
      </c>
      <c r="D233" s="4">
        <v>232.0</v>
      </c>
      <c r="E233" s="4" t="s">
        <v>87</v>
      </c>
      <c r="G233" s="4">
        <v>232.0</v>
      </c>
      <c r="H233" s="4" t="s">
        <v>89</v>
      </c>
      <c r="I233" s="4"/>
      <c r="J233" s="4">
        <v>232.0</v>
      </c>
      <c r="K233" s="4" t="s">
        <v>95</v>
      </c>
    </row>
    <row r="234">
      <c r="A234" s="4">
        <v>233.0</v>
      </c>
      <c r="B234" s="4" t="s">
        <v>88</v>
      </c>
      <c r="D234" s="4">
        <v>233.0</v>
      </c>
      <c r="E234" s="4" t="s">
        <v>87</v>
      </c>
      <c r="G234" s="4">
        <v>233.0</v>
      </c>
      <c r="H234" s="4" t="s">
        <v>89</v>
      </c>
      <c r="I234" s="4"/>
      <c r="J234" s="4">
        <v>233.0</v>
      </c>
      <c r="K234" s="4" t="s">
        <v>95</v>
      </c>
    </row>
    <row r="235">
      <c r="A235" s="4">
        <v>234.0</v>
      </c>
      <c r="B235" s="4" t="s">
        <v>88</v>
      </c>
      <c r="D235" s="4">
        <v>234.0</v>
      </c>
      <c r="E235" s="4" t="s">
        <v>87</v>
      </c>
      <c r="G235" s="4">
        <v>234.0</v>
      </c>
      <c r="H235" s="4" t="s">
        <v>89</v>
      </c>
      <c r="I235" s="4"/>
      <c r="J235" s="4">
        <v>234.0</v>
      </c>
      <c r="K235" s="4" t="s">
        <v>95</v>
      </c>
    </row>
    <row r="236">
      <c r="A236" s="4">
        <v>235.0</v>
      </c>
      <c r="B236" s="4" t="s">
        <v>88</v>
      </c>
      <c r="D236" s="4">
        <v>235.0</v>
      </c>
      <c r="E236" s="4" t="s">
        <v>87</v>
      </c>
      <c r="G236" s="4">
        <v>235.0</v>
      </c>
      <c r="H236" s="4" t="s">
        <v>89</v>
      </c>
      <c r="I236" s="4"/>
      <c r="J236" s="4">
        <v>235.0</v>
      </c>
      <c r="K236" s="4" t="s">
        <v>95</v>
      </c>
    </row>
    <row r="237">
      <c r="A237" s="4">
        <v>236.0</v>
      </c>
      <c r="B237" s="4" t="s">
        <v>88</v>
      </c>
      <c r="D237" s="4">
        <v>236.0</v>
      </c>
      <c r="E237" s="4" t="s">
        <v>87</v>
      </c>
      <c r="G237" s="4">
        <v>236.0</v>
      </c>
      <c r="H237" s="4" t="s">
        <v>89</v>
      </c>
      <c r="I237" s="4"/>
      <c r="J237" s="4">
        <v>236.0</v>
      </c>
      <c r="K237" s="4" t="s">
        <v>95</v>
      </c>
    </row>
    <row r="238">
      <c r="A238" s="4">
        <v>237.0</v>
      </c>
      <c r="B238" s="4" t="s">
        <v>88</v>
      </c>
      <c r="D238" s="4">
        <v>237.0</v>
      </c>
      <c r="E238" s="4" t="s">
        <v>87</v>
      </c>
      <c r="G238" s="4">
        <v>237.0</v>
      </c>
      <c r="H238" s="4" t="s">
        <v>89</v>
      </c>
      <c r="I238" s="4"/>
      <c r="J238" s="4">
        <v>237.0</v>
      </c>
      <c r="K238" s="4" t="s">
        <v>95</v>
      </c>
    </row>
    <row r="239">
      <c r="A239" s="4">
        <v>238.0</v>
      </c>
      <c r="B239" s="4" t="s">
        <v>88</v>
      </c>
      <c r="D239" s="4">
        <v>238.0</v>
      </c>
      <c r="E239" s="4" t="s">
        <v>87</v>
      </c>
      <c r="G239" s="4">
        <v>238.0</v>
      </c>
      <c r="H239" s="4" t="s">
        <v>89</v>
      </c>
      <c r="I239" s="4"/>
      <c r="J239" s="4">
        <v>238.0</v>
      </c>
      <c r="K239" s="4" t="s">
        <v>95</v>
      </c>
    </row>
    <row r="240">
      <c r="A240" s="4">
        <v>239.0</v>
      </c>
      <c r="B240" s="4" t="s">
        <v>88</v>
      </c>
      <c r="D240" s="4">
        <v>239.0</v>
      </c>
      <c r="E240" s="4" t="s">
        <v>87</v>
      </c>
      <c r="G240" s="4">
        <v>239.0</v>
      </c>
      <c r="H240" s="4" t="s">
        <v>89</v>
      </c>
      <c r="I240" s="4"/>
      <c r="J240" s="4">
        <v>239.0</v>
      </c>
      <c r="K240" s="4" t="s">
        <v>95</v>
      </c>
    </row>
    <row r="241">
      <c r="A241" s="4">
        <v>240.0</v>
      </c>
      <c r="B241" s="4" t="s">
        <v>88</v>
      </c>
      <c r="D241" s="4">
        <v>240.0</v>
      </c>
      <c r="E241" s="4" t="s">
        <v>87</v>
      </c>
      <c r="G241" s="4">
        <v>240.0</v>
      </c>
      <c r="H241" s="4" t="s">
        <v>89</v>
      </c>
      <c r="I241" s="4"/>
      <c r="J241" s="4">
        <v>240.0</v>
      </c>
      <c r="K241" s="4" t="s">
        <v>95</v>
      </c>
    </row>
    <row r="242">
      <c r="A242" s="4">
        <v>241.0</v>
      </c>
      <c r="B242" s="4" t="s">
        <v>88</v>
      </c>
      <c r="D242" s="4">
        <v>241.0</v>
      </c>
      <c r="E242" s="4" t="s">
        <v>87</v>
      </c>
      <c r="G242" s="4">
        <v>241.0</v>
      </c>
      <c r="H242" s="4" t="s">
        <v>89</v>
      </c>
      <c r="I242" s="4"/>
      <c r="J242" s="4">
        <v>241.0</v>
      </c>
      <c r="K242" s="4" t="s">
        <v>95</v>
      </c>
    </row>
    <row r="243">
      <c r="A243" s="4">
        <v>242.0</v>
      </c>
      <c r="B243" s="4" t="s">
        <v>88</v>
      </c>
      <c r="D243" s="4">
        <v>242.0</v>
      </c>
      <c r="E243" s="4" t="s">
        <v>87</v>
      </c>
      <c r="G243" s="4">
        <v>242.0</v>
      </c>
      <c r="H243" s="4" t="s">
        <v>89</v>
      </c>
      <c r="I243" s="4"/>
      <c r="J243" s="4">
        <v>242.0</v>
      </c>
      <c r="K243" s="4" t="s">
        <v>95</v>
      </c>
    </row>
    <row r="244">
      <c r="A244" s="4">
        <v>243.0</v>
      </c>
      <c r="B244" s="4" t="s">
        <v>92</v>
      </c>
      <c r="D244" s="4">
        <v>243.0</v>
      </c>
      <c r="E244" s="4" t="s">
        <v>91</v>
      </c>
      <c r="G244" s="4">
        <v>243.0</v>
      </c>
      <c r="H244" s="4" t="s">
        <v>98</v>
      </c>
      <c r="I244" s="4"/>
      <c r="J244" s="4">
        <v>243.0</v>
      </c>
      <c r="K244" s="4" t="s">
        <v>99</v>
      </c>
    </row>
    <row r="245">
      <c r="A245" s="4">
        <v>244.0</v>
      </c>
      <c r="B245" s="4" t="s">
        <v>92</v>
      </c>
      <c r="D245" s="4">
        <v>244.0</v>
      </c>
      <c r="E245" s="4" t="s">
        <v>91</v>
      </c>
      <c r="G245" s="4">
        <v>244.0</v>
      </c>
      <c r="H245" s="4" t="s">
        <v>98</v>
      </c>
      <c r="I245" s="4"/>
      <c r="J245" s="4">
        <v>244.0</v>
      </c>
      <c r="K245" s="4" t="s">
        <v>99</v>
      </c>
    </row>
    <row r="246">
      <c r="A246" s="4">
        <v>245.0</v>
      </c>
      <c r="B246" s="4" t="s">
        <v>92</v>
      </c>
      <c r="D246" s="4">
        <v>245.0</v>
      </c>
      <c r="E246" s="4" t="s">
        <v>91</v>
      </c>
      <c r="G246" s="4">
        <v>245.0</v>
      </c>
      <c r="H246" s="4" t="s">
        <v>98</v>
      </c>
      <c r="I246" s="4"/>
      <c r="J246" s="4">
        <v>245.0</v>
      </c>
      <c r="K246" s="4" t="s">
        <v>99</v>
      </c>
    </row>
    <row r="247">
      <c r="A247" s="4">
        <v>246.0</v>
      </c>
      <c r="B247" s="4" t="s">
        <v>92</v>
      </c>
      <c r="D247" s="4">
        <v>246.0</v>
      </c>
      <c r="E247" s="4" t="s">
        <v>91</v>
      </c>
      <c r="G247" s="4">
        <v>246.0</v>
      </c>
      <c r="H247" s="4" t="s">
        <v>98</v>
      </c>
      <c r="I247" s="4"/>
      <c r="J247" s="4">
        <v>246.0</v>
      </c>
      <c r="K247" s="4" t="s">
        <v>99</v>
      </c>
    </row>
    <row r="248">
      <c r="A248" s="4">
        <v>247.0</v>
      </c>
      <c r="B248" s="4" t="s">
        <v>92</v>
      </c>
      <c r="D248" s="4">
        <v>247.0</v>
      </c>
      <c r="E248" s="4" t="s">
        <v>91</v>
      </c>
      <c r="G248" s="4">
        <v>247.0</v>
      </c>
      <c r="H248" s="4" t="s">
        <v>98</v>
      </c>
      <c r="I248" s="4"/>
      <c r="J248" s="4">
        <v>247.0</v>
      </c>
      <c r="K248" s="4" t="s">
        <v>99</v>
      </c>
    </row>
    <row r="249">
      <c r="A249" s="4">
        <v>248.0</v>
      </c>
      <c r="B249" s="4" t="s">
        <v>92</v>
      </c>
      <c r="D249" s="4">
        <v>248.0</v>
      </c>
      <c r="E249" s="4" t="s">
        <v>91</v>
      </c>
      <c r="G249" s="4">
        <v>248.0</v>
      </c>
      <c r="H249" s="4" t="s">
        <v>98</v>
      </c>
      <c r="I249" s="4"/>
      <c r="J249" s="4">
        <v>248.0</v>
      </c>
      <c r="K249" s="4" t="s">
        <v>99</v>
      </c>
    </row>
    <row r="250">
      <c r="A250" s="4">
        <v>249.0</v>
      </c>
      <c r="B250" s="4" t="s">
        <v>92</v>
      </c>
      <c r="D250" s="4">
        <v>249.0</v>
      </c>
      <c r="E250" s="4" t="s">
        <v>91</v>
      </c>
      <c r="G250" s="4">
        <v>249.0</v>
      </c>
      <c r="H250" s="4" t="s">
        <v>98</v>
      </c>
      <c r="I250" s="4"/>
      <c r="J250" s="4">
        <v>249.0</v>
      </c>
      <c r="K250" s="4" t="s">
        <v>99</v>
      </c>
    </row>
    <row r="251">
      <c r="A251" s="4">
        <v>250.0</v>
      </c>
      <c r="B251" s="4" t="s">
        <v>92</v>
      </c>
      <c r="D251" s="4">
        <v>250.0</v>
      </c>
      <c r="E251" s="4" t="s">
        <v>91</v>
      </c>
      <c r="G251" s="4">
        <v>250.0</v>
      </c>
      <c r="H251" s="4" t="s">
        <v>98</v>
      </c>
      <c r="I251" s="4"/>
      <c r="J251" s="4">
        <v>250.0</v>
      </c>
      <c r="K251" s="4" t="s">
        <v>99</v>
      </c>
    </row>
    <row r="252">
      <c r="A252" s="4">
        <v>251.0</v>
      </c>
      <c r="B252" s="4" t="s">
        <v>92</v>
      </c>
      <c r="D252" s="4">
        <v>251.0</v>
      </c>
      <c r="E252" s="4" t="s">
        <v>91</v>
      </c>
      <c r="G252" s="4">
        <v>251.0</v>
      </c>
      <c r="H252" s="4" t="s">
        <v>98</v>
      </c>
      <c r="I252" s="4"/>
      <c r="J252" s="4">
        <v>251.0</v>
      </c>
      <c r="K252" s="4" t="s">
        <v>99</v>
      </c>
    </row>
    <row r="253">
      <c r="A253" s="4">
        <v>252.0</v>
      </c>
      <c r="B253" s="4" t="s">
        <v>92</v>
      </c>
      <c r="D253" s="4">
        <v>252.0</v>
      </c>
      <c r="E253" s="4" t="s">
        <v>91</v>
      </c>
      <c r="G253" s="4">
        <v>252.0</v>
      </c>
      <c r="H253" s="4" t="s">
        <v>98</v>
      </c>
      <c r="I253" s="4"/>
      <c r="J253" s="4">
        <v>252.0</v>
      </c>
      <c r="K253" s="4" t="s">
        <v>99</v>
      </c>
    </row>
    <row r="254">
      <c r="A254" s="4">
        <v>253.0</v>
      </c>
      <c r="B254" s="4" t="s">
        <v>92</v>
      </c>
      <c r="D254" s="4">
        <v>253.0</v>
      </c>
      <c r="E254" s="4" t="s">
        <v>91</v>
      </c>
      <c r="G254" s="4">
        <v>253.0</v>
      </c>
      <c r="H254" s="4" t="s">
        <v>98</v>
      </c>
      <c r="I254" s="4"/>
      <c r="J254" s="4">
        <v>253.0</v>
      </c>
      <c r="K254" s="4" t="s">
        <v>99</v>
      </c>
    </row>
    <row r="255">
      <c r="A255" s="4">
        <v>254.0</v>
      </c>
      <c r="B255" s="4" t="s">
        <v>92</v>
      </c>
      <c r="D255" s="4">
        <v>254.0</v>
      </c>
      <c r="E255" s="4" t="s">
        <v>91</v>
      </c>
      <c r="G255" s="4">
        <v>254.0</v>
      </c>
      <c r="H255" s="4" t="s">
        <v>98</v>
      </c>
      <c r="I255" s="4"/>
      <c r="J255" s="4">
        <v>254.0</v>
      </c>
      <c r="K255" s="4" t="s">
        <v>99</v>
      </c>
    </row>
    <row r="256">
      <c r="A256" s="4">
        <v>255.0</v>
      </c>
      <c r="B256" s="4" t="s">
        <v>92</v>
      </c>
      <c r="D256" s="4">
        <v>255.0</v>
      </c>
      <c r="E256" s="4" t="s">
        <v>91</v>
      </c>
      <c r="G256" s="4">
        <v>255.0</v>
      </c>
      <c r="H256" s="4" t="s">
        <v>98</v>
      </c>
      <c r="I256" s="4"/>
      <c r="J256" s="4">
        <v>255.0</v>
      </c>
      <c r="K256" s="4" t="s">
        <v>99</v>
      </c>
    </row>
    <row r="257">
      <c r="A257" s="4">
        <v>256.0</v>
      </c>
      <c r="B257" s="4" t="s">
        <v>92</v>
      </c>
      <c r="D257" s="4">
        <v>256.0</v>
      </c>
      <c r="E257" s="4" t="s">
        <v>91</v>
      </c>
      <c r="G257" s="4">
        <v>256.0</v>
      </c>
      <c r="H257" s="4" t="s">
        <v>98</v>
      </c>
      <c r="I257" s="4"/>
      <c r="J257" s="4">
        <v>256.0</v>
      </c>
      <c r="K257" s="4" t="s">
        <v>99</v>
      </c>
    </row>
    <row r="258">
      <c r="A258" s="4">
        <v>257.0</v>
      </c>
      <c r="B258" s="4" t="s">
        <v>92</v>
      </c>
      <c r="D258" s="4">
        <v>257.0</v>
      </c>
      <c r="E258" s="4" t="s">
        <v>91</v>
      </c>
      <c r="G258" s="4">
        <v>257.0</v>
      </c>
      <c r="H258" s="4" t="s">
        <v>98</v>
      </c>
      <c r="I258" s="4"/>
      <c r="J258" s="4">
        <v>257.0</v>
      </c>
      <c r="K258" s="4" t="s">
        <v>99</v>
      </c>
    </row>
    <row r="259">
      <c r="A259" s="4">
        <v>258.0</v>
      </c>
      <c r="B259" s="4" t="s">
        <v>92</v>
      </c>
      <c r="D259" s="4">
        <v>258.0</v>
      </c>
      <c r="E259" s="4" t="s">
        <v>91</v>
      </c>
      <c r="G259" s="4">
        <v>258.0</v>
      </c>
      <c r="H259" s="4" t="s">
        <v>98</v>
      </c>
      <c r="I259" s="4"/>
      <c r="J259" s="4">
        <v>258.0</v>
      </c>
      <c r="K259" s="4" t="s">
        <v>99</v>
      </c>
    </row>
    <row r="260">
      <c r="A260" s="4">
        <v>259.0</v>
      </c>
      <c r="B260" s="4" t="s">
        <v>92</v>
      </c>
      <c r="D260" s="4">
        <v>259.0</v>
      </c>
      <c r="E260" s="4" t="s">
        <v>91</v>
      </c>
      <c r="G260" s="4">
        <v>259.0</v>
      </c>
      <c r="H260" s="4" t="s">
        <v>98</v>
      </c>
      <c r="I260" s="4"/>
      <c r="J260" s="4">
        <v>259.0</v>
      </c>
      <c r="K260" s="4" t="s">
        <v>99</v>
      </c>
    </row>
    <row r="261">
      <c r="A261" s="4">
        <v>260.0</v>
      </c>
      <c r="B261" s="4" t="s">
        <v>92</v>
      </c>
      <c r="D261" s="4">
        <v>260.0</v>
      </c>
      <c r="E261" s="4" t="s">
        <v>91</v>
      </c>
      <c r="G261" s="4">
        <v>260.0</v>
      </c>
      <c r="H261" s="4" t="s">
        <v>98</v>
      </c>
      <c r="I261" s="4"/>
      <c r="J261" s="4">
        <v>260.0</v>
      </c>
      <c r="K261" s="4" t="s">
        <v>99</v>
      </c>
    </row>
    <row r="262">
      <c r="A262" s="4">
        <v>261.0</v>
      </c>
      <c r="B262" s="4" t="s">
        <v>92</v>
      </c>
      <c r="D262" s="4">
        <v>261.0</v>
      </c>
      <c r="E262" s="4" t="s">
        <v>91</v>
      </c>
      <c r="G262" s="4">
        <v>261.0</v>
      </c>
      <c r="H262" s="4" t="s">
        <v>98</v>
      </c>
      <c r="I262" s="4"/>
      <c r="J262" s="4">
        <v>261.0</v>
      </c>
      <c r="K262" s="4" t="s">
        <v>99</v>
      </c>
    </row>
    <row r="263">
      <c r="A263" s="4">
        <v>262.0</v>
      </c>
      <c r="B263" s="4" t="s">
        <v>92</v>
      </c>
      <c r="D263" s="4">
        <v>262.0</v>
      </c>
      <c r="E263" s="4" t="s">
        <v>91</v>
      </c>
      <c r="G263" s="4">
        <v>262.0</v>
      </c>
      <c r="H263" s="4" t="s">
        <v>98</v>
      </c>
      <c r="I263" s="4"/>
      <c r="J263" s="4">
        <v>262.0</v>
      </c>
      <c r="K263" s="4" t="s">
        <v>99</v>
      </c>
    </row>
    <row r="264">
      <c r="A264" s="4">
        <v>263.0</v>
      </c>
      <c r="B264" s="4" t="s">
        <v>92</v>
      </c>
      <c r="D264" s="4">
        <v>263.0</v>
      </c>
      <c r="E264" s="4" t="s">
        <v>91</v>
      </c>
      <c r="G264" s="4">
        <v>263.0</v>
      </c>
      <c r="H264" s="4" t="s">
        <v>98</v>
      </c>
      <c r="I264" s="4"/>
      <c r="J264" s="4">
        <v>263.0</v>
      </c>
      <c r="K264" s="4" t="s">
        <v>99</v>
      </c>
    </row>
    <row r="265">
      <c r="A265" s="4">
        <v>264.0</v>
      </c>
      <c r="B265" s="4" t="s">
        <v>92</v>
      </c>
      <c r="D265" s="4">
        <v>264.0</v>
      </c>
      <c r="E265" s="4" t="s">
        <v>91</v>
      </c>
      <c r="G265" s="4">
        <v>264.0</v>
      </c>
      <c r="H265" s="4" t="s">
        <v>98</v>
      </c>
      <c r="I265" s="4"/>
      <c r="J265" s="4">
        <v>264.0</v>
      </c>
      <c r="K265" s="4" t="s">
        <v>99</v>
      </c>
    </row>
    <row r="266">
      <c r="A266" s="4">
        <v>265.0</v>
      </c>
      <c r="B266" s="4" t="s">
        <v>92</v>
      </c>
      <c r="D266" s="4">
        <v>265.0</v>
      </c>
      <c r="E266" s="4" t="s">
        <v>91</v>
      </c>
      <c r="G266" s="4">
        <v>265.0</v>
      </c>
      <c r="H266" s="4" t="s">
        <v>98</v>
      </c>
      <c r="I266" s="4"/>
      <c r="J266" s="4">
        <v>265.0</v>
      </c>
      <c r="K266" s="4" t="s">
        <v>99</v>
      </c>
    </row>
    <row r="267">
      <c r="A267" s="4">
        <v>266.0</v>
      </c>
      <c r="B267" s="4" t="s">
        <v>92</v>
      </c>
      <c r="D267" s="4">
        <v>266.0</v>
      </c>
      <c r="E267" s="4" t="s">
        <v>91</v>
      </c>
      <c r="G267" s="4">
        <v>266.0</v>
      </c>
      <c r="H267" s="4" t="s">
        <v>98</v>
      </c>
      <c r="I267" s="4"/>
      <c r="J267" s="4">
        <v>266.0</v>
      </c>
      <c r="K267" s="4" t="s">
        <v>99</v>
      </c>
    </row>
    <row r="268">
      <c r="A268" s="4">
        <v>267.0</v>
      </c>
      <c r="B268" s="4" t="s">
        <v>92</v>
      </c>
      <c r="D268" s="4">
        <v>267.0</v>
      </c>
      <c r="E268" s="4" t="s">
        <v>91</v>
      </c>
      <c r="G268" s="4">
        <v>267.0</v>
      </c>
      <c r="H268" s="4" t="s">
        <v>98</v>
      </c>
      <c r="I268" s="4"/>
      <c r="J268" s="4">
        <v>267.0</v>
      </c>
      <c r="K268" s="4" t="s">
        <v>99</v>
      </c>
    </row>
    <row r="269">
      <c r="A269" s="4">
        <v>268.0</v>
      </c>
      <c r="B269" s="4" t="s">
        <v>92</v>
      </c>
      <c r="D269" s="4">
        <v>268.0</v>
      </c>
      <c r="E269" s="4" t="s">
        <v>91</v>
      </c>
      <c r="G269" s="4">
        <v>268.0</v>
      </c>
      <c r="H269" s="4" t="s">
        <v>98</v>
      </c>
      <c r="I269" s="4"/>
      <c r="J269" s="4">
        <v>268.0</v>
      </c>
      <c r="K269" s="4" t="s">
        <v>99</v>
      </c>
    </row>
    <row r="270">
      <c r="A270" s="4">
        <v>269.0</v>
      </c>
      <c r="B270" s="4" t="s">
        <v>92</v>
      </c>
      <c r="D270" s="4">
        <v>269.0</v>
      </c>
      <c r="E270" s="4" t="s">
        <v>91</v>
      </c>
      <c r="G270" s="4">
        <v>269.0</v>
      </c>
      <c r="H270" s="4" t="s">
        <v>98</v>
      </c>
      <c r="I270" s="4"/>
      <c r="J270" s="4">
        <v>269.0</v>
      </c>
      <c r="K270" s="4" t="s">
        <v>99</v>
      </c>
    </row>
    <row r="271">
      <c r="A271" s="4">
        <v>270.0</v>
      </c>
      <c r="B271" s="4" t="s">
        <v>92</v>
      </c>
      <c r="D271" s="4">
        <v>270.0</v>
      </c>
      <c r="E271" s="4" t="s">
        <v>91</v>
      </c>
      <c r="G271" s="4">
        <v>270.0</v>
      </c>
      <c r="H271" s="4" t="s">
        <v>98</v>
      </c>
      <c r="I271" s="4"/>
      <c r="J271" s="4">
        <v>270.0</v>
      </c>
      <c r="K271" s="4" t="s">
        <v>99</v>
      </c>
    </row>
    <row r="272">
      <c r="A272" s="4">
        <v>271.0</v>
      </c>
      <c r="B272" s="4" t="s">
        <v>92</v>
      </c>
      <c r="D272" s="4">
        <v>271.0</v>
      </c>
      <c r="E272" s="4" t="s">
        <v>91</v>
      </c>
      <c r="G272" s="4">
        <v>271.0</v>
      </c>
      <c r="H272" s="4" t="s">
        <v>98</v>
      </c>
      <c r="I272" s="4"/>
      <c r="J272" s="4">
        <v>271.0</v>
      </c>
      <c r="K272" s="4" t="s">
        <v>99</v>
      </c>
    </row>
    <row r="273">
      <c r="A273" s="4">
        <v>272.0</v>
      </c>
      <c r="B273" s="4" t="s">
        <v>92</v>
      </c>
      <c r="D273" s="4">
        <v>272.0</v>
      </c>
      <c r="E273" s="4" t="s">
        <v>91</v>
      </c>
      <c r="G273" s="4">
        <v>272.0</v>
      </c>
      <c r="H273" s="4" t="s">
        <v>98</v>
      </c>
      <c r="I273" s="4"/>
      <c r="J273" s="4">
        <v>272.0</v>
      </c>
      <c r="K273" s="4" t="s">
        <v>99</v>
      </c>
    </row>
    <row r="274">
      <c r="A274" s="4">
        <v>273.0</v>
      </c>
      <c r="B274" s="4" t="s">
        <v>92</v>
      </c>
      <c r="D274" s="4">
        <v>273.0</v>
      </c>
      <c r="E274" s="4" t="s">
        <v>91</v>
      </c>
      <c r="G274" s="4">
        <v>273.0</v>
      </c>
      <c r="H274" s="4" t="s">
        <v>98</v>
      </c>
      <c r="I274" s="4"/>
      <c r="J274" s="4">
        <v>273.0</v>
      </c>
      <c r="K274" s="4" t="s">
        <v>99</v>
      </c>
    </row>
    <row r="275">
      <c r="A275" s="4">
        <v>274.0</v>
      </c>
      <c r="B275" s="4" t="s">
        <v>92</v>
      </c>
      <c r="D275" s="4">
        <v>274.0</v>
      </c>
      <c r="E275" s="4" t="s">
        <v>91</v>
      </c>
      <c r="G275" s="4">
        <v>274.0</v>
      </c>
      <c r="H275" s="4" t="s">
        <v>98</v>
      </c>
      <c r="I275" s="4"/>
      <c r="J275" s="4">
        <v>274.0</v>
      </c>
      <c r="K275" s="4" t="s">
        <v>99</v>
      </c>
    </row>
    <row r="276">
      <c r="A276" s="4">
        <v>275.0</v>
      </c>
      <c r="B276" s="4" t="s">
        <v>92</v>
      </c>
      <c r="D276" s="4">
        <v>275.0</v>
      </c>
      <c r="E276" s="4" t="s">
        <v>91</v>
      </c>
      <c r="G276" s="4">
        <v>275.0</v>
      </c>
      <c r="H276" s="4" t="s">
        <v>98</v>
      </c>
      <c r="I276" s="4"/>
      <c r="J276" s="4">
        <v>275.0</v>
      </c>
      <c r="K276" s="4" t="s">
        <v>99</v>
      </c>
    </row>
    <row r="277">
      <c r="A277" s="4">
        <v>276.0</v>
      </c>
      <c r="B277" s="4" t="s">
        <v>97</v>
      </c>
      <c r="D277" s="4">
        <v>276.0</v>
      </c>
      <c r="E277" s="4" t="s">
        <v>96</v>
      </c>
      <c r="G277" s="4">
        <v>276.0</v>
      </c>
      <c r="H277" s="4" t="s">
        <v>98</v>
      </c>
      <c r="I277" s="4"/>
      <c r="J277" s="4">
        <v>276.0</v>
      </c>
      <c r="K277" s="4" t="s">
        <v>99</v>
      </c>
    </row>
    <row r="278">
      <c r="A278" s="4">
        <v>277.0</v>
      </c>
      <c r="B278" s="4" t="s">
        <v>97</v>
      </c>
      <c r="D278" s="4">
        <v>277.0</v>
      </c>
      <c r="E278" s="4" t="s">
        <v>96</v>
      </c>
      <c r="G278" s="4">
        <v>277.0</v>
      </c>
      <c r="H278" s="4" t="s">
        <v>98</v>
      </c>
      <c r="I278" s="4"/>
      <c r="J278" s="4">
        <v>277.0</v>
      </c>
      <c r="K278" s="4" t="s">
        <v>99</v>
      </c>
    </row>
    <row r="279">
      <c r="A279" s="4">
        <v>278.0</v>
      </c>
      <c r="B279" s="4" t="s">
        <v>97</v>
      </c>
      <c r="D279" s="4">
        <v>278.0</v>
      </c>
      <c r="E279" s="4" t="s">
        <v>96</v>
      </c>
      <c r="G279" s="4">
        <v>278.0</v>
      </c>
      <c r="H279" s="4" t="s">
        <v>98</v>
      </c>
      <c r="I279" s="4"/>
      <c r="J279" s="4">
        <v>278.0</v>
      </c>
      <c r="K279" s="4" t="s">
        <v>99</v>
      </c>
    </row>
    <row r="280">
      <c r="A280" s="4">
        <v>279.0</v>
      </c>
      <c r="B280" s="4" t="s">
        <v>97</v>
      </c>
      <c r="D280" s="4">
        <v>279.0</v>
      </c>
      <c r="E280" s="4" t="s">
        <v>96</v>
      </c>
      <c r="G280" s="4">
        <v>279.0</v>
      </c>
      <c r="H280" s="4" t="s">
        <v>98</v>
      </c>
      <c r="I280" s="4"/>
      <c r="J280" s="4">
        <v>279.0</v>
      </c>
      <c r="K280" s="4" t="s">
        <v>99</v>
      </c>
    </row>
    <row r="281">
      <c r="A281" s="4">
        <v>280.0</v>
      </c>
      <c r="B281" s="4" t="s">
        <v>97</v>
      </c>
      <c r="D281" s="4">
        <v>280.0</v>
      </c>
      <c r="E281" s="4" t="s">
        <v>96</v>
      </c>
      <c r="G281" s="4">
        <v>280.0</v>
      </c>
      <c r="H281" s="4" t="s">
        <v>98</v>
      </c>
      <c r="I281" s="4"/>
      <c r="J281" s="4">
        <v>280.0</v>
      </c>
      <c r="K281" s="4" t="s">
        <v>99</v>
      </c>
    </row>
    <row r="282">
      <c r="A282" s="4">
        <v>281.0</v>
      </c>
      <c r="B282" s="4" t="s">
        <v>97</v>
      </c>
      <c r="D282" s="4">
        <v>281.0</v>
      </c>
      <c r="E282" s="4" t="s">
        <v>96</v>
      </c>
      <c r="G282" s="4">
        <v>281.0</v>
      </c>
      <c r="H282" s="4" t="s">
        <v>98</v>
      </c>
      <c r="I282" s="4"/>
      <c r="J282" s="4">
        <v>281.0</v>
      </c>
      <c r="K282" s="4" t="s">
        <v>99</v>
      </c>
    </row>
    <row r="283">
      <c r="A283" s="4">
        <v>282.0</v>
      </c>
      <c r="B283" s="4" t="s">
        <v>97</v>
      </c>
      <c r="D283" s="4">
        <v>282.0</v>
      </c>
      <c r="E283" s="4" t="s">
        <v>96</v>
      </c>
      <c r="G283" s="4">
        <v>282.0</v>
      </c>
      <c r="H283" s="4" t="s">
        <v>98</v>
      </c>
      <c r="I283" s="4"/>
      <c r="J283" s="4">
        <v>282.0</v>
      </c>
      <c r="K283" s="4" t="s">
        <v>99</v>
      </c>
    </row>
    <row r="284">
      <c r="A284" s="4">
        <v>283.0</v>
      </c>
      <c r="B284" s="4" t="s">
        <v>97</v>
      </c>
      <c r="D284" s="4">
        <v>283.0</v>
      </c>
      <c r="E284" s="4" t="s">
        <v>96</v>
      </c>
      <c r="G284" s="4">
        <v>283.0</v>
      </c>
      <c r="H284" s="4" t="s">
        <v>98</v>
      </c>
      <c r="I284" s="4"/>
      <c r="J284" s="4">
        <v>283.0</v>
      </c>
      <c r="K284" s="4" t="s">
        <v>99</v>
      </c>
    </row>
    <row r="285">
      <c r="A285" s="4">
        <v>284.0</v>
      </c>
      <c r="B285" s="4" t="s">
        <v>97</v>
      </c>
      <c r="D285" s="4">
        <v>284.0</v>
      </c>
      <c r="E285" s="4" t="s">
        <v>96</v>
      </c>
      <c r="G285" s="4">
        <v>284.0</v>
      </c>
      <c r="H285" s="4" t="s">
        <v>98</v>
      </c>
      <c r="I285" s="4"/>
      <c r="J285" s="4">
        <v>284.0</v>
      </c>
      <c r="K285" s="4" t="s">
        <v>99</v>
      </c>
    </row>
    <row r="286">
      <c r="A286" s="4">
        <v>285.0</v>
      </c>
      <c r="B286" s="4" t="s">
        <v>97</v>
      </c>
      <c r="D286" s="4">
        <v>285.0</v>
      </c>
      <c r="E286" s="4" t="s">
        <v>96</v>
      </c>
      <c r="G286" s="4">
        <v>285.0</v>
      </c>
      <c r="H286" s="4" t="s">
        <v>98</v>
      </c>
      <c r="I286" s="4"/>
      <c r="J286" s="4">
        <v>285.0</v>
      </c>
      <c r="K286" s="4" t="s">
        <v>99</v>
      </c>
    </row>
    <row r="287">
      <c r="A287" s="4">
        <v>286.0</v>
      </c>
      <c r="B287" s="4" t="s">
        <v>97</v>
      </c>
      <c r="D287" s="4">
        <v>286.0</v>
      </c>
      <c r="E287" s="4" t="s">
        <v>96</v>
      </c>
      <c r="G287" s="4">
        <v>286.0</v>
      </c>
      <c r="H287" s="4" t="s">
        <v>98</v>
      </c>
      <c r="I287" s="4"/>
      <c r="J287" s="4">
        <v>286.0</v>
      </c>
      <c r="K287" s="4" t="s">
        <v>99</v>
      </c>
    </row>
    <row r="288">
      <c r="A288" s="4">
        <v>287.0</v>
      </c>
      <c r="B288" s="4" t="s">
        <v>97</v>
      </c>
      <c r="D288" s="4">
        <v>287.0</v>
      </c>
      <c r="E288" s="4" t="s">
        <v>96</v>
      </c>
      <c r="G288" s="4">
        <v>287.0</v>
      </c>
      <c r="H288" s="4" t="s">
        <v>98</v>
      </c>
      <c r="I288" s="4"/>
      <c r="J288" s="4">
        <v>287.0</v>
      </c>
      <c r="K288" s="4" t="s">
        <v>99</v>
      </c>
    </row>
    <row r="289">
      <c r="A289" s="4">
        <v>288.0</v>
      </c>
      <c r="B289" s="4" t="s">
        <v>97</v>
      </c>
      <c r="D289" s="4">
        <v>288.0</v>
      </c>
      <c r="E289" s="4" t="s">
        <v>96</v>
      </c>
      <c r="G289" s="4">
        <v>288.0</v>
      </c>
      <c r="H289" s="4" t="s">
        <v>98</v>
      </c>
      <c r="I289" s="4"/>
      <c r="J289" s="4">
        <v>288.0</v>
      </c>
      <c r="K289" s="4" t="s">
        <v>99</v>
      </c>
    </row>
    <row r="290">
      <c r="A290" s="4">
        <v>289.0</v>
      </c>
      <c r="B290" s="4" t="s">
        <v>97</v>
      </c>
      <c r="D290" s="4">
        <v>289.0</v>
      </c>
      <c r="E290" s="4" t="s">
        <v>96</v>
      </c>
      <c r="G290" s="4">
        <v>289.0</v>
      </c>
      <c r="H290" s="4" t="s">
        <v>98</v>
      </c>
      <c r="I290" s="4"/>
      <c r="J290" s="4">
        <v>289.0</v>
      </c>
      <c r="K290" s="4" t="s">
        <v>99</v>
      </c>
    </row>
    <row r="291">
      <c r="A291" s="4">
        <v>290.0</v>
      </c>
      <c r="B291" s="4" t="s">
        <v>97</v>
      </c>
      <c r="D291" s="4">
        <v>290.0</v>
      </c>
      <c r="E291" s="4" t="s">
        <v>96</v>
      </c>
      <c r="G291" s="4">
        <v>290.0</v>
      </c>
      <c r="H291" s="4" t="s">
        <v>98</v>
      </c>
      <c r="I291" s="4"/>
      <c r="J291" s="4">
        <v>290.0</v>
      </c>
      <c r="K291" s="4" t="s">
        <v>99</v>
      </c>
    </row>
    <row r="292">
      <c r="A292" s="4">
        <v>291.0</v>
      </c>
      <c r="B292" s="4" t="s">
        <v>97</v>
      </c>
      <c r="D292" s="4">
        <v>291.0</v>
      </c>
      <c r="E292" s="4" t="s">
        <v>96</v>
      </c>
      <c r="G292" s="4">
        <v>291.0</v>
      </c>
      <c r="H292" s="4" t="s">
        <v>98</v>
      </c>
      <c r="I292" s="4"/>
      <c r="J292" s="4">
        <v>291.0</v>
      </c>
      <c r="K292" s="4" t="s">
        <v>99</v>
      </c>
    </row>
    <row r="293">
      <c r="A293" s="4">
        <v>292.0</v>
      </c>
      <c r="B293" s="4" t="s">
        <v>97</v>
      </c>
      <c r="D293" s="4">
        <v>292.0</v>
      </c>
      <c r="E293" s="4" t="s">
        <v>96</v>
      </c>
      <c r="G293" s="4">
        <v>292.0</v>
      </c>
      <c r="H293" s="4" t="s">
        <v>98</v>
      </c>
      <c r="I293" s="4"/>
      <c r="J293" s="4">
        <v>292.0</v>
      </c>
      <c r="K293" s="4" t="s">
        <v>99</v>
      </c>
    </row>
    <row r="294">
      <c r="A294" s="4">
        <v>293.0</v>
      </c>
      <c r="B294" s="4" t="s">
        <v>97</v>
      </c>
      <c r="D294" s="4">
        <v>293.0</v>
      </c>
      <c r="E294" s="4" t="s">
        <v>96</v>
      </c>
      <c r="G294" s="4">
        <v>293.0</v>
      </c>
      <c r="H294" s="4" t="s">
        <v>98</v>
      </c>
      <c r="I294" s="4"/>
      <c r="J294" s="4">
        <v>293.0</v>
      </c>
      <c r="K294" s="4" t="s">
        <v>99</v>
      </c>
    </row>
    <row r="295">
      <c r="A295" s="4">
        <v>294.0</v>
      </c>
      <c r="B295" s="4" t="s">
        <v>97</v>
      </c>
      <c r="D295" s="4">
        <v>294.0</v>
      </c>
      <c r="E295" s="4" t="s">
        <v>96</v>
      </c>
      <c r="G295" s="4">
        <v>294.0</v>
      </c>
      <c r="H295" s="4" t="s">
        <v>98</v>
      </c>
      <c r="I295" s="4"/>
      <c r="J295" s="4">
        <v>294.0</v>
      </c>
      <c r="K295" s="4" t="s">
        <v>99</v>
      </c>
    </row>
    <row r="296">
      <c r="A296" s="4">
        <v>295.0</v>
      </c>
      <c r="B296" s="4" t="s">
        <v>97</v>
      </c>
      <c r="D296" s="4">
        <v>295.0</v>
      </c>
      <c r="E296" s="4" t="s">
        <v>96</v>
      </c>
      <c r="G296" s="4">
        <v>295.0</v>
      </c>
      <c r="H296" s="4" t="s">
        <v>98</v>
      </c>
      <c r="I296" s="4"/>
      <c r="J296" s="4">
        <v>295.0</v>
      </c>
      <c r="K296" s="4" t="s">
        <v>99</v>
      </c>
    </row>
    <row r="297">
      <c r="A297" s="4">
        <v>296.0</v>
      </c>
      <c r="B297" s="4" t="s">
        <v>97</v>
      </c>
      <c r="D297" s="4">
        <v>296.0</v>
      </c>
      <c r="E297" s="4" t="s">
        <v>96</v>
      </c>
      <c r="G297" s="4">
        <v>296.0</v>
      </c>
      <c r="H297" s="4" t="s">
        <v>98</v>
      </c>
      <c r="I297" s="4"/>
      <c r="J297" s="4">
        <v>296.0</v>
      </c>
      <c r="K297" s="4" t="s">
        <v>99</v>
      </c>
    </row>
    <row r="298">
      <c r="A298" s="4">
        <v>297.0</v>
      </c>
      <c r="B298" s="4" t="s">
        <v>97</v>
      </c>
      <c r="D298" s="4">
        <v>297.0</v>
      </c>
      <c r="E298" s="4" t="s">
        <v>96</v>
      </c>
      <c r="G298" s="4">
        <v>297.0</v>
      </c>
      <c r="H298" s="4" t="s">
        <v>98</v>
      </c>
      <c r="I298" s="4"/>
      <c r="J298" s="4">
        <v>297.0</v>
      </c>
      <c r="K298" s="4" t="s">
        <v>99</v>
      </c>
    </row>
    <row r="299">
      <c r="A299" s="4">
        <v>298.0</v>
      </c>
      <c r="B299" s="4" t="s">
        <v>97</v>
      </c>
      <c r="D299" s="4">
        <v>298.0</v>
      </c>
      <c r="E299" s="4" t="s">
        <v>96</v>
      </c>
      <c r="G299" s="4">
        <v>298.0</v>
      </c>
      <c r="H299" s="4" t="s">
        <v>98</v>
      </c>
      <c r="I299" s="4"/>
      <c r="J299" s="4">
        <v>298.0</v>
      </c>
      <c r="K299" s="4" t="s">
        <v>99</v>
      </c>
    </row>
    <row r="300">
      <c r="A300" s="4">
        <v>299.0</v>
      </c>
      <c r="B300" s="4" t="s">
        <v>97</v>
      </c>
      <c r="D300" s="4">
        <v>299.0</v>
      </c>
      <c r="E300" s="4" t="s">
        <v>96</v>
      </c>
      <c r="G300" s="4">
        <v>299.0</v>
      </c>
      <c r="H300" s="4" t="s">
        <v>98</v>
      </c>
      <c r="I300" s="4"/>
      <c r="J300" s="4">
        <v>299.0</v>
      </c>
      <c r="K300" s="4" t="s">
        <v>99</v>
      </c>
    </row>
    <row r="301">
      <c r="A301" s="4">
        <v>300.0</v>
      </c>
      <c r="B301" s="4" t="s">
        <v>97</v>
      </c>
      <c r="D301" s="4">
        <v>300.0</v>
      </c>
      <c r="E301" s="4" t="s">
        <v>96</v>
      </c>
      <c r="G301" s="4">
        <v>300.0</v>
      </c>
      <c r="H301" s="4" t="s">
        <v>98</v>
      </c>
      <c r="I301" s="4"/>
      <c r="J301" s="4">
        <v>300.0</v>
      </c>
      <c r="K301" s="4" t="s">
        <v>99</v>
      </c>
    </row>
    <row r="302">
      <c r="A302" s="4">
        <v>301.0</v>
      </c>
      <c r="B302" s="4" t="s">
        <v>97</v>
      </c>
      <c r="D302" s="4">
        <v>301.0</v>
      </c>
      <c r="E302" s="4" t="s">
        <v>96</v>
      </c>
      <c r="G302" s="4">
        <v>301.0</v>
      </c>
      <c r="H302" s="4" t="s">
        <v>98</v>
      </c>
      <c r="I302" s="4"/>
      <c r="J302" s="4">
        <v>301.0</v>
      </c>
      <c r="K302" s="4" t="s">
        <v>99</v>
      </c>
    </row>
    <row r="303">
      <c r="A303" s="4">
        <v>302.0</v>
      </c>
      <c r="B303" s="4" t="s">
        <v>97</v>
      </c>
      <c r="D303" s="4">
        <v>302.0</v>
      </c>
      <c r="E303" s="4" t="s">
        <v>96</v>
      </c>
      <c r="G303" s="4">
        <v>302.0</v>
      </c>
      <c r="H303" s="4" t="s">
        <v>98</v>
      </c>
      <c r="I303" s="4"/>
      <c r="J303" s="4">
        <v>302.0</v>
      </c>
      <c r="K303" s="4" t="s">
        <v>99</v>
      </c>
    </row>
    <row r="304">
      <c r="A304" s="4">
        <v>303.0</v>
      </c>
      <c r="B304" s="4" t="s">
        <v>97</v>
      </c>
      <c r="D304" s="4">
        <v>303.0</v>
      </c>
      <c r="E304" s="4" t="s">
        <v>96</v>
      </c>
      <c r="G304" s="4">
        <v>303.0</v>
      </c>
      <c r="H304" s="4" t="s">
        <v>98</v>
      </c>
      <c r="I304" s="4"/>
      <c r="J304" s="4">
        <v>303.0</v>
      </c>
      <c r="K304" s="4" t="s">
        <v>99</v>
      </c>
    </row>
    <row r="305">
      <c r="A305" s="4">
        <v>304.0</v>
      </c>
      <c r="B305" s="4" t="s">
        <v>97</v>
      </c>
      <c r="D305" s="4">
        <v>304.0</v>
      </c>
      <c r="E305" s="4" t="s">
        <v>96</v>
      </c>
      <c r="G305" s="4">
        <v>304.0</v>
      </c>
      <c r="H305" s="4" t="s">
        <v>98</v>
      </c>
      <c r="I305" s="4"/>
      <c r="J305" s="4">
        <v>304.0</v>
      </c>
      <c r="K305" s="4" t="s">
        <v>99</v>
      </c>
    </row>
    <row r="306">
      <c r="A306" s="4">
        <v>305.0</v>
      </c>
      <c r="B306" s="4" t="s">
        <v>97</v>
      </c>
      <c r="D306" s="4">
        <v>305.0</v>
      </c>
      <c r="E306" s="4" t="s">
        <v>96</v>
      </c>
      <c r="G306" s="4">
        <v>305.0</v>
      </c>
      <c r="H306" s="4" t="s">
        <v>98</v>
      </c>
      <c r="I306" s="4"/>
      <c r="J306" s="4">
        <v>305.0</v>
      </c>
      <c r="K306" s="4" t="s">
        <v>99</v>
      </c>
    </row>
    <row r="307">
      <c r="A307" s="4">
        <v>306.0</v>
      </c>
      <c r="B307" s="4" t="s">
        <v>97</v>
      </c>
      <c r="D307" s="4">
        <v>306.0</v>
      </c>
      <c r="E307" s="4" t="s">
        <v>96</v>
      </c>
      <c r="G307" s="4">
        <v>306.0</v>
      </c>
      <c r="H307" s="4" t="s">
        <v>98</v>
      </c>
      <c r="I307" s="4"/>
      <c r="J307" s="4">
        <v>306.0</v>
      </c>
      <c r="K307" s="4" t="s">
        <v>99</v>
      </c>
    </row>
    <row r="308">
      <c r="A308" s="4">
        <v>307.0</v>
      </c>
      <c r="B308" s="4" t="s">
        <v>97</v>
      </c>
      <c r="D308" s="4">
        <v>307.0</v>
      </c>
      <c r="E308" s="4" t="s">
        <v>96</v>
      </c>
      <c r="G308" s="4">
        <v>307.0</v>
      </c>
      <c r="H308" s="4" t="s">
        <v>98</v>
      </c>
      <c r="I308" s="4"/>
      <c r="J308" s="4">
        <v>307.0</v>
      </c>
      <c r="K308" s="4" t="s">
        <v>99</v>
      </c>
    </row>
    <row r="309">
      <c r="A309" s="4">
        <v>308.0</v>
      </c>
      <c r="B309" s="4" t="s">
        <v>97</v>
      </c>
      <c r="D309" s="4">
        <v>308.0</v>
      </c>
      <c r="E309" s="4" t="s">
        <v>96</v>
      </c>
      <c r="G309" s="4">
        <v>308.0</v>
      </c>
      <c r="H309" s="4" t="s">
        <v>98</v>
      </c>
      <c r="I309" s="4"/>
      <c r="J309" s="4">
        <v>308.0</v>
      </c>
      <c r="K309" s="4" t="s">
        <v>99</v>
      </c>
    </row>
    <row r="310">
      <c r="A310" s="4">
        <v>309.0</v>
      </c>
      <c r="B310" s="4" t="s">
        <v>97</v>
      </c>
      <c r="D310" s="4">
        <v>309.0</v>
      </c>
      <c r="E310" s="4" t="s">
        <v>96</v>
      </c>
      <c r="G310" s="4">
        <v>309.0</v>
      </c>
      <c r="H310" s="4" t="s">
        <v>98</v>
      </c>
      <c r="I310" s="4"/>
      <c r="J310" s="4">
        <v>309.0</v>
      </c>
      <c r="K310" s="4" t="s">
        <v>99</v>
      </c>
    </row>
    <row r="311">
      <c r="A311" s="4">
        <v>310.0</v>
      </c>
      <c r="B311" s="4" t="s">
        <v>97</v>
      </c>
      <c r="D311" s="4">
        <v>310.0</v>
      </c>
      <c r="E311" s="4" t="s">
        <v>96</v>
      </c>
      <c r="G311" s="4">
        <v>310.0</v>
      </c>
      <c r="H311" s="4" t="s">
        <v>98</v>
      </c>
      <c r="I311" s="4"/>
      <c r="J311" s="4">
        <v>310.0</v>
      </c>
      <c r="K311" s="4" t="s">
        <v>99</v>
      </c>
    </row>
    <row r="312">
      <c r="A312" s="4">
        <v>311.0</v>
      </c>
      <c r="B312" s="4" t="s">
        <v>97</v>
      </c>
      <c r="D312" s="4">
        <v>311.0</v>
      </c>
      <c r="E312" s="4" t="s">
        <v>96</v>
      </c>
      <c r="G312" s="4">
        <v>311.0</v>
      </c>
      <c r="H312" s="4" t="s">
        <v>98</v>
      </c>
      <c r="I312" s="4"/>
      <c r="J312" s="4">
        <v>311.0</v>
      </c>
      <c r="K312" s="4" t="s">
        <v>99</v>
      </c>
    </row>
    <row r="313">
      <c r="A313" s="4">
        <v>312.0</v>
      </c>
      <c r="B313" s="4" t="s">
        <v>97</v>
      </c>
      <c r="D313" s="4">
        <v>312.0</v>
      </c>
      <c r="E313" s="4" t="s">
        <v>96</v>
      </c>
      <c r="G313" s="4">
        <v>312.0</v>
      </c>
      <c r="H313" s="4" t="s">
        <v>98</v>
      </c>
      <c r="I313" s="4"/>
      <c r="J313" s="4">
        <v>312.0</v>
      </c>
      <c r="K313" s="4" t="s">
        <v>99</v>
      </c>
    </row>
    <row r="314">
      <c r="A314" s="4">
        <v>313.0</v>
      </c>
      <c r="B314" s="4" t="s">
        <v>97</v>
      </c>
      <c r="D314" s="4">
        <v>313.0</v>
      </c>
      <c r="E314" s="4" t="s">
        <v>96</v>
      </c>
      <c r="G314" s="4">
        <v>313.0</v>
      </c>
      <c r="H314" s="4" t="s">
        <v>98</v>
      </c>
      <c r="I314" s="4"/>
      <c r="J314" s="4">
        <v>313.0</v>
      </c>
      <c r="K314" s="4" t="s">
        <v>99</v>
      </c>
    </row>
    <row r="315">
      <c r="A315" s="4">
        <v>314.0</v>
      </c>
      <c r="B315" s="4" t="s">
        <v>97</v>
      </c>
      <c r="D315" s="4">
        <v>314.0</v>
      </c>
      <c r="E315" s="4" t="s">
        <v>96</v>
      </c>
      <c r="G315" s="4">
        <v>314.0</v>
      </c>
      <c r="H315" s="4" t="s">
        <v>98</v>
      </c>
      <c r="I315" s="4"/>
      <c r="J315" s="4">
        <v>314.0</v>
      </c>
      <c r="K315" s="4" t="s">
        <v>99</v>
      </c>
    </row>
    <row r="316">
      <c r="A316" s="4">
        <v>315.0</v>
      </c>
      <c r="B316" s="4" t="s">
        <v>97</v>
      </c>
      <c r="D316" s="4">
        <v>315.0</v>
      </c>
      <c r="E316" s="4" t="s">
        <v>96</v>
      </c>
      <c r="G316" s="4">
        <v>315.0</v>
      </c>
      <c r="H316" s="4" t="s">
        <v>98</v>
      </c>
      <c r="I316" s="4"/>
      <c r="J316" s="4">
        <v>315.0</v>
      </c>
      <c r="K316" s="4" t="s">
        <v>99</v>
      </c>
    </row>
    <row r="317">
      <c r="A317" s="4">
        <v>316.0</v>
      </c>
      <c r="B317" s="4" t="s">
        <v>97</v>
      </c>
      <c r="D317" s="4">
        <v>316.0</v>
      </c>
      <c r="E317" s="4" t="s">
        <v>96</v>
      </c>
      <c r="G317" s="4">
        <v>316.0</v>
      </c>
      <c r="H317" s="4" t="s">
        <v>98</v>
      </c>
      <c r="I317" s="4"/>
      <c r="J317" s="4">
        <v>316.0</v>
      </c>
      <c r="K317" s="4" t="s">
        <v>99</v>
      </c>
    </row>
    <row r="318">
      <c r="A318" s="4">
        <v>317.0</v>
      </c>
      <c r="B318" s="4" t="s">
        <v>97</v>
      </c>
      <c r="D318" s="4">
        <v>317.0</v>
      </c>
      <c r="E318" s="4" t="s">
        <v>96</v>
      </c>
      <c r="G318" s="4">
        <v>317.0</v>
      </c>
      <c r="H318" s="4" t="s">
        <v>98</v>
      </c>
      <c r="I318" s="4"/>
      <c r="J318" s="4">
        <v>317.0</v>
      </c>
      <c r="K318" s="4" t="s">
        <v>99</v>
      </c>
    </row>
    <row r="319">
      <c r="A319" s="4">
        <v>318.0</v>
      </c>
      <c r="B319" s="4" t="s">
        <v>97</v>
      </c>
      <c r="D319" s="4">
        <v>318.0</v>
      </c>
      <c r="E319" s="4" t="s">
        <v>96</v>
      </c>
      <c r="G319" s="4">
        <v>318.0</v>
      </c>
      <c r="H319" s="4" t="s">
        <v>98</v>
      </c>
      <c r="I319" s="4"/>
      <c r="J319" s="4">
        <v>318.0</v>
      </c>
      <c r="K319" s="4" t="s">
        <v>99</v>
      </c>
    </row>
    <row r="320">
      <c r="A320" s="4">
        <v>319.0</v>
      </c>
      <c r="B320" s="4" t="s">
        <v>97</v>
      </c>
      <c r="D320" s="4">
        <v>319.0</v>
      </c>
      <c r="E320" s="4" t="s">
        <v>96</v>
      </c>
      <c r="G320" s="4">
        <v>319.0</v>
      </c>
      <c r="H320" s="4" t="s">
        <v>98</v>
      </c>
      <c r="I320" s="4"/>
      <c r="J320" s="4">
        <v>319.0</v>
      </c>
      <c r="K320" s="4" t="s">
        <v>99</v>
      </c>
    </row>
    <row r="321">
      <c r="A321" s="4">
        <v>320.0</v>
      </c>
      <c r="B321" s="4" t="s">
        <v>97</v>
      </c>
      <c r="D321" s="4">
        <v>320.0</v>
      </c>
      <c r="E321" s="4" t="s">
        <v>96</v>
      </c>
      <c r="G321" s="4">
        <v>320.0</v>
      </c>
      <c r="H321" s="4" t="s">
        <v>98</v>
      </c>
      <c r="I321" s="4"/>
      <c r="J321" s="4">
        <v>320.0</v>
      </c>
      <c r="K321" s="4" t="s">
        <v>99</v>
      </c>
    </row>
    <row r="322">
      <c r="A322" s="4">
        <v>321.0</v>
      </c>
      <c r="B322" s="4" t="s">
        <v>97</v>
      </c>
      <c r="D322" s="4">
        <v>321.0</v>
      </c>
      <c r="E322" s="4" t="s">
        <v>96</v>
      </c>
      <c r="G322" s="4">
        <v>321.0</v>
      </c>
      <c r="H322" s="4" t="s">
        <v>98</v>
      </c>
      <c r="I322" s="4"/>
      <c r="J322" s="4">
        <v>321.0</v>
      </c>
      <c r="K322" s="4" t="s">
        <v>99</v>
      </c>
    </row>
    <row r="323">
      <c r="A323" s="4">
        <v>322.0</v>
      </c>
      <c r="B323" s="4" t="s">
        <v>97</v>
      </c>
      <c r="D323" s="4">
        <v>322.0</v>
      </c>
      <c r="E323" s="4" t="s">
        <v>96</v>
      </c>
      <c r="G323" s="4">
        <v>322.0</v>
      </c>
      <c r="H323" s="4" t="s">
        <v>98</v>
      </c>
      <c r="I323" s="4"/>
      <c r="J323" s="4">
        <v>322.0</v>
      </c>
      <c r="K323" s="4" t="s">
        <v>99</v>
      </c>
    </row>
    <row r="324">
      <c r="A324" s="4">
        <v>323.0</v>
      </c>
      <c r="B324" s="4" t="s">
        <v>97</v>
      </c>
      <c r="D324" s="4">
        <v>323.0</v>
      </c>
      <c r="E324" s="4" t="s">
        <v>96</v>
      </c>
      <c r="G324" s="4">
        <v>323.0</v>
      </c>
      <c r="H324" s="4" t="s">
        <v>98</v>
      </c>
      <c r="I324" s="4"/>
      <c r="J324" s="4">
        <v>323.0</v>
      </c>
      <c r="K324" s="4" t="s">
        <v>99</v>
      </c>
    </row>
    <row r="325">
      <c r="A325" s="4">
        <v>324.0</v>
      </c>
      <c r="B325" s="4" t="s">
        <v>97</v>
      </c>
      <c r="D325" s="4">
        <v>324.0</v>
      </c>
      <c r="E325" s="4" t="s">
        <v>96</v>
      </c>
      <c r="G325" s="4">
        <v>324.0</v>
      </c>
      <c r="H325" s="4" t="s">
        <v>98</v>
      </c>
      <c r="I325" s="4"/>
      <c r="J325" s="4">
        <v>324.0</v>
      </c>
      <c r="K325" s="4" t="s">
        <v>99</v>
      </c>
    </row>
    <row r="326">
      <c r="A326" s="4">
        <v>325.0</v>
      </c>
      <c r="B326" s="4" t="s">
        <v>97</v>
      </c>
      <c r="D326" s="4">
        <v>325.0</v>
      </c>
      <c r="E326" s="4" t="s">
        <v>96</v>
      </c>
      <c r="G326" s="4">
        <v>325.0</v>
      </c>
      <c r="H326" s="4" t="s">
        <v>98</v>
      </c>
      <c r="I326" s="4"/>
      <c r="J326" s="4">
        <v>325.0</v>
      </c>
      <c r="K326" s="4" t="s">
        <v>99</v>
      </c>
    </row>
    <row r="327">
      <c r="A327" s="4">
        <v>326.0</v>
      </c>
      <c r="B327" s="4" t="s">
        <v>97</v>
      </c>
      <c r="D327" s="4">
        <v>326.0</v>
      </c>
      <c r="E327" s="4" t="s">
        <v>96</v>
      </c>
      <c r="G327" s="4">
        <v>326.0</v>
      </c>
      <c r="H327" s="4" t="s">
        <v>98</v>
      </c>
      <c r="I327" s="4"/>
      <c r="J327" s="4">
        <v>326.0</v>
      </c>
      <c r="K327" s="4" t="s">
        <v>99</v>
      </c>
    </row>
    <row r="328">
      <c r="A328" s="4">
        <v>327.0</v>
      </c>
      <c r="B328" s="4" t="s">
        <v>97</v>
      </c>
      <c r="D328" s="4">
        <v>327.0</v>
      </c>
      <c r="E328" s="4" t="s">
        <v>96</v>
      </c>
      <c r="G328" s="4">
        <v>327.0</v>
      </c>
      <c r="H328" s="4" t="s">
        <v>98</v>
      </c>
      <c r="I328" s="4"/>
      <c r="J328" s="4">
        <v>327.0</v>
      </c>
      <c r="K328" s="4" t="s">
        <v>99</v>
      </c>
    </row>
    <row r="329">
      <c r="A329" s="4">
        <v>328.0</v>
      </c>
      <c r="B329" s="4" t="s">
        <v>97</v>
      </c>
      <c r="D329" s="4">
        <v>328.0</v>
      </c>
      <c r="E329" s="4" t="s">
        <v>96</v>
      </c>
      <c r="G329" s="4">
        <v>328.0</v>
      </c>
      <c r="H329" s="4" t="s">
        <v>98</v>
      </c>
      <c r="I329" s="4"/>
      <c r="J329" s="4">
        <v>328.0</v>
      </c>
      <c r="K329" s="4" t="s">
        <v>99</v>
      </c>
    </row>
    <row r="330">
      <c r="A330" s="4">
        <v>329.0</v>
      </c>
      <c r="B330" s="4" t="s">
        <v>97</v>
      </c>
      <c r="D330" s="4">
        <v>329.0</v>
      </c>
      <c r="E330" s="4" t="s">
        <v>96</v>
      </c>
      <c r="G330" s="4">
        <v>329.0</v>
      </c>
      <c r="H330" s="4" t="s">
        <v>98</v>
      </c>
      <c r="I330" s="4"/>
      <c r="J330" s="4">
        <v>329.0</v>
      </c>
      <c r="K330" s="4" t="s">
        <v>99</v>
      </c>
    </row>
    <row r="331">
      <c r="A331" s="4">
        <v>330.0</v>
      </c>
      <c r="B331" s="4" t="s">
        <v>97</v>
      </c>
      <c r="D331" s="4">
        <v>330.0</v>
      </c>
      <c r="E331" s="4" t="s">
        <v>96</v>
      </c>
      <c r="G331" s="4">
        <v>330.0</v>
      </c>
      <c r="H331" s="4" t="s">
        <v>98</v>
      </c>
      <c r="I331" s="4"/>
      <c r="J331" s="4">
        <v>330.0</v>
      </c>
      <c r="K331" s="4" t="s">
        <v>99</v>
      </c>
    </row>
    <row r="332">
      <c r="A332" s="4">
        <v>331.0</v>
      </c>
      <c r="B332" s="4" t="s">
        <v>97</v>
      </c>
      <c r="D332" s="4">
        <v>331.0</v>
      </c>
      <c r="E332" s="4" t="s">
        <v>96</v>
      </c>
      <c r="G332" s="4">
        <v>331.0</v>
      </c>
      <c r="H332" s="4" t="s">
        <v>98</v>
      </c>
      <c r="I332" s="4"/>
      <c r="J332" s="4">
        <v>331.0</v>
      </c>
      <c r="K332" s="4" t="s">
        <v>99</v>
      </c>
    </row>
    <row r="333">
      <c r="A333" s="4">
        <v>332.0</v>
      </c>
      <c r="B333" s="4" t="s">
        <v>97</v>
      </c>
      <c r="D333" s="4">
        <v>332.0</v>
      </c>
      <c r="E333" s="4" t="s">
        <v>96</v>
      </c>
      <c r="G333" s="4">
        <v>332.0</v>
      </c>
      <c r="H333" s="4" t="s">
        <v>98</v>
      </c>
      <c r="I333" s="4"/>
      <c r="J333" s="4">
        <v>332.0</v>
      </c>
      <c r="K333" s="4" t="s">
        <v>99</v>
      </c>
    </row>
    <row r="334">
      <c r="A334" s="4">
        <v>333.0</v>
      </c>
      <c r="B334" s="4" t="s">
        <v>97</v>
      </c>
      <c r="D334" s="4">
        <v>333.0</v>
      </c>
      <c r="E334" s="4" t="s">
        <v>96</v>
      </c>
      <c r="G334" s="4">
        <v>333.0</v>
      </c>
      <c r="H334" s="4" t="s">
        <v>98</v>
      </c>
      <c r="I334" s="4"/>
      <c r="J334" s="4">
        <v>333.0</v>
      </c>
      <c r="K334" s="4" t="s">
        <v>99</v>
      </c>
    </row>
    <row r="335">
      <c r="A335" s="4">
        <v>334.0</v>
      </c>
      <c r="B335" s="4" t="s">
        <v>97</v>
      </c>
      <c r="D335" s="4">
        <v>334.0</v>
      </c>
      <c r="E335" s="4" t="s">
        <v>96</v>
      </c>
      <c r="G335" s="4">
        <v>334.0</v>
      </c>
      <c r="H335" s="4" t="s">
        <v>98</v>
      </c>
      <c r="I335" s="4"/>
      <c r="J335" s="4">
        <v>334.0</v>
      </c>
      <c r="K335" s="4" t="s">
        <v>99</v>
      </c>
    </row>
    <row r="336">
      <c r="A336" s="4">
        <v>335.0</v>
      </c>
      <c r="B336" s="4" t="s">
        <v>97</v>
      </c>
      <c r="D336" s="4">
        <v>335.0</v>
      </c>
      <c r="E336" s="4" t="s">
        <v>96</v>
      </c>
      <c r="G336" s="4">
        <v>335.0</v>
      </c>
      <c r="H336" s="4" t="s">
        <v>98</v>
      </c>
      <c r="I336" s="4"/>
      <c r="J336" s="4">
        <v>335.0</v>
      </c>
      <c r="K336" s="4" t="s">
        <v>99</v>
      </c>
    </row>
    <row r="337">
      <c r="A337" s="4">
        <v>336.0</v>
      </c>
      <c r="B337" s="4" t="s">
        <v>97</v>
      </c>
      <c r="D337" s="4">
        <v>336.0</v>
      </c>
      <c r="E337" s="4" t="s">
        <v>96</v>
      </c>
      <c r="G337" s="4">
        <v>336.0</v>
      </c>
      <c r="H337" s="4" t="s">
        <v>98</v>
      </c>
      <c r="I337" s="4"/>
      <c r="J337" s="4">
        <v>336.0</v>
      </c>
      <c r="K337" s="4" t="s">
        <v>99</v>
      </c>
    </row>
    <row r="338">
      <c r="A338" s="4">
        <v>337.0</v>
      </c>
      <c r="B338" s="4" t="s">
        <v>97</v>
      </c>
      <c r="D338" s="4">
        <v>337.0</v>
      </c>
      <c r="E338" s="4" t="s">
        <v>96</v>
      </c>
      <c r="G338" s="4">
        <v>337.0</v>
      </c>
      <c r="H338" s="4" t="s">
        <v>98</v>
      </c>
      <c r="I338" s="4"/>
      <c r="J338" s="4">
        <v>337.0</v>
      </c>
      <c r="K338" s="4" t="s">
        <v>99</v>
      </c>
    </row>
    <row r="339">
      <c r="A339" s="4">
        <v>338.0</v>
      </c>
      <c r="B339" s="4" t="s">
        <v>97</v>
      </c>
      <c r="D339" s="4">
        <v>338.0</v>
      </c>
      <c r="E339" s="4" t="s">
        <v>96</v>
      </c>
      <c r="G339" s="4">
        <v>338.0</v>
      </c>
      <c r="H339" s="4" t="s">
        <v>98</v>
      </c>
      <c r="I339" s="4"/>
      <c r="J339" s="4">
        <v>338.0</v>
      </c>
      <c r="K339" s="4" t="s">
        <v>99</v>
      </c>
    </row>
    <row r="340">
      <c r="A340" s="4">
        <v>339.0</v>
      </c>
      <c r="B340" s="4" t="s">
        <v>97</v>
      </c>
      <c r="D340" s="4">
        <v>339.0</v>
      </c>
      <c r="E340" s="4" t="s">
        <v>96</v>
      </c>
      <c r="G340" s="4">
        <v>339.0</v>
      </c>
      <c r="H340" s="4" t="s">
        <v>98</v>
      </c>
      <c r="I340" s="4"/>
      <c r="J340" s="4">
        <v>339.0</v>
      </c>
      <c r="K340" s="4" t="s">
        <v>99</v>
      </c>
    </row>
    <row r="341">
      <c r="A341" s="4">
        <v>340.0</v>
      </c>
      <c r="B341" s="4" t="s">
        <v>97</v>
      </c>
      <c r="D341" s="4">
        <v>340.0</v>
      </c>
      <c r="E341" s="4" t="s">
        <v>96</v>
      </c>
      <c r="G341" s="4">
        <v>340.0</v>
      </c>
      <c r="H341" s="4" t="s">
        <v>98</v>
      </c>
      <c r="I341" s="4"/>
      <c r="J341" s="4">
        <v>340.0</v>
      </c>
      <c r="K341" s="4" t="s">
        <v>99</v>
      </c>
    </row>
    <row r="342">
      <c r="A342" s="4">
        <v>341.0</v>
      </c>
      <c r="B342" s="4" t="s">
        <v>97</v>
      </c>
      <c r="D342" s="4">
        <v>341.0</v>
      </c>
      <c r="E342" s="4" t="s">
        <v>96</v>
      </c>
      <c r="G342" s="4">
        <v>341.0</v>
      </c>
      <c r="H342" s="4" t="s">
        <v>98</v>
      </c>
      <c r="I342" s="4"/>
      <c r="J342" s="4">
        <v>341.0</v>
      </c>
      <c r="K342" s="4" t="s">
        <v>99</v>
      </c>
    </row>
    <row r="343">
      <c r="A343" s="4">
        <v>342.0</v>
      </c>
      <c r="B343" s="4" t="s">
        <v>97</v>
      </c>
      <c r="D343" s="4">
        <v>342.0</v>
      </c>
      <c r="E343" s="4" t="s">
        <v>96</v>
      </c>
      <c r="G343" s="4">
        <v>342.0</v>
      </c>
      <c r="H343" s="4" t="s">
        <v>98</v>
      </c>
      <c r="I343" s="4"/>
      <c r="J343" s="4">
        <v>342.0</v>
      </c>
      <c r="K343" s="4" t="s">
        <v>99</v>
      </c>
    </row>
    <row r="344">
      <c r="A344" s="4">
        <v>343.0</v>
      </c>
      <c r="B344" s="4" t="s">
        <v>97</v>
      </c>
      <c r="D344" s="4">
        <v>343.0</v>
      </c>
      <c r="E344" s="4" t="s">
        <v>96</v>
      </c>
      <c r="G344" s="4">
        <v>343.0</v>
      </c>
      <c r="H344" s="4" t="s">
        <v>98</v>
      </c>
      <c r="I344" s="4"/>
      <c r="J344" s="4">
        <v>343.0</v>
      </c>
      <c r="K344" s="4" t="s">
        <v>99</v>
      </c>
    </row>
    <row r="345">
      <c r="A345" s="4">
        <v>344.0</v>
      </c>
      <c r="B345" s="4" t="s">
        <v>97</v>
      </c>
      <c r="D345" s="4">
        <v>344.0</v>
      </c>
      <c r="E345" s="4" t="s">
        <v>96</v>
      </c>
      <c r="G345" s="4">
        <v>344.0</v>
      </c>
      <c r="H345" s="4" t="s">
        <v>98</v>
      </c>
      <c r="I345" s="4"/>
      <c r="J345" s="4">
        <v>344.0</v>
      </c>
      <c r="K345" s="4" t="s">
        <v>99</v>
      </c>
    </row>
    <row r="346">
      <c r="A346" s="4">
        <v>345.0</v>
      </c>
      <c r="B346" s="4" t="s">
        <v>97</v>
      </c>
      <c r="D346" s="4">
        <v>345.0</v>
      </c>
      <c r="E346" s="4" t="s">
        <v>96</v>
      </c>
      <c r="G346" s="4">
        <v>345.0</v>
      </c>
      <c r="H346" s="4" t="s">
        <v>98</v>
      </c>
      <c r="I346" s="4"/>
      <c r="J346" s="4">
        <v>345.0</v>
      </c>
      <c r="K346" s="4" t="s">
        <v>99</v>
      </c>
    </row>
    <row r="347">
      <c r="A347" s="4">
        <v>346.0</v>
      </c>
      <c r="B347" s="4" t="s">
        <v>97</v>
      </c>
      <c r="D347" s="4">
        <v>346.0</v>
      </c>
      <c r="E347" s="4" t="s">
        <v>96</v>
      </c>
      <c r="G347" s="4">
        <v>346.0</v>
      </c>
      <c r="H347" s="4" t="s">
        <v>98</v>
      </c>
      <c r="I347" s="4"/>
      <c r="J347" s="4">
        <v>346.0</v>
      </c>
      <c r="K347" s="4" t="s">
        <v>99</v>
      </c>
    </row>
    <row r="348">
      <c r="A348" s="4">
        <v>347.0</v>
      </c>
      <c r="B348" s="4" t="s">
        <v>97</v>
      </c>
      <c r="D348" s="4">
        <v>347.0</v>
      </c>
      <c r="E348" s="4" t="s">
        <v>96</v>
      </c>
      <c r="G348" s="4">
        <v>347.0</v>
      </c>
      <c r="H348" s="4" t="s">
        <v>98</v>
      </c>
      <c r="I348" s="4"/>
      <c r="J348" s="4">
        <v>347.0</v>
      </c>
      <c r="K348" s="4" t="s">
        <v>99</v>
      </c>
    </row>
    <row r="349">
      <c r="A349" s="4">
        <v>348.0</v>
      </c>
      <c r="B349" s="4" t="s">
        <v>97</v>
      </c>
      <c r="D349" s="4">
        <v>348.0</v>
      </c>
      <c r="E349" s="4" t="s">
        <v>96</v>
      </c>
      <c r="G349" s="4">
        <v>348.0</v>
      </c>
      <c r="H349" s="4" t="s">
        <v>98</v>
      </c>
      <c r="I349" s="4"/>
      <c r="J349" s="4">
        <v>348.0</v>
      </c>
      <c r="K349" s="4" t="s">
        <v>99</v>
      </c>
    </row>
    <row r="350">
      <c r="A350" s="4">
        <v>349.0</v>
      </c>
      <c r="B350" s="4" t="s">
        <v>97</v>
      </c>
      <c r="D350" s="4">
        <v>349.0</v>
      </c>
      <c r="E350" s="4" t="s">
        <v>96</v>
      </c>
      <c r="G350" s="4">
        <v>349.0</v>
      </c>
      <c r="H350" s="4" t="s">
        <v>98</v>
      </c>
      <c r="I350" s="4"/>
      <c r="J350" s="4">
        <v>349.0</v>
      </c>
      <c r="K350" s="4" t="s">
        <v>99</v>
      </c>
    </row>
    <row r="351">
      <c r="A351" s="4">
        <v>350.0</v>
      </c>
      <c r="B351" s="4" t="s">
        <v>97</v>
      </c>
      <c r="D351" s="4">
        <v>350.0</v>
      </c>
      <c r="E351" s="4" t="s">
        <v>96</v>
      </c>
      <c r="G351" s="4">
        <v>350.0</v>
      </c>
      <c r="H351" s="4" t="s">
        <v>98</v>
      </c>
      <c r="I351" s="4"/>
      <c r="J351" s="4">
        <v>350.0</v>
      </c>
      <c r="K351" s="4" t="s">
        <v>99</v>
      </c>
    </row>
    <row r="352">
      <c r="A352" s="4">
        <v>351.0</v>
      </c>
      <c r="B352" s="4" t="s">
        <v>97</v>
      </c>
      <c r="D352" s="4">
        <v>351.0</v>
      </c>
      <c r="E352" s="4" t="s">
        <v>96</v>
      </c>
      <c r="G352" s="4">
        <v>351.0</v>
      </c>
      <c r="H352" s="4" t="s">
        <v>98</v>
      </c>
      <c r="I352" s="4"/>
      <c r="J352" s="4">
        <v>351.0</v>
      </c>
      <c r="K352" s="4" t="s">
        <v>99</v>
      </c>
    </row>
    <row r="353">
      <c r="A353" s="4">
        <v>352.0</v>
      </c>
      <c r="B353" s="4" t="s">
        <v>97</v>
      </c>
      <c r="D353" s="4">
        <v>352.0</v>
      </c>
      <c r="E353" s="4" t="s">
        <v>96</v>
      </c>
      <c r="G353" s="4">
        <v>352.0</v>
      </c>
      <c r="H353" s="4" t="s">
        <v>98</v>
      </c>
      <c r="I353" s="4"/>
      <c r="J353" s="4">
        <v>352.0</v>
      </c>
      <c r="K353" s="4" t="s">
        <v>99</v>
      </c>
    </row>
    <row r="354">
      <c r="A354" s="4">
        <v>353.0</v>
      </c>
      <c r="B354" s="4" t="s">
        <v>97</v>
      </c>
      <c r="D354" s="4">
        <v>353.0</v>
      </c>
      <c r="E354" s="4" t="s">
        <v>96</v>
      </c>
      <c r="G354" s="4">
        <v>353.0</v>
      </c>
      <c r="H354" s="4" t="s">
        <v>98</v>
      </c>
      <c r="I354" s="4"/>
      <c r="J354" s="4">
        <v>353.0</v>
      </c>
      <c r="K354" s="4" t="s">
        <v>99</v>
      </c>
    </row>
    <row r="355">
      <c r="A355" s="4">
        <v>354.0</v>
      </c>
      <c r="B355" s="4" t="s">
        <v>97</v>
      </c>
      <c r="D355" s="4">
        <v>354.0</v>
      </c>
      <c r="E355" s="4" t="s">
        <v>96</v>
      </c>
      <c r="G355" s="4">
        <v>354.0</v>
      </c>
      <c r="H355" s="4" t="s">
        <v>98</v>
      </c>
      <c r="I355" s="4"/>
      <c r="J355" s="4">
        <v>354.0</v>
      </c>
      <c r="K355" s="4" t="s">
        <v>99</v>
      </c>
    </row>
    <row r="356">
      <c r="A356" s="4">
        <v>355.0</v>
      </c>
      <c r="B356" s="4" t="s">
        <v>97</v>
      </c>
      <c r="D356" s="4">
        <v>355.0</v>
      </c>
      <c r="E356" s="4" t="s">
        <v>96</v>
      </c>
      <c r="G356" s="4">
        <v>355.0</v>
      </c>
      <c r="H356" s="4" t="s">
        <v>98</v>
      </c>
      <c r="I356" s="4"/>
      <c r="J356" s="4">
        <v>355.0</v>
      </c>
      <c r="K356" s="4" t="s">
        <v>99</v>
      </c>
    </row>
    <row r="357">
      <c r="A357" s="4">
        <v>356.0</v>
      </c>
      <c r="B357" s="4" t="s">
        <v>97</v>
      </c>
      <c r="D357" s="4">
        <v>356.0</v>
      </c>
      <c r="E357" s="4" t="s">
        <v>96</v>
      </c>
      <c r="G357" s="4">
        <v>356.0</v>
      </c>
      <c r="H357" s="4" t="s">
        <v>98</v>
      </c>
      <c r="I357" s="4"/>
      <c r="J357" s="4">
        <v>356.0</v>
      </c>
      <c r="K357" s="4" t="s">
        <v>99</v>
      </c>
    </row>
    <row r="358">
      <c r="A358" s="4">
        <v>357.0</v>
      </c>
      <c r="B358" s="4" t="s">
        <v>97</v>
      </c>
      <c r="D358" s="4">
        <v>357.0</v>
      </c>
      <c r="E358" s="4" t="s">
        <v>96</v>
      </c>
      <c r="G358" s="4">
        <v>357.0</v>
      </c>
      <c r="H358" s="4" t="s">
        <v>98</v>
      </c>
      <c r="I358" s="4"/>
      <c r="J358" s="4">
        <v>357.0</v>
      </c>
      <c r="K358" s="4" t="s">
        <v>99</v>
      </c>
    </row>
    <row r="359">
      <c r="A359" s="4">
        <v>358.0</v>
      </c>
      <c r="B359" s="4" t="s">
        <v>97</v>
      </c>
      <c r="D359" s="4">
        <v>358.0</v>
      </c>
      <c r="E359" s="4" t="s">
        <v>96</v>
      </c>
      <c r="G359" s="4">
        <v>358.0</v>
      </c>
      <c r="H359" s="4" t="s">
        <v>98</v>
      </c>
      <c r="I359" s="4"/>
      <c r="J359" s="4">
        <v>358.0</v>
      </c>
      <c r="K359" s="4" t="s">
        <v>99</v>
      </c>
    </row>
    <row r="360">
      <c r="A360" s="4">
        <v>359.0</v>
      </c>
      <c r="B360" s="4" t="s">
        <v>97</v>
      </c>
      <c r="D360" s="4">
        <v>359.0</v>
      </c>
      <c r="E360" s="4" t="s">
        <v>96</v>
      </c>
      <c r="G360" s="4">
        <v>359.0</v>
      </c>
      <c r="H360" s="4" t="s">
        <v>98</v>
      </c>
      <c r="I360" s="4"/>
      <c r="J360" s="4">
        <v>359.0</v>
      </c>
      <c r="K360" s="4" t="s">
        <v>99</v>
      </c>
    </row>
    <row r="361">
      <c r="A361" s="4">
        <v>360.0</v>
      </c>
      <c r="B361" s="4" t="s">
        <v>97</v>
      </c>
      <c r="D361" s="4">
        <v>360.0</v>
      </c>
      <c r="E361" s="4" t="s">
        <v>96</v>
      </c>
      <c r="G361" s="4">
        <v>360.0</v>
      </c>
      <c r="H361" s="4" t="s">
        <v>98</v>
      </c>
      <c r="I361" s="4"/>
      <c r="J361" s="4">
        <v>360.0</v>
      </c>
      <c r="K361" s="4" t="s">
        <v>99</v>
      </c>
    </row>
    <row r="362">
      <c r="A362" s="4">
        <v>361.0</v>
      </c>
      <c r="B362" s="4" t="s">
        <v>97</v>
      </c>
      <c r="D362" s="4">
        <v>361.0</v>
      </c>
      <c r="E362" s="4" t="s">
        <v>96</v>
      </c>
      <c r="G362" s="4">
        <v>361.0</v>
      </c>
      <c r="H362" s="4" t="s">
        <v>98</v>
      </c>
      <c r="I362" s="4"/>
      <c r="J362" s="4">
        <v>361.0</v>
      </c>
      <c r="K362" s="4" t="s">
        <v>99</v>
      </c>
    </row>
    <row r="363">
      <c r="A363" s="4">
        <v>362.0</v>
      </c>
      <c r="B363" s="4" t="s">
        <v>97</v>
      </c>
      <c r="D363" s="4">
        <v>362.0</v>
      </c>
      <c r="E363" s="4" t="s">
        <v>96</v>
      </c>
      <c r="G363" s="4">
        <v>362.0</v>
      </c>
      <c r="H363" s="4" t="s">
        <v>98</v>
      </c>
      <c r="I363" s="4"/>
      <c r="J363" s="4">
        <v>362.0</v>
      </c>
      <c r="K363" s="4" t="s">
        <v>99</v>
      </c>
    </row>
    <row r="364">
      <c r="A364" s="4">
        <v>363.0</v>
      </c>
      <c r="B364" s="4" t="s">
        <v>97</v>
      </c>
      <c r="D364" s="4">
        <v>363.0</v>
      </c>
      <c r="E364" s="4" t="s">
        <v>96</v>
      </c>
      <c r="G364" s="4">
        <v>363.0</v>
      </c>
      <c r="H364" s="4" t="s">
        <v>98</v>
      </c>
      <c r="I364" s="4"/>
      <c r="J364" s="4">
        <v>363.0</v>
      </c>
      <c r="K364" s="4" t="s">
        <v>99</v>
      </c>
    </row>
    <row r="365">
      <c r="A365" s="4">
        <v>364.0</v>
      </c>
      <c r="B365" s="4" t="s">
        <v>97</v>
      </c>
      <c r="D365" s="4">
        <v>364.0</v>
      </c>
      <c r="E365" s="4" t="s">
        <v>96</v>
      </c>
      <c r="G365" s="4">
        <v>364.0</v>
      </c>
      <c r="H365" s="4" t="s">
        <v>98</v>
      </c>
      <c r="I365" s="4"/>
      <c r="J365" s="4">
        <v>364.0</v>
      </c>
      <c r="K365" s="4" t="s">
        <v>99</v>
      </c>
    </row>
    <row r="366">
      <c r="A366" s="4">
        <v>365.0</v>
      </c>
      <c r="B366" s="4" t="s">
        <v>97</v>
      </c>
      <c r="D366" s="4">
        <v>365.0</v>
      </c>
      <c r="E366" s="4" t="s">
        <v>96</v>
      </c>
      <c r="G366" s="4">
        <v>365.0</v>
      </c>
      <c r="H366" s="4" t="s">
        <v>98</v>
      </c>
      <c r="I366" s="4"/>
      <c r="J366" s="4">
        <v>365.0</v>
      </c>
      <c r="K366" s="4" t="s">
        <v>99</v>
      </c>
    </row>
    <row r="367">
      <c r="A367" s="4">
        <v>366.0</v>
      </c>
      <c r="B367" s="4" t="s">
        <v>97</v>
      </c>
      <c r="D367" s="4">
        <v>366.0</v>
      </c>
      <c r="E367" s="4" t="s">
        <v>96</v>
      </c>
      <c r="G367" s="4">
        <v>366.0</v>
      </c>
      <c r="H367" s="4" t="s">
        <v>98</v>
      </c>
      <c r="I367" s="4"/>
      <c r="J367" s="4">
        <v>366.0</v>
      </c>
      <c r="K367" s="4" t="s">
        <v>99</v>
      </c>
    </row>
    <row r="368">
      <c r="A368" s="4">
        <v>367.0</v>
      </c>
      <c r="B368" s="4" t="s">
        <v>97</v>
      </c>
      <c r="D368" s="4">
        <v>367.0</v>
      </c>
      <c r="E368" s="4" t="s">
        <v>96</v>
      </c>
      <c r="G368" s="4">
        <v>367.0</v>
      </c>
      <c r="H368" s="4" t="s">
        <v>98</v>
      </c>
      <c r="I368" s="4"/>
      <c r="J368" s="4">
        <v>367.0</v>
      </c>
      <c r="K368" s="4" t="s">
        <v>99</v>
      </c>
    </row>
    <row r="369">
      <c r="A369" s="4">
        <v>368.0</v>
      </c>
      <c r="B369" s="4" t="s">
        <v>97</v>
      </c>
      <c r="D369" s="4">
        <v>368.0</v>
      </c>
      <c r="E369" s="4" t="s">
        <v>96</v>
      </c>
      <c r="G369" s="4">
        <v>368.0</v>
      </c>
      <c r="H369" s="4" t="s">
        <v>98</v>
      </c>
      <c r="I369" s="4"/>
      <c r="J369" s="4">
        <v>368.0</v>
      </c>
      <c r="K369" s="4" t="s">
        <v>99</v>
      </c>
    </row>
    <row r="370">
      <c r="A370" s="4">
        <v>369.0</v>
      </c>
      <c r="B370" s="4" t="s">
        <v>97</v>
      </c>
      <c r="D370" s="4">
        <v>369.0</v>
      </c>
      <c r="E370" s="4" t="s">
        <v>96</v>
      </c>
      <c r="G370" s="4">
        <v>369.0</v>
      </c>
      <c r="H370" s="4" t="s">
        <v>98</v>
      </c>
      <c r="I370" s="4"/>
      <c r="J370" s="4">
        <v>369.0</v>
      </c>
      <c r="K370" s="4" t="s">
        <v>99</v>
      </c>
    </row>
    <row r="371">
      <c r="A371" s="4">
        <v>370.0</v>
      </c>
      <c r="B371" s="4" t="s">
        <v>97</v>
      </c>
      <c r="D371" s="4">
        <v>370.0</v>
      </c>
      <c r="E371" s="4" t="s">
        <v>96</v>
      </c>
      <c r="G371" s="4">
        <v>370.0</v>
      </c>
      <c r="H371" s="4" t="s">
        <v>98</v>
      </c>
      <c r="I371" s="4"/>
      <c r="J371" s="4">
        <v>370.0</v>
      </c>
      <c r="K371" s="4" t="s">
        <v>99</v>
      </c>
    </row>
    <row r="372">
      <c r="A372" s="4">
        <v>371.0</v>
      </c>
      <c r="B372" s="4" t="s">
        <v>97</v>
      </c>
      <c r="D372" s="4">
        <v>371.0</v>
      </c>
      <c r="E372" s="4" t="s">
        <v>96</v>
      </c>
      <c r="G372" s="4">
        <v>371.0</v>
      </c>
      <c r="H372" s="4" t="s">
        <v>98</v>
      </c>
      <c r="I372" s="4"/>
      <c r="J372" s="4">
        <v>371.0</v>
      </c>
      <c r="K372" s="4" t="s">
        <v>99</v>
      </c>
    </row>
    <row r="373">
      <c r="A373" s="4">
        <v>372.0</v>
      </c>
      <c r="B373" s="4" t="s">
        <v>97</v>
      </c>
      <c r="D373" s="4">
        <v>372.0</v>
      </c>
      <c r="E373" s="4" t="s">
        <v>96</v>
      </c>
      <c r="G373" s="4">
        <v>372.0</v>
      </c>
      <c r="H373" s="4" t="s">
        <v>98</v>
      </c>
      <c r="I373" s="4"/>
      <c r="J373" s="4">
        <v>372.0</v>
      </c>
      <c r="K373" s="4" t="s">
        <v>99</v>
      </c>
    </row>
    <row r="374">
      <c r="A374" s="4">
        <v>373.0</v>
      </c>
      <c r="B374" s="4" t="s">
        <v>97</v>
      </c>
      <c r="D374" s="4">
        <v>373.0</v>
      </c>
      <c r="E374" s="4" t="s">
        <v>96</v>
      </c>
      <c r="G374" s="4">
        <v>373.0</v>
      </c>
      <c r="H374" s="4" t="s">
        <v>98</v>
      </c>
      <c r="I374" s="4"/>
      <c r="J374" s="4">
        <v>373.0</v>
      </c>
      <c r="K374" s="4" t="s">
        <v>99</v>
      </c>
    </row>
    <row r="375">
      <c r="A375" s="4">
        <v>374.0</v>
      </c>
      <c r="B375" s="4" t="s">
        <v>97</v>
      </c>
      <c r="D375" s="4">
        <v>374.0</v>
      </c>
      <c r="E375" s="4" t="s">
        <v>96</v>
      </c>
      <c r="G375" s="4">
        <v>374.0</v>
      </c>
      <c r="H375" s="4" t="s">
        <v>98</v>
      </c>
      <c r="I375" s="4"/>
      <c r="J375" s="4">
        <v>374.0</v>
      </c>
      <c r="K375" s="4" t="s">
        <v>99</v>
      </c>
    </row>
    <row r="376">
      <c r="A376" s="4">
        <v>375.0</v>
      </c>
      <c r="B376" s="4" t="s">
        <v>97</v>
      </c>
      <c r="D376" s="4">
        <v>375.0</v>
      </c>
      <c r="E376" s="4" t="s">
        <v>96</v>
      </c>
      <c r="G376" s="4">
        <v>375.0</v>
      </c>
      <c r="H376" s="4" t="s">
        <v>98</v>
      </c>
      <c r="I376" s="4"/>
      <c r="J376" s="4">
        <v>375.0</v>
      </c>
      <c r="K376" s="4" t="s">
        <v>99</v>
      </c>
    </row>
    <row r="377">
      <c r="A377" s="4">
        <v>376.0</v>
      </c>
      <c r="B377" s="4" t="s">
        <v>97</v>
      </c>
      <c r="D377" s="4">
        <v>376.0</v>
      </c>
      <c r="E377" s="4" t="s">
        <v>96</v>
      </c>
      <c r="G377" s="4">
        <v>376.0</v>
      </c>
      <c r="H377" s="4" t="s">
        <v>98</v>
      </c>
      <c r="I377" s="4"/>
      <c r="J377" s="4">
        <v>376.0</v>
      </c>
      <c r="K377" s="4" t="s">
        <v>99</v>
      </c>
    </row>
    <row r="378">
      <c r="A378" s="4">
        <v>377.0</v>
      </c>
      <c r="B378" s="4" t="s">
        <v>97</v>
      </c>
      <c r="D378" s="4">
        <v>377.0</v>
      </c>
      <c r="E378" s="4" t="s">
        <v>96</v>
      </c>
      <c r="G378" s="4">
        <v>377.0</v>
      </c>
      <c r="H378" s="4" t="s">
        <v>98</v>
      </c>
      <c r="I378" s="4"/>
      <c r="J378" s="4">
        <v>377.0</v>
      </c>
      <c r="K378" s="4" t="s">
        <v>99</v>
      </c>
    </row>
    <row r="379">
      <c r="A379" s="4">
        <v>378.0</v>
      </c>
      <c r="B379" s="4" t="s">
        <v>97</v>
      </c>
      <c r="D379" s="4">
        <v>378.0</v>
      </c>
      <c r="E379" s="4" t="s">
        <v>96</v>
      </c>
      <c r="G379" s="4">
        <v>378.0</v>
      </c>
      <c r="H379" s="4" t="s">
        <v>98</v>
      </c>
      <c r="I379" s="4"/>
      <c r="J379" s="4">
        <v>378.0</v>
      </c>
      <c r="K379" s="4" t="s">
        <v>99</v>
      </c>
    </row>
    <row r="380">
      <c r="A380" s="4">
        <v>379.0</v>
      </c>
      <c r="B380" s="4" t="s">
        <v>97</v>
      </c>
      <c r="D380" s="4">
        <v>379.0</v>
      </c>
      <c r="E380" s="4" t="s">
        <v>96</v>
      </c>
      <c r="G380" s="4">
        <v>379.0</v>
      </c>
      <c r="H380" s="4" t="s">
        <v>98</v>
      </c>
      <c r="I380" s="4"/>
      <c r="J380" s="4">
        <v>379.0</v>
      </c>
      <c r="K380" s="4" t="s">
        <v>99</v>
      </c>
    </row>
    <row r="381">
      <c r="A381" s="4">
        <v>380.0</v>
      </c>
      <c r="B381" s="4" t="s">
        <v>97</v>
      </c>
      <c r="D381" s="4">
        <v>380.0</v>
      </c>
      <c r="E381" s="4" t="s">
        <v>96</v>
      </c>
      <c r="G381" s="4">
        <v>380.0</v>
      </c>
      <c r="H381" s="4" t="s">
        <v>98</v>
      </c>
      <c r="I381" s="4"/>
      <c r="J381" s="4">
        <v>380.0</v>
      </c>
      <c r="K381" s="4" t="s">
        <v>99</v>
      </c>
    </row>
    <row r="382">
      <c r="A382" s="4">
        <v>381.0</v>
      </c>
      <c r="B382" s="4" t="s">
        <v>97</v>
      </c>
      <c r="D382" s="4">
        <v>381.0</v>
      </c>
      <c r="E382" s="4" t="s">
        <v>96</v>
      </c>
      <c r="G382" s="4">
        <v>381.0</v>
      </c>
      <c r="H382" s="4" t="s">
        <v>98</v>
      </c>
      <c r="I382" s="4"/>
      <c r="J382" s="4">
        <v>381.0</v>
      </c>
      <c r="K382" s="4" t="s">
        <v>99</v>
      </c>
    </row>
    <row r="383">
      <c r="A383" s="4">
        <v>382.0</v>
      </c>
      <c r="B383" s="4" t="s">
        <v>97</v>
      </c>
      <c r="D383" s="4">
        <v>382.0</v>
      </c>
      <c r="E383" s="4" t="s">
        <v>96</v>
      </c>
      <c r="G383" s="4">
        <v>382.0</v>
      </c>
      <c r="H383" s="4" t="s">
        <v>98</v>
      </c>
      <c r="I383" s="4"/>
      <c r="J383" s="4">
        <v>382.0</v>
      </c>
      <c r="K383" s="4" t="s">
        <v>99</v>
      </c>
    </row>
    <row r="384">
      <c r="A384" s="4">
        <v>383.0</v>
      </c>
      <c r="B384" s="4" t="s">
        <v>97</v>
      </c>
      <c r="D384" s="4">
        <v>383.0</v>
      </c>
      <c r="E384" s="4" t="s">
        <v>96</v>
      </c>
      <c r="G384" s="4">
        <v>383.0</v>
      </c>
      <c r="H384" s="4" t="s">
        <v>98</v>
      </c>
      <c r="I384" s="4"/>
      <c r="J384" s="4">
        <v>383.0</v>
      </c>
      <c r="K384" s="4" t="s">
        <v>99</v>
      </c>
    </row>
    <row r="385">
      <c r="A385" s="4">
        <v>384.0</v>
      </c>
      <c r="B385" s="4" t="s">
        <v>97</v>
      </c>
      <c r="D385" s="4">
        <v>384.0</v>
      </c>
      <c r="E385" s="4" t="s">
        <v>96</v>
      </c>
      <c r="G385" s="4">
        <v>384.0</v>
      </c>
      <c r="H385" s="4" t="s">
        <v>98</v>
      </c>
      <c r="I385" s="4"/>
      <c r="J385" s="4">
        <v>384.0</v>
      </c>
      <c r="K385" s="4" t="s">
        <v>99</v>
      </c>
    </row>
    <row r="386">
      <c r="A386" s="4">
        <v>385.0</v>
      </c>
      <c r="B386" s="4" t="s">
        <v>97</v>
      </c>
      <c r="D386" s="4">
        <v>385.0</v>
      </c>
      <c r="E386" s="4" t="s">
        <v>96</v>
      </c>
      <c r="G386" s="4">
        <v>385.0</v>
      </c>
      <c r="H386" s="4" t="s">
        <v>98</v>
      </c>
      <c r="I386" s="4"/>
      <c r="J386" s="4">
        <v>385.0</v>
      </c>
      <c r="K386" s="4" t="s">
        <v>99</v>
      </c>
    </row>
    <row r="387">
      <c r="A387" s="4">
        <v>386.0</v>
      </c>
      <c r="B387" s="4" t="s">
        <v>97</v>
      </c>
      <c r="D387" s="4">
        <v>386.0</v>
      </c>
      <c r="E387" s="4" t="s">
        <v>96</v>
      </c>
      <c r="G387" s="4">
        <v>386.0</v>
      </c>
      <c r="H387" s="4" t="s">
        <v>98</v>
      </c>
      <c r="I387" s="4"/>
      <c r="J387" s="4">
        <v>386.0</v>
      </c>
      <c r="K387" s="4" t="s">
        <v>99</v>
      </c>
    </row>
    <row r="388">
      <c r="A388" s="4">
        <v>387.0</v>
      </c>
      <c r="B388" s="4" t="s">
        <v>97</v>
      </c>
      <c r="D388" s="4">
        <v>387.0</v>
      </c>
      <c r="E388" s="4" t="s">
        <v>96</v>
      </c>
      <c r="G388" s="4">
        <v>387.0</v>
      </c>
      <c r="H388" s="4" t="s">
        <v>98</v>
      </c>
      <c r="I388" s="4"/>
      <c r="J388" s="4">
        <v>387.0</v>
      </c>
      <c r="K388" s="4" t="s">
        <v>99</v>
      </c>
    </row>
    <row r="389">
      <c r="A389" s="4">
        <v>388.0</v>
      </c>
      <c r="B389" s="4" t="s">
        <v>97</v>
      </c>
      <c r="D389" s="4">
        <v>388.0</v>
      </c>
      <c r="E389" s="4" t="s">
        <v>96</v>
      </c>
      <c r="G389" s="4">
        <v>388.0</v>
      </c>
      <c r="H389" s="4" t="s">
        <v>98</v>
      </c>
      <c r="I389" s="4"/>
      <c r="J389" s="4">
        <v>388.0</v>
      </c>
      <c r="K389" s="4" t="s">
        <v>99</v>
      </c>
    </row>
    <row r="390">
      <c r="A390" s="4">
        <v>389.0</v>
      </c>
      <c r="B390" s="4" t="s">
        <v>97</v>
      </c>
      <c r="D390" s="4">
        <v>389.0</v>
      </c>
      <c r="E390" s="4" t="s">
        <v>96</v>
      </c>
      <c r="G390" s="4">
        <v>389.0</v>
      </c>
      <c r="H390" s="4" t="s">
        <v>98</v>
      </c>
      <c r="I390" s="4"/>
      <c r="J390" s="4">
        <v>389.0</v>
      </c>
      <c r="K390" s="4" t="s">
        <v>99</v>
      </c>
    </row>
    <row r="391">
      <c r="A391" s="4">
        <v>390.0</v>
      </c>
      <c r="B391" s="4" t="s">
        <v>97</v>
      </c>
      <c r="D391" s="4">
        <v>390.0</v>
      </c>
      <c r="E391" s="4" t="s">
        <v>96</v>
      </c>
      <c r="G391" s="4">
        <v>390.0</v>
      </c>
      <c r="H391" s="4" t="s">
        <v>98</v>
      </c>
      <c r="I391" s="4"/>
      <c r="J391" s="4">
        <v>390.0</v>
      </c>
      <c r="K391" s="4" t="s">
        <v>99</v>
      </c>
    </row>
    <row r="392">
      <c r="A392" s="4">
        <v>391.0</v>
      </c>
      <c r="B392" s="4" t="s">
        <v>97</v>
      </c>
      <c r="D392" s="4">
        <v>391.0</v>
      </c>
      <c r="E392" s="4" t="s">
        <v>96</v>
      </c>
      <c r="G392" s="4">
        <v>391.0</v>
      </c>
      <c r="H392" s="4" t="s">
        <v>98</v>
      </c>
      <c r="I392" s="4"/>
      <c r="J392" s="4">
        <v>391.0</v>
      </c>
      <c r="K392" s="4" t="s">
        <v>99</v>
      </c>
    </row>
    <row r="393">
      <c r="A393" s="4">
        <v>392.0</v>
      </c>
      <c r="B393" s="4" t="s">
        <v>97</v>
      </c>
      <c r="D393" s="4">
        <v>392.0</v>
      </c>
      <c r="E393" s="4" t="s">
        <v>96</v>
      </c>
      <c r="G393" s="4">
        <v>392.0</v>
      </c>
      <c r="H393" s="4" t="s">
        <v>98</v>
      </c>
      <c r="I393" s="4"/>
      <c r="J393" s="4">
        <v>392.0</v>
      </c>
      <c r="K393" s="4" t="s">
        <v>99</v>
      </c>
    </row>
    <row r="394">
      <c r="A394" s="4">
        <v>393.0</v>
      </c>
      <c r="B394" s="4" t="s">
        <v>97</v>
      </c>
      <c r="D394" s="4">
        <v>393.0</v>
      </c>
      <c r="E394" s="4" t="s">
        <v>96</v>
      </c>
      <c r="G394" s="4">
        <v>393.0</v>
      </c>
      <c r="H394" s="4" t="s">
        <v>98</v>
      </c>
      <c r="I394" s="4"/>
      <c r="J394" s="4">
        <v>393.0</v>
      </c>
      <c r="K394" s="4" t="s">
        <v>99</v>
      </c>
    </row>
    <row r="395">
      <c r="A395" s="4">
        <v>394.0</v>
      </c>
      <c r="B395" s="4" t="s">
        <v>97</v>
      </c>
      <c r="D395" s="4">
        <v>394.0</v>
      </c>
      <c r="E395" s="4" t="s">
        <v>96</v>
      </c>
      <c r="G395" s="4">
        <v>394.0</v>
      </c>
      <c r="H395" s="4" t="s">
        <v>98</v>
      </c>
      <c r="I395" s="4"/>
      <c r="J395" s="4">
        <v>394.0</v>
      </c>
      <c r="K395" s="4" t="s">
        <v>99</v>
      </c>
    </row>
    <row r="396">
      <c r="A396" s="4">
        <v>395.0</v>
      </c>
      <c r="B396" s="4" t="s">
        <v>97</v>
      </c>
      <c r="D396" s="4">
        <v>395.0</v>
      </c>
      <c r="E396" s="4" t="s">
        <v>96</v>
      </c>
      <c r="G396" s="4">
        <v>395.0</v>
      </c>
      <c r="H396" s="4" t="s">
        <v>98</v>
      </c>
      <c r="I396" s="4"/>
      <c r="J396" s="4">
        <v>395.0</v>
      </c>
      <c r="K396" s="4" t="s">
        <v>99</v>
      </c>
    </row>
    <row r="397">
      <c r="A397" s="4">
        <v>396.0</v>
      </c>
      <c r="B397" s="4" t="s">
        <v>97</v>
      </c>
      <c r="D397" s="4">
        <v>396.0</v>
      </c>
      <c r="E397" s="4" t="s">
        <v>96</v>
      </c>
      <c r="G397" s="4">
        <v>396.0</v>
      </c>
      <c r="H397" s="4" t="s">
        <v>98</v>
      </c>
      <c r="I397" s="4"/>
      <c r="J397" s="4">
        <v>396.0</v>
      </c>
      <c r="K397" s="4" t="s">
        <v>99</v>
      </c>
    </row>
    <row r="398">
      <c r="A398" s="4">
        <v>397.0</v>
      </c>
      <c r="B398" s="4" t="s">
        <v>97</v>
      </c>
      <c r="D398" s="4">
        <v>397.0</v>
      </c>
      <c r="E398" s="4" t="s">
        <v>96</v>
      </c>
      <c r="G398" s="4">
        <v>397.0</v>
      </c>
      <c r="H398" s="4" t="s">
        <v>98</v>
      </c>
      <c r="I398" s="4"/>
      <c r="J398" s="4">
        <v>397.0</v>
      </c>
      <c r="K398" s="4" t="s">
        <v>99</v>
      </c>
    </row>
    <row r="399">
      <c r="A399" s="4">
        <v>398.0</v>
      </c>
      <c r="B399" s="4" t="s">
        <v>97</v>
      </c>
      <c r="D399" s="4">
        <v>398.0</v>
      </c>
      <c r="E399" s="4" t="s">
        <v>96</v>
      </c>
      <c r="G399" s="4">
        <v>398.0</v>
      </c>
      <c r="H399" s="4" t="s">
        <v>98</v>
      </c>
      <c r="I399" s="4"/>
      <c r="J399" s="4">
        <v>398.0</v>
      </c>
      <c r="K399" s="4" t="s">
        <v>99</v>
      </c>
    </row>
    <row r="400">
      <c r="A400" s="4">
        <v>399.0</v>
      </c>
      <c r="B400" s="4" t="s">
        <v>97</v>
      </c>
      <c r="D400" s="4">
        <v>399.0</v>
      </c>
      <c r="E400" s="4" t="s">
        <v>96</v>
      </c>
      <c r="G400" s="4">
        <v>399.0</v>
      </c>
      <c r="H400" s="4" t="s">
        <v>98</v>
      </c>
      <c r="I400" s="4"/>
      <c r="J400" s="4">
        <v>399.0</v>
      </c>
      <c r="K400" s="4" t="s">
        <v>99</v>
      </c>
    </row>
    <row r="401">
      <c r="A401" s="4">
        <v>400.0</v>
      </c>
      <c r="B401" s="4" t="s">
        <v>97</v>
      </c>
      <c r="D401" s="4">
        <v>400.0</v>
      </c>
      <c r="E401" s="4" t="s">
        <v>96</v>
      </c>
      <c r="G401" s="4">
        <v>400.0</v>
      </c>
      <c r="H401" s="4" t="s">
        <v>98</v>
      </c>
      <c r="I401" s="4"/>
      <c r="J401" s="4">
        <v>400.0</v>
      </c>
      <c r="K401" s="4" t="s">
        <v>99</v>
      </c>
    </row>
    <row r="402">
      <c r="A402" s="4">
        <v>401.0</v>
      </c>
      <c r="B402" s="4" t="s">
        <v>97</v>
      </c>
      <c r="D402" s="4">
        <v>401.0</v>
      </c>
      <c r="E402" s="4" t="s">
        <v>96</v>
      </c>
      <c r="G402" s="4">
        <v>401.0</v>
      </c>
      <c r="H402" s="4" t="s">
        <v>98</v>
      </c>
      <c r="I402" s="4"/>
      <c r="J402" s="4">
        <v>401.0</v>
      </c>
      <c r="K402" s="4" t="s">
        <v>99</v>
      </c>
    </row>
    <row r="403">
      <c r="A403" s="4">
        <v>402.0</v>
      </c>
      <c r="B403" s="4" t="s">
        <v>97</v>
      </c>
      <c r="D403" s="4">
        <v>402.0</v>
      </c>
      <c r="E403" s="4" t="s">
        <v>96</v>
      </c>
      <c r="G403" s="4">
        <v>402.0</v>
      </c>
      <c r="H403" s="4" t="s">
        <v>98</v>
      </c>
      <c r="I403" s="4"/>
      <c r="J403" s="4">
        <v>402.0</v>
      </c>
      <c r="K403" s="4" t="s">
        <v>99</v>
      </c>
    </row>
    <row r="404">
      <c r="A404" s="4">
        <v>403.0</v>
      </c>
      <c r="B404" s="4" t="s">
        <v>97</v>
      </c>
      <c r="D404" s="4">
        <v>403.0</v>
      </c>
      <c r="E404" s="4" t="s">
        <v>96</v>
      </c>
      <c r="G404" s="4">
        <v>403.0</v>
      </c>
      <c r="H404" s="4" t="s">
        <v>98</v>
      </c>
      <c r="I404" s="4"/>
      <c r="J404" s="4">
        <v>403.0</v>
      </c>
      <c r="K404" s="4" t="s">
        <v>99</v>
      </c>
    </row>
    <row r="405">
      <c r="A405" s="4">
        <v>404.0</v>
      </c>
      <c r="B405" s="4" t="s">
        <v>97</v>
      </c>
      <c r="D405" s="4">
        <v>404.0</v>
      </c>
      <c r="E405" s="4" t="s">
        <v>96</v>
      </c>
      <c r="G405" s="4">
        <v>404.0</v>
      </c>
      <c r="H405" s="4" t="s">
        <v>98</v>
      </c>
      <c r="I405" s="4"/>
      <c r="J405" s="4">
        <v>404.0</v>
      </c>
      <c r="K405" s="4" t="s">
        <v>99</v>
      </c>
    </row>
    <row r="406">
      <c r="A406" s="4">
        <v>405.0</v>
      </c>
      <c r="B406" s="4" t="s">
        <v>97</v>
      </c>
      <c r="D406" s="4">
        <v>405.0</v>
      </c>
      <c r="E406" s="4" t="s">
        <v>96</v>
      </c>
      <c r="G406" s="4">
        <v>405.0</v>
      </c>
      <c r="H406" s="4" t="s">
        <v>98</v>
      </c>
      <c r="I406" s="4"/>
      <c r="J406" s="4">
        <v>405.0</v>
      </c>
      <c r="K406" s="4" t="s">
        <v>99</v>
      </c>
    </row>
    <row r="407">
      <c r="A407" s="4">
        <v>406.0</v>
      </c>
      <c r="B407" s="4" t="s">
        <v>97</v>
      </c>
      <c r="D407" s="4">
        <v>406.0</v>
      </c>
      <c r="E407" s="4" t="s">
        <v>96</v>
      </c>
      <c r="G407" s="4">
        <v>406.0</v>
      </c>
      <c r="H407" s="4" t="s">
        <v>98</v>
      </c>
      <c r="I407" s="4"/>
      <c r="J407" s="4">
        <v>406.0</v>
      </c>
      <c r="K407" s="4" t="s">
        <v>99</v>
      </c>
    </row>
    <row r="408">
      <c r="A408" s="4">
        <v>407.0</v>
      </c>
      <c r="B408" s="4" t="s">
        <v>97</v>
      </c>
      <c r="D408" s="4">
        <v>407.0</v>
      </c>
      <c r="E408" s="4" t="s">
        <v>96</v>
      </c>
      <c r="G408" s="4">
        <v>407.0</v>
      </c>
      <c r="H408" s="4" t="s">
        <v>98</v>
      </c>
      <c r="I408" s="4"/>
      <c r="J408" s="4">
        <v>407.0</v>
      </c>
      <c r="K408" s="4" t="s">
        <v>99</v>
      </c>
    </row>
    <row r="409">
      <c r="A409" s="4">
        <v>408.0</v>
      </c>
      <c r="B409" s="4" t="s">
        <v>97</v>
      </c>
      <c r="D409" s="4">
        <v>408.0</v>
      </c>
      <c r="E409" s="4" t="s">
        <v>96</v>
      </c>
      <c r="G409" s="4">
        <v>408.0</v>
      </c>
      <c r="H409" s="4" t="s">
        <v>98</v>
      </c>
      <c r="I409" s="4"/>
      <c r="J409" s="4">
        <v>408.0</v>
      </c>
      <c r="K409" s="4" t="s">
        <v>99</v>
      </c>
    </row>
    <row r="410">
      <c r="A410" s="4">
        <v>409.0</v>
      </c>
      <c r="B410" s="4" t="s">
        <v>97</v>
      </c>
      <c r="D410" s="4">
        <v>409.0</v>
      </c>
      <c r="E410" s="4" t="s">
        <v>96</v>
      </c>
      <c r="G410" s="4">
        <v>409.0</v>
      </c>
      <c r="H410" s="4" t="s">
        <v>98</v>
      </c>
      <c r="I410" s="4"/>
      <c r="J410" s="4">
        <v>409.0</v>
      </c>
      <c r="K410" s="4" t="s">
        <v>99</v>
      </c>
    </row>
    <row r="411">
      <c r="A411" s="4">
        <v>410.0</v>
      </c>
      <c r="B411" s="4" t="s">
        <v>97</v>
      </c>
      <c r="D411" s="4">
        <v>410.0</v>
      </c>
      <c r="E411" s="4" t="s">
        <v>96</v>
      </c>
      <c r="G411" s="4">
        <v>410.0</v>
      </c>
      <c r="H411" s="4" t="s">
        <v>98</v>
      </c>
      <c r="I411" s="4"/>
      <c r="J411" s="4">
        <v>410.0</v>
      </c>
      <c r="K411" s="4" t="s">
        <v>99</v>
      </c>
    </row>
    <row r="412">
      <c r="A412" s="4">
        <v>411.0</v>
      </c>
      <c r="B412" s="4" t="s">
        <v>97</v>
      </c>
      <c r="D412" s="4">
        <v>411.0</v>
      </c>
      <c r="E412" s="4" t="s">
        <v>96</v>
      </c>
      <c r="G412" s="4">
        <v>411.0</v>
      </c>
      <c r="H412" s="4" t="s">
        <v>98</v>
      </c>
      <c r="I412" s="4"/>
      <c r="J412" s="4">
        <v>411.0</v>
      </c>
      <c r="K412" s="4" t="s">
        <v>99</v>
      </c>
    </row>
    <row r="413">
      <c r="A413" s="4">
        <v>412.0</v>
      </c>
      <c r="B413" s="4" t="s">
        <v>97</v>
      </c>
      <c r="D413" s="4">
        <v>412.0</v>
      </c>
      <c r="E413" s="4" t="s">
        <v>96</v>
      </c>
      <c r="G413" s="4">
        <v>412.0</v>
      </c>
      <c r="H413" s="4" t="s">
        <v>98</v>
      </c>
      <c r="I413" s="4"/>
      <c r="J413" s="4">
        <v>412.0</v>
      </c>
      <c r="K413" s="4" t="s">
        <v>99</v>
      </c>
    </row>
    <row r="414">
      <c r="A414" s="4">
        <v>413.0</v>
      </c>
      <c r="B414" s="4" t="s">
        <v>97</v>
      </c>
      <c r="D414" s="4">
        <v>413.0</v>
      </c>
      <c r="E414" s="4" t="s">
        <v>96</v>
      </c>
      <c r="G414" s="4">
        <v>413.0</v>
      </c>
      <c r="H414" s="4" t="s">
        <v>98</v>
      </c>
      <c r="I414" s="4"/>
      <c r="J414" s="4">
        <v>413.0</v>
      </c>
      <c r="K414" s="4" t="s">
        <v>99</v>
      </c>
    </row>
    <row r="415">
      <c r="A415" s="4">
        <v>414.0</v>
      </c>
      <c r="B415" s="4" t="s">
        <v>97</v>
      </c>
      <c r="D415" s="4">
        <v>414.0</v>
      </c>
      <c r="E415" s="4" t="s">
        <v>96</v>
      </c>
      <c r="G415" s="4">
        <v>414.0</v>
      </c>
      <c r="H415" s="4" t="s">
        <v>98</v>
      </c>
      <c r="I415" s="4"/>
      <c r="J415" s="4">
        <v>414.0</v>
      </c>
      <c r="K415" s="4" t="s">
        <v>99</v>
      </c>
    </row>
    <row r="416">
      <c r="A416" s="4">
        <v>415.0</v>
      </c>
      <c r="B416" s="4" t="s">
        <v>97</v>
      </c>
      <c r="D416" s="4">
        <v>415.0</v>
      </c>
      <c r="E416" s="4" t="s">
        <v>96</v>
      </c>
      <c r="G416" s="4">
        <v>415.0</v>
      </c>
      <c r="H416" s="4" t="s">
        <v>98</v>
      </c>
      <c r="I416" s="4"/>
      <c r="J416" s="4">
        <v>415.0</v>
      </c>
      <c r="K416" s="4" t="s">
        <v>99</v>
      </c>
    </row>
    <row r="417">
      <c r="A417" s="4">
        <v>416.0</v>
      </c>
      <c r="B417" s="4" t="s">
        <v>97</v>
      </c>
      <c r="D417" s="4">
        <v>416.0</v>
      </c>
      <c r="E417" s="4" t="s">
        <v>96</v>
      </c>
      <c r="G417" s="4">
        <v>416.0</v>
      </c>
      <c r="H417" s="4" t="s">
        <v>98</v>
      </c>
      <c r="I417" s="4"/>
      <c r="J417" s="4">
        <v>416.0</v>
      </c>
      <c r="K417" s="4" t="s">
        <v>99</v>
      </c>
    </row>
    <row r="418">
      <c r="A418" s="4">
        <v>417.0</v>
      </c>
      <c r="B418" s="4" t="s">
        <v>97</v>
      </c>
      <c r="D418" s="4">
        <v>417.0</v>
      </c>
      <c r="E418" s="4" t="s">
        <v>96</v>
      </c>
      <c r="G418" s="4">
        <v>417.0</v>
      </c>
      <c r="H418" s="4" t="s">
        <v>98</v>
      </c>
      <c r="I418" s="4"/>
      <c r="J418" s="4">
        <v>417.0</v>
      </c>
      <c r="K418" s="4" t="s">
        <v>99</v>
      </c>
    </row>
    <row r="419">
      <c r="A419" s="4">
        <v>418.0</v>
      </c>
      <c r="B419" s="4" t="s">
        <v>97</v>
      </c>
      <c r="D419" s="4">
        <v>418.0</v>
      </c>
      <c r="E419" s="4" t="s">
        <v>96</v>
      </c>
      <c r="G419" s="4">
        <v>418.0</v>
      </c>
      <c r="H419" s="4" t="s">
        <v>98</v>
      </c>
      <c r="I419" s="4"/>
      <c r="J419" s="4">
        <v>418.0</v>
      </c>
      <c r="K419" s="4" t="s">
        <v>99</v>
      </c>
    </row>
    <row r="420">
      <c r="A420" s="4">
        <v>419.0</v>
      </c>
      <c r="B420" s="4" t="s">
        <v>97</v>
      </c>
      <c r="D420" s="4">
        <v>419.0</v>
      </c>
      <c r="E420" s="4" t="s">
        <v>96</v>
      </c>
      <c r="G420" s="4">
        <v>419.0</v>
      </c>
      <c r="H420" s="4" t="s">
        <v>98</v>
      </c>
      <c r="I420" s="4"/>
      <c r="J420" s="4">
        <v>419.0</v>
      </c>
      <c r="K420" s="4" t="s">
        <v>99</v>
      </c>
    </row>
    <row r="421">
      <c r="A421" s="4">
        <v>420.0</v>
      </c>
      <c r="B421" s="4" t="s">
        <v>97</v>
      </c>
      <c r="D421" s="4">
        <v>420.0</v>
      </c>
      <c r="E421" s="4" t="s">
        <v>96</v>
      </c>
      <c r="G421" s="4">
        <v>420.0</v>
      </c>
      <c r="H421" s="4" t="s">
        <v>98</v>
      </c>
      <c r="I421" s="4"/>
      <c r="J421" s="4">
        <v>420.0</v>
      </c>
      <c r="K421" s="4" t="s">
        <v>99</v>
      </c>
    </row>
    <row r="422">
      <c r="A422" s="4">
        <v>421.0</v>
      </c>
      <c r="B422" s="4" t="s">
        <v>97</v>
      </c>
      <c r="D422" s="4">
        <v>421.0</v>
      </c>
      <c r="E422" s="4" t="s">
        <v>96</v>
      </c>
      <c r="G422" s="4">
        <v>421.0</v>
      </c>
      <c r="H422" s="4" t="s">
        <v>98</v>
      </c>
      <c r="I422" s="4"/>
      <c r="J422" s="4">
        <v>421.0</v>
      </c>
      <c r="K422" s="4" t="s">
        <v>99</v>
      </c>
    </row>
    <row r="423">
      <c r="A423" s="4">
        <v>422.0</v>
      </c>
      <c r="B423" s="4" t="s">
        <v>97</v>
      </c>
      <c r="D423" s="4">
        <v>422.0</v>
      </c>
      <c r="E423" s="4" t="s">
        <v>96</v>
      </c>
      <c r="G423" s="4">
        <v>422.0</v>
      </c>
      <c r="H423" s="4" t="s">
        <v>98</v>
      </c>
      <c r="I423" s="4"/>
      <c r="J423" s="4">
        <v>422.0</v>
      </c>
      <c r="K423" s="4" t="s">
        <v>99</v>
      </c>
    </row>
    <row r="424">
      <c r="A424" s="4">
        <v>423.0</v>
      </c>
      <c r="B424" s="4" t="s">
        <v>97</v>
      </c>
      <c r="D424" s="4">
        <v>423.0</v>
      </c>
      <c r="E424" s="4" t="s">
        <v>96</v>
      </c>
      <c r="G424" s="4">
        <v>423.0</v>
      </c>
      <c r="H424" s="4" t="s">
        <v>98</v>
      </c>
      <c r="I424" s="4"/>
      <c r="J424" s="4">
        <v>423.0</v>
      </c>
      <c r="K424" s="4" t="s">
        <v>99</v>
      </c>
    </row>
    <row r="425">
      <c r="A425" s="4">
        <v>424.0</v>
      </c>
      <c r="B425" s="4" t="s">
        <v>97</v>
      </c>
      <c r="D425" s="4">
        <v>424.0</v>
      </c>
      <c r="E425" s="4" t="s">
        <v>96</v>
      </c>
      <c r="G425" s="4">
        <v>424.0</v>
      </c>
      <c r="H425" s="4" t="s">
        <v>98</v>
      </c>
      <c r="I425" s="4"/>
      <c r="J425" s="4">
        <v>424.0</v>
      </c>
      <c r="K425" s="4" t="s">
        <v>99</v>
      </c>
    </row>
    <row r="426">
      <c r="A426" s="4">
        <v>425.0</v>
      </c>
      <c r="B426" s="4" t="s">
        <v>97</v>
      </c>
      <c r="D426" s="4">
        <v>425.0</v>
      </c>
      <c r="E426" s="4" t="s">
        <v>96</v>
      </c>
      <c r="G426" s="4">
        <v>425.0</v>
      </c>
      <c r="H426" s="4" t="s">
        <v>98</v>
      </c>
      <c r="I426" s="4"/>
      <c r="J426" s="4">
        <v>425.0</v>
      </c>
      <c r="K426" s="4" t="s">
        <v>99</v>
      </c>
    </row>
    <row r="427">
      <c r="A427" s="4">
        <v>426.0</v>
      </c>
      <c r="B427" s="4" t="s">
        <v>97</v>
      </c>
      <c r="D427" s="4">
        <v>426.0</v>
      </c>
      <c r="E427" s="4" t="s">
        <v>96</v>
      </c>
      <c r="G427" s="4">
        <v>426.0</v>
      </c>
      <c r="H427" s="4" t="s">
        <v>98</v>
      </c>
      <c r="I427" s="4"/>
      <c r="J427" s="4">
        <v>426.0</v>
      </c>
      <c r="K427" s="4" t="s">
        <v>99</v>
      </c>
    </row>
    <row r="428">
      <c r="A428" s="4">
        <v>427.0</v>
      </c>
      <c r="B428" s="4" t="s">
        <v>97</v>
      </c>
      <c r="D428" s="4">
        <v>427.0</v>
      </c>
      <c r="E428" s="4" t="s">
        <v>96</v>
      </c>
      <c r="G428" s="4">
        <v>427.0</v>
      </c>
      <c r="H428" s="4" t="s">
        <v>98</v>
      </c>
      <c r="I428" s="4"/>
      <c r="J428" s="4">
        <v>427.0</v>
      </c>
      <c r="K428" s="4" t="s">
        <v>99</v>
      </c>
    </row>
    <row r="429">
      <c r="A429" s="4">
        <v>428.0</v>
      </c>
      <c r="B429" s="4" t="s">
        <v>97</v>
      </c>
      <c r="D429" s="4">
        <v>428.0</v>
      </c>
      <c r="E429" s="4" t="s">
        <v>96</v>
      </c>
      <c r="G429" s="4">
        <v>428.0</v>
      </c>
      <c r="H429" s="4" t="s">
        <v>98</v>
      </c>
      <c r="I429" s="4"/>
      <c r="J429" s="4">
        <v>428.0</v>
      </c>
      <c r="K429" s="4" t="s">
        <v>99</v>
      </c>
    </row>
    <row r="430">
      <c r="A430" s="4">
        <v>429.0</v>
      </c>
      <c r="B430" s="4" t="s">
        <v>97</v>
      </c>
      <c r="D430" s="4">
        <v>429.0</v>
      </c>
      <c r="E430" s="4" t="s">
        <v>96</v>
      </c>
      <c r="G430" s="4">
        <v>429.0</v>
      </c>
      <c r="H430" s="4" t="s">
        <v>98</v>
      </c>
      <c r="I430" s="4"/>
      <c r="J430" s="4">
        <v>429.0</v>
      </c>
      <c r="K430" s="4" t="s">
        <v>99</v>
      </c>
    </row>
    <row r="431">
      <c r="A431" s="4">
        <v>430.0</v>
      </c>
      <c r="B431" s="4" t="s">
        <v>97</v>
      </c>
      <c r="D431" s="4">
        <v>430.0</v>
      </c>
      <c r="E431" s="4" t="s">
        <v>96</v>
      </c>
      <c r="G431" s="4">
        <v>430.0</v>
      </c>
      <c r="H431" s="4" t="s">
        <v>98</v>
      </c>
      <c r="I431" s="4"/>
      <c r="J431" s="4">
        <v>430.0</v>
      </c>
      <c r="K431" s="4" t="s">
        <v>99</v>
      </c>
    </row>
    <row r="432">
      <c r="A432" s="4">
        <v>431.0</v>
      </c>
      <c r="B432" s="4" t="s">
        <v>97</v>
      </c>
      <c r="D432" s="4">
        <v>431.0</v>
      </c>
      <c r="E432" s="4" t="s">
        <v>96</v>
      </c>
      <c r="G432" s="4">
        <v>431.0</v>
      </c>
      <c r="H432" s="4" t="s">
        <v>98</v>
      </c>
      <c r="I432" s="4"/>
      <c r="J432" s="4">
        <v>431.0</v>
      </c>
      <c r="K432" s="4" t="s">
        <v>99</v>
      </c>
    </row>
    <row r="433">
      <c r="A433" s="4">
        <v>432.0</v>
      </c>
      <c r="B433" s="4" t="s">
        <v>97</v>
      </c>
      <c r="D433" s="4">
        <v>432.0</v>
      </c>
      <c r="E433" s="4" t="s">
        <v>96</v>
      </c>
      <c r="G433" s="4">
        <v>432.0</v>
      </c>
      <c r="H433" s="4" t="s">
        <v>98</v>
      </c>
      <c r="I433" s="4"/>
      <c r="J433" s="4">
        <v>432.0</v>
      </c>
      <c r="K433" s="4" t="s">
        <v>99</v>
      </c>
    </row>
    <row r="434">
      <c r="A434" s="4">
        <v>433.0</v>
      </c>
      <c r="B434" s="4" t="s">
        <v>97</v>
      </c>
      <c r="D434" s="4">
        <v>433.0</v>
      </c>
      <c r="E434" s="4" t="s">
        <v>96</v>
      </c>
      <c r="G434" s="4">
        <v>433.0</v>
      </c>
      <c r="H434" s="4" t="s">
        <v>98</v>
      </c>
      <c r="I434" s="4"/>
      <c r="J434" s="4">
        <v>433.0</v>
      </c>
      <c r="K434" s="4" t="s">
        <v>99</v>
      </c>
    </row>
    <row r="435">
      <c r="A435" s="4">
        <v>434.0</v>
      </c>
      <c r="B435" s="4" t="s">
        <v>97</v>
      </c>
      <c r="D435" s="4">
        <v>434.0</v>
      </c>
      <c r="E435" s="4" t="s">
        <v>96</v>
      </c>
      <c r="G435" s="4">
        <v>434.0</v>
      </c>
      <c r="H435" s="4" t="s">
        <v>98</v>
      </c>
      <c r="I435" s="4"/>
      <c r="J435" s="4">
        <v>434.0</v>
      </c>
      <c r="K435" s="4" t="s">
        <v>99</v>
      </c>
    </row>
    <row r="436">
      <c r="A436" s="4">
        <v>435.0</v>
      </c>
      <c r="B436" s="4" t="s">
        <v>97</v>
      </c>
      <c r="D436" s="4">
        <v>435.0</v>
      </c>
      <c r="E436" s="4" t="s">
        <v>96</v>
      </c>
      <c r="G436" s="4">
        <v>435.0</v>
      </c>
      <c r="H436" s="4" t="s">
        <v>98</v>
      </c>
      <c r="I436" s="4"/>
      <c r="J436" s="4">
        <v>435.0</v>
      </c>
      <c r="K436" s="4" t="s">
        <v>99</v>
      </c>
    </row>
    <row r="437">
      <c r="A437" s="4">
        <v>436.0</v>
      </c>
      <c r="B437" s="4" t="s">
        <v>97</v>
      </c>
      <c r="D437" s="4">
        <v>436.0</v>
      </c>
      <c r="E437" s="4" t="s">
        <v>96</v>
      </c>
      <c r="G437" s="4">
        <v>436.0</v>
      </c>
      <c r="H437" s="4" t="s">
        <v>98</v>
      </c>
      <c r="I437" s="4"/>
      <c r="J437" s="4">
        <v>436.0</v>
      </c>
      <c r="K437" s="4" t="s">
        <v>99</v>
      </c>
    </row>
    <row r="438">
      <c r="A438" s="4">
        <v>437.0</v>
      </c>
      <c r="B438" s="4" t="s">
        <v>97</v>
      </c>
      <c r="D438" s="4">
        <v>437.0</v>
      </c>
      <c r="E438" s="4" t="s">
        <v>96</v>
      </c>
      <c r="G438" s="4">
        <v>437.0</v>
      </c>
      <c r="H438" s="4" t="s">
        <v>98</v>
      </c>
      <c r="I438" s="4"/>
      <c r="J438" s="4">
        <v>437.0</v>
      </c>
      <c r="K438" s="4" t="s">
        <v>99</v>
      </c>
    </row>
    <row r="439">
      <c r="A439" s="4">
        <v>438.0</v>
      </c>
      <c r="B439" s="4" t="s">
        <v>97</v>
      </c>
      <c r="D439" s="4">
        <v>438.0</v>
      </c>
      <c r="E439" s="4" t="s">
        <v>96</v>
      </c>
      <c r="G439" s="4">
        <v>438.0</v>
      </c>
      <c r="H439" s="4" t="s">
        <v>98</v>
      </c>
      <c r="I439" s="4"/>
      <c r="J439" s="4">
        <v>438.0</v>
      </c>
      <c r="K439" s="4" t="s">
        <v>99</v>
      </c>
    </row>
    <row r="440">
      <c r="A440" s="4">
        <v>439.0</v>
      </c>
      <c r="B440" s="4" t="s">
        <v>97</v>
      </c>
      <c r="D440" s="4">
        <v>439.0</v>
      </c>
      <c r="E440" s="4" t="s">
        <v>96</v>
      </c>
      <c r="G440" s="4">
        <v>439.0</v>
      </c>
      <c r="H440" s="4" t="s">
        <v>98</v>
      </c>
      <c r="I440" s="4"/>
      <c r="J440" s="4">
        <v>439.0</v>
      </c>
      <c r="K440" s="4" t="s">
        <v>99</v>
      </c>
    </row>
    <row r="441">
      <c r="A441" s="4">
        <v>440.0</v>
      </c>
      <c r="B441" s="4" t="s">
        <v>97</v>
      </c>
      <c r="D441" s="4">
        <v>440.0</v>
      </c>
      <c r="E441" s="4" t="s">
        <v>96</v>
      </c>
      <c r="G441" s="4">
        <v>440.0</v>
      </c>
      <c r="H441" s="4" t="s">
        <v>98</v>
      </c>
      <c r="I441" s="4"/>
      <c r="J441" s="4">
        <v>440.0</v>
      </c>
      <c r="K441" s="4" t="s">
        <v>99</v>
      </c>
    </row>
    <row r="442">
      <c r="A442" s="4">
        <v>441.0</v>
      </c>
      <c r="B442" s="4" t="s">
        <v>97</v>
      </c>
      <c r="D442" s="4">
        <v>441.0</v>
      </c>
      <c r="E442" s="4" t="s">
        <v>96</v>
      </c>
      <c r="G442" s="4">
        <v>441.0</v>
      </c>
      <c r="H442" s="4" t="s">
        <v>98</v>
      </c>
      <c r="I442" s="4"/>
      <c r="J442" s="4">
        <v>441.0</v>
      </c>
      <c r="K442" s="4" t="s">
        <v>99</v>
      </c>
    </row>
    <row r="443">
      <c r="A443" s="4">
        <v>442.0</v>
      </c>
      <c r="B443" s="4" t="s">
        <v>97</v>
      </c>
      <c r="D443" s="4">
        <v>442.0</v>
      </c>
      <c r="E443" s="4" t="s">
        <v>96</v>
      </c>
      <c r="G443" s="4">
        <v>442.0</v>
      </c>
      <c r="H443" s="4" t="s">
        <v>98</v>
      </c>
      <c r="I443" s="4"/>
      <c r="J443" s="4">
        <v>442.0</v>
      </c>
      <c r="K443" s="4" t="s">
        <v>99</v>
      </c>
    </row>
    <row r="444">
      <c r="A444" s="4">
        <v>443.0</v>
      </c>
      <c r="B444" s="4" t="s">
        <v>97</v>
      </c>
      <c r="D444" s="4">
        <v>443.0</v>
      </c>
      <c r="E444" s="4" t="s">
        <v>96</v>
      </c>
      <c r="G444" s="4">
        <v>443.0</v>
      </c>
      <c r="H444" s="4" t="s">
        <v>98</v>
      </c>
      <c r="I444" s="4"/>
      <c r="J444" s="4">
        <v>443.0</v>
      </c>
      <c r="K444" s="4" t="s">
        <v>99</v>
      </c>
    </row>
    <row r="445">
      <c r="A445" s="4">
        <v>444.0</v>
      </c>
      <c r="B445" s="4" t="s">
        <v>97</v>
      </c>
      <c r="D445" s="4">
        <v>444.0</v>
      </c>
      <c r="E445" s="4" t="s">
        <v>96</v>
      </c>
      <c r="G445" s="4">
        <v>444.0</v>
      </c>
      <c r="H445" s="4" t="s">
        <v>98</v>
      </c>
      <c r="I445" s="4"/>
      <c r="J445" s="4">
        <v>444.0</v>
      </c>
      <c r="K445" s="4" t="s">
        <v>99</v>
      </c>
    </row>
    <row r="446">
      <c r="A446" s="4">
        <v>445.0</v>
      </c>
      <c r="B446" s="4" t="s">
        <v>97</v>
      </c>
      <c r="D446" s="4">
        <v>445.0</v>
      </c>
      <c r="E446" s="4" t="s">
        <v>96</v>
      </c>
      <c r="G446" s="4">
        <v>445.0</v>
      </c>
      <c r="H446" s="4" t="s">
        <v>98</v>
      </c>
      <c r="I446" s="4"/>
      <c r="J446" s="4">
        <v>445.0</v>
      </c>
      <c r="K446" s="4" t="s">
        <v>99</v>
      </c>
    </row>
    <row r="447">
      <c r="A447" s="4">
        <v>446.0</v>
      </c>
      <c r="B447" s="4" t="s">
        <v>97</v>
      </c>
      <c r="D447" s="4">
        <v>446.0</v>
      </c>
      <c r="E447" s="4" t="s">
        <v>96</v>
      </c>
      <c r="G447" s="4">
        <v>446.0</v>
      </c>
      <c r="H447" s="4" t="s">
        <v>98</v>
      </c>
      <c r="I447" s="4"/>
      <c r="J447" s="4">
        <v>446.0</v>
      </c>
      <c r="K447" s="4" t="s">
        <v>99</v>
      </c>
    </row>
    <row r="448">
      <c r="A448" s="4">
        <v>447.0</v>
      </c>
      <c r="B448" s="4" t="s">
        <v>97</v>
      </c>
      <c r="D448" s="4">
        <v>447.0</v>
      </c>
      <c r="E448" s="4" t="s">
        <v>96</v>
      </c>
      <c r="G448" s="4">
        <v>447.0</v>
      </c>
      <c r="H448" s="4" t="s">
        <v>98</v>
      </c>
      <c r="I448" s="4"/>
      <c r="J448" s="4">
        <v>447.0</v>
      </c>
      <c r="K448" s="4" t="s">
        <v>99</v>
      </c>
    </row>
    <row r="449">
      <c r="A449" s="4">
        <v>448.0</v>
      </c>
      <c r="B449" s="4" t="s">
        <v>97</v>
      </c>
      <c r="D449" s="4">
        <v>448.0</v>
      </c>
      <c r="E449" s="4" t="s">
        <v>96</v>
      </c>
      <c r="G449" s="4">
        <v>448.0</v>
      </c>
      <c r="H449" s="4" t="s">
        <v>98</v>
      </c>
      <c r="I449" s="4"/>
      <c r="J449" s="4">
        <v>448.0</v>
      </c>
      <c r="K449" s="4" t="s">
        <v>99</v>
      </c>
    </row>
    <row r="450">
      <c r="A450" s="4">
        <v>449.0</v>
      </c>
      <c r="B450" s="4" t="s">
        <v>97</v>
      </c>
      <c r="D450" s="4">
        <v>449.0</v>
      </c>
      <c r="E450" s="4" t="s">
        <v>96</v>
      </c>
      <c r="G450" s="4">
        <v>449.0</v>
      </c>
      <c r="H450" s="4" t="s">
        <v>98</v>
      </c>
      <c r="I450" s="4"/>
      <c r="J450" s="4">
        <v>449.0</v>
      </c>
      <c r="K450" s="4" t="s">
        <v>99</v>
      </c>
    </row>
    <row r="451">
      <c r="A451" s="4">
        <v>450.0</v>
      </c>
      <c r="B451" s="4" t="s">
        <v>97</v>
      </c>
      <c r="D451" s="4">
        <v>450.0</v>
      </c>
      <c r="E451" s="4" t="s">
        <v>96</v>
      </c>
      <c r="G451" s="4">
        <v>450.0</v>
      </c>
      <c r="H451" s="4" t="s">
        <v>98</v>
      </c>
      <c r="I451" s="4"/>
      <c r="J451" s="4">
        <v>450.0</v>
      </c>
      <c r="K451" s="4" t="s">
        <v>99</v>
      </c>
    </row>
    <row r="452">
      <c r="A452" s="4">
        <v>451.0</v>
      </c>
      <c r="B452" s="4" t="s">
        <v>97</v>
      </c>
      <c r="D452" s="4">
        <v>451.0</v>
      </c>
      <c r="E452" s="4" t="s">
        <v>96</v>
      </c>
      <c r="G452" s="4">
        <v>451.0</v>
      </c>
      <c r="H452" s="4" t="s">
        <v>98</v>
      </c>
      <c r="I452" s="4"/>
      <c r="J452" s="4">
        <v>451.0</v>
      </c>
      <c r="K452" s="4" t="s">
        <v>99</v>
      </c>
    </row>
    <row r="453">
      <c r="A453" s="4">
        <v>452.0</v>
      </c>
      <c r="B453" s="4" t="s">
        <v>97</v>
      </c>
      <c r="D453" s="4">
        <v>452.0</v>
      </c>
      <c r="E453" s="4" t="s">
        <v>96</v>
      </c>
      <c r="G453" s="4">
        <v>452.0</v>
      </c>
      <c r="H453" s="4" t="s">
        <v>98</v>
      </c>
      <c r="I453" s="4"/>
      <c r="J453" s="4">
        <v>452.0</v>
      </c>
      <c r="K453" s="4" t="s">
        <v>99</v>
      </c>
    </row>
    <row r="454">
      <c r="A454" s="4">
        <v>453.0</v>
      </c>
      <c r="B454" s="4" t="s">
        <v>97</v>
      </c>
      <c r="D454" s="4">
        <v>453.0</v>
      </c>
      <c r="E454" s="4" t="s">
        <v>96</v>
      </c>
      <c r="G454" s="4">
        <v>453.0</v>
      </c>
      <c r="H454" s="4" t="s">
        <v>98</v>
      </c>
      <c r="I454" s="4"/>
      <c r="J454" s="4">
        <v>453.0</v>
      </c>
      <c r="K454" s="4" t="s">
        <v>99</v>
      </c>
    </row>
    <row r="455">
      <c r="A455" s="4">
        <v>454.0</v>
      </c>
      <c r="B455" s="4" t="s">
        <v>97</v>
      </c>
      <c r="D455" s="4">
        <v>454.0</v>
      </c>
      <c r="E455" s="4" t="s">
        <v>96</v>
      </c>
      <c r="G455" s="4">
        <v>454.0</v>
      </c>
      <c r="H455" s="4" t="s">
        <v>98</v>
      </c>
      <c r="I455" s="4"/>
      <c r="J455" s="4">
        <v>454.0</v>
      </c>
      <c r="K455" s="4" t="s">
        <v>99</v>
      </c>
    </row>
    <row r="456">
      <c r="A456" s="4">
        <v>455.0</v>
      </c>
      <c r="B456" s="4" t="s">
        <v>97</v>
      </c>
      <c r="D456" s="4">
        <v>455.0</v>
      </c>
      <c r="E456" s="4" t="s">
        <v>96</v>
      </c>
      <c r="G456" s="4">
        <v>455.0</v>
      </c>
      <c r="H456" s="4" t="s">
        <v>98</v>
      </c>
      <c r="I456" s="4"/>
      <c r="J456" s="4">
        <v>455.0</v>
      </c>
      <c r="K456" s="4" t="s">
        <v>99</v>
      </c>
    </row>
    <row r="457">
      <c r="A457" s="4">
        <v>456.0</v>
      </c>
      <c r="B457" s="4" t="s">
        <v>97</v>
      </c>
      <c r="D457" s="4">
        <v>456.0</v>
      </c>
      <c r="E457" s="4" t="s">
        <v>96</v>
      </c>
      <c r="G457" s="4">
        <v>456.0</v>
      </c>
      <c r="H457" s="4" t="s">
        <v>98</v>
      </c>
      <c r="I457" s="4"/>
      <c r="J457" s="4">
        <v>456.0</v>
      </c>
      <c r="K457" s="4" t="s">
        <v>99</v>
      </c>
    </row>
    <row r="458">
      <c r="A458" s="4">
        <v>457.0</v>
      </c>
      <c r="B458" s="4" t="s">
        <v>97</v>
      </c>
      <c r="D458" s="4">
        <v>457.0</v>
      </c>
      <c r="E458" s="4" t="s">
        <v>96</v>
      </c>
      <c r="G458" s="4">
        <v>457.0</v>
      </c>
      <c r="H458" s="4" t="s">
        <v>98</v>
      </c>
      <c r="I458" s="4"/>
      <c r="J458" s="4">
        <v>457.0</v>
      </c>
      <c r="K458" s="4" t="s">
        <v>99</v>
      </c>
    </row>
    <row r="459">
      <c r="A459" s="4">
        <v>458.0</v>
      </c>
      <c r="B459" s="4" t="s">
        <v>97</v>
      </c>
      <c r="D459" s="4">
        <v>458.0</v>
      </c>
      <c r="E459" s="4" t="s">
        <v>96</v>
      </c>
      <c r="G459" s="4">
        <v>458.0</v>
      </c>
      <c r="H459" s="4" t="s">
        <v>98</v>
      </c>
      <c r="I459" s="4"/>
      <c r="J459" s="4">
        <v>458.0</v>
      </c>
      <c r="K459" s="4" t="s">
        <v>99</v>
      </c>
    </row>
    <row r="460">
      <c r="A460" s="4">
        <v>459.0</v>
      </c>
      <c r="B460" s="4" t="s">
        <v>97</v>
      </c>
      <c r="D460" s="4">
        <v>459.0</v>
      </c>
      <c r="E460" s="4" t="s">
        <v>96</v>
      </c>
      <c r="G460" s="4">
        <v>459.0</v>
      </c>
      <c r="H460" s="4" t="s">
        <v>98</v>
      </c>
      <c r="I460" s="4"/>
      <c r="J460" s="4">
        <v>459.0</v>
      </c>
      <c r="K460" s="4" t="s">
        <v>99</v>
      </c>
    </row>
    <row r="461">
      <c r="A461" s="4">
        <v>460.0</v>
      </c>
      <c r="B461" s="4" t="s">
        <v>97</v>
      </c>
      <c r="D461" s="4">
        <v>460.0</v>
      </c>
      <c r="E461" s="4" t="s">
        <v>96</v>
      </c>
      <c r="G461" s="4">
        <v>460.0</v>
      </c>
      <c r="H461" s="4" t="s">
        <v>98</v>
      </c>
      <c r="I461" s="4"/>
      <c r="J461" s="4">
        <v>460.0</v>
      </c>
      <c r="K461" s="4" t="s">
        <v>99</v>
      </c>
    </row>
    <row r="462">
      <c r="A462" s="4">
        <v>461.0</v>
      </c>
      <c r="B462" s="4" t="s">
        <v>97</v>
      </c>
      <c r="D462" s="4">
        <v>461.0</v>
      </c>
      <c r="E462" s="4" t="s">
        <v>96</v>
      </c>
      <c r="G462" s="4">
        <v>461.0</v>
      </c>
      <c r="H462" s="4" t="s">
        <v>98</v>
      </c>
      <c r="I462" s="4"/>
      <c r="J462" s="4">
        <v>461.0</v>
      </c>
      <c r="K462" s="4" t="s">
        <v>99</v>
      </c>
    </row>
    <row r="463">
      <c r="A463" s="4">
        <v>462.0</v>
      </c>
      <c r="B463" s="4" t="s">
        <v>97</v>
      </c>
      <c r="D463" s="4">
        <v>462.0</v>
      </c>
      <c r="E463" s="4" t="s">
        <v>96</v>
      </c>
      <c r="G463" s="4">
        <v>462.0</v>
      </c>
      <c r="H463" s="4" t="s">
        <v>98</v>
      </c>
      <c r="I463" s="4"/>
      <c r="J463" s="4">
        <v>462.0</v>
      </c>
      <c r="K463" s="4" t="s">
        <v>99</v>
      </c>
    </row>
    <row r="464">
      <c r="A464" s="4">
        <v>463.0</v>
      </c>
      <c r="B464" s="4" t="s">
        <v>97</v>
      </c>
      <c r="D464" s="4">
        <v>463.0</v>
      </c>
      <c r="E464" s="4" t="s">
        <v>96</v>
      </c>
      <c r="G464" s="4">
        <v>463.0</v>
      </c>
      <c r="H464" s="4" t="s">
        <v>98</v>
      </c>
      <c r="I464" s="4"/>
      <c r="J464" s="4">
        <v>463.0</v>
      </c>
      <c r="K464" s="4" t="s">
        <v>99</v>
      </c>
    </row>
    <row r="465">
      <c r="A465" s="4">
        <v>464.0</v>
      </c>
      <c r="B465" s="4" t="s">
        <v>97</v>
      </c>
      <c r="D465" s="4">
        <v>464.0</v>
      </c>
      <c r="E465" s="4" t="s">
        <v>96</v>
      </c>
      <c r="G465" s="4">
        <v>464.0</v>
      </c>
      <c r="H465" s="4" t="s">
        <v>98</v>
      </c>
      <c r="I465" s="4"/>
      <c r="J465" s="4">
        <v>464.0</v>
      </c>
      <c r="K465" s="4" t="s">
        <v>99</v>
      </c>
    </row>
    <row r="466">
      <c r="A466" s="4">
        <v>465.0</v>
      </c>
      <c r="B466" s="4" t="s">
        <v>97</v>
      </c>
      <c r="D466" s="4">
        <v>465.0</v>
      </c>
      <c r="E466" s="4" t="s">
        <v>96</v>
      </c>
      <c r="G466" s="4">
        <v>465.0</v>
      </c>
      <c r="H466" s="4" t="s">
        <v>98</v>
      </c>
      <c r="I466" s="4"/>
      <c r="J466" s="4">
        <v>465.0</v>
      </c>
      <c r="K466" s="4" t="s">
        <v>99</v>
      </c>
    </row>
    <row r="467">
      <c r="A467" s="4">
        <v>466.0</v>
      </c>
      <c r="B467" s="4" t="s">
        <v>97</v>
      </c>
      <c r="D467" s="4">
        <v>466.0</v>
      </c>
      <c r="E467" s="4" t="s">
        <v>96</v>
      </c>
      <c r="G467" s="4">
        <v>466.0</v>
      </c>
      <c r="H467" s="4" t="s">
        <v>98</v>
      </c>
      <c r="I467" s="4"/>
      <c r="J467" s="4">
        <v>466.0</v>
      </c>
      <c r="K467" s="4" t="s">
        <v>99</v>
      </c>
    </row>
    <row r="468">
      <c r="A468" s="4">
        <v>467.0</v>
      </c>
      <c r="B468" s="4" t="s">
        <v>97</v>
      </c>
      <c r="D468" s="4">
        <v>467.0</v>
      </c>
      <c r="E468" s="4" t="s">
        <v>96</v>
      </c>
      <c r="G468" s="4">
        <v>467.0</v>
      </c>
      <c r="H468" s="4" t="s">
        <v>98</v>
      </c>
      <c r="I468" s="4"/>
      <c r="J468" s="4">
        <v>467.0</v>
      </c>
      <c r="K468" s="4" t="s">
        <v>99</v>
      </c>
    </row>
    <row r="469">
      <c r="A469" s="4">
        <v>468.0</v>
      </c>
      <c r="B469" s="4" t="s">
        <v>97</v>
      </c>
      <c r="D469" s="4">
        <v>468.0</v>
      </c>
      <c r="E469" s="4" t="s">
        <v>96</v>
      </c>
      <c r="G469" s="4">
        <v>468.0</v>
      </c>
      <c r="H469" s="4" t="s">
        <v>98</v>
      </c>
      <c r="I469" s="4"/>
      <c r="J469" s="4">
        <v>468.0</v>
      </c>
      <c r="K469" s="4" t="s">
        <v>99</v>
      </c>
    </row>
    <row r="470">
      <c r="A470" s="4">
        <v>469.0</v>
      </c>
      <c r="B470" s="4" t="s">
        <v>97</v>
      </c>
      <c r="D470" s="4">
        <v>469.0</v>
      </c>
      <c r="E470" s="4" t="s">
        <v>96</v>
      </c>
      <c r="G470" s="4">
        <v>469.0</v>
      </c>
      <c r="H470" s="4" t="s">
        <v>98</v>
      </c>
      <c r="I470" s="4"/>
      <c r="J470" s="4">
        <v>469.0</v>
      </c>
      <c r="K470" s="4" t="s">
        <v>99</v>
      </c>
    </row>
    <row r="471">
      <c r="A471" s="4">
        <v>470.0</v>
      </c>
      <c r="B471" s="4" t="s">
        <v>97</v>
      </c>
      <c r="D471" s="4">
        <v>470.0</v>
      </c>
      <c r="E471" s="4" t="s">
        <v>96</v>
      </c>
      <c r="G471" s="4">
        <v>470.0</v>
      </c>
      <c r="H471" s="4" t="s">
        <v>98</v>
      </c>
      <c r="I471" s="4"/>
      <c r="J471" s="4">
        <v>470.0</v>
      </c>
      <c r="K471" s="4" t="s">
        <v>99</v>
      </c>
    </row>
    <row r="472">
      <c r="A472" s="4">
        <v>471.0</v>
      </c>
      <c r="B472" s="4" t="s">
        <v>97</v>
      </c>
      <c r="D472" s="4">
        <v>471.0</v>
      </c>
      <c r="E472" s="4" t="s">
        <v>96</v>
      </c>
      <c r="G472" s="4">
        <v>471.0</v>
      </c>
      <c r="H472" s="4" t="s">
        <v>98</v>
      </c>
      <c r="I472" s="4"/>
      <c r="J472" s="4">
        <v>471.0</v>
      </c>
      <c r="K472" s="4" t="s">
        <v>99</v>
      </c>
    </row>
    <row r="473">
      <c r="A473" s="4">
        <v>472.0</v>
      </c>
      <c r="B473" s="4" t="s">
        <v>97</v>
      </c>
      <c r="D473" s="4">
        <v>472.0</v>
      </c>
      <c r="E473" s="4" t="s">
        <v>96</v>
      </c>
      <c r="G473" s="4">
        <v>472.0</v>
      </c>
      <c r="H473" s="4" t="s">
        <v>98</v>
      </c>
      <c r="I473" s="4"/>
      <c r="J473" s="4">
        <v>472.0</v>
      </c>
      <c r="K473" s="4" t="s">
        <v>99</v>
      </c>
    </row>
    <row r="474">
      <c r="A474" s="4">
        <v>473.0</v>
      </c>
      <c r="B474" s="4" t="s">
        <v>97</v>
      </c>
      <c r="D474" s="4">
        <v>473.0</v>
      </c>
      <c r="E474" s="4" t="s">
        <v>96</v>
      </c>
      <c r="G474" s="4">
        <v>473.0</v>
      </c>
      <c r="H474" s="4" t="s">
        <v>98</v>
      </c>
      <c r="I474" s="4"/>
      <c r="J474" s="4">
        <v>473.0</v>
      </c>
      <c r="K474" s="4" t="s">
        <v>99</v>
      </c>
    </row>
    <row r="475">
      <c r="A475" s="4">
        <v>474.0</v>
      </c>
      <c r="B475" s="4" t="s">
        <v>97</v>
      </c>
      <c r="D475" s="4">
        <v>474.0</v>
      </c>
      <c r="E475" s="4" t="s">
        <v>96</v>
      </c>
      <c r="G475" s="4">
        <v>474.0</v>
      </c>
      <c r="H475" s="4" t="s">
        <v>98</v>
      </c>
      <c r="I475" s="4"/>
      <c r="J475" s="4">
        <v>474.0</v>
      </c>
      <c r="K475" s="4" t="s">
        <v>99</v>
      </c>
    </row>
    <row r="476">
      <c r="A476" s="4">
        <v>475.0</v>
      </c>
      <c r="B476" s="4" t="s">
        <v>97</v>
      </c>
      <c r="D476" s="4">
        <v>475.0</v>
      </c>
      <c r="E476" s="4" t="s">
        <v>96</v>
      </c>
      <c r="G476" s="4">
        <v>475.0</v>
      </c>
      <c r="H476" s="4" t="s">
        <v>98</v>
      </c>
      <c r="I476" s="4"/>
      <c r="J476" s="4">
        <v>475.0</v>
      </c>
      <c r="K476" s="4" t="s">
        <v>99</v>
      </c>
    </row>
    <row r="477">
      <c r="A477" s="4">
        <v>476.0</v>
      </c>
      <c r="B477" s="4" t="s">
        <v>97</v>
      </c>
      <c r="D477" s="4">
        <v>476.0</v>
      </c>
      <c r="E477" s="4" t="s">
        <v>96</v>
      </c>
      <c r="G477" s="4">
        <v>476.0</v>
      </c>
      <c r="H477" s="4" t="s">
        <v>98</v>
      </c>
      <c r="I477" s="4"/>
      <c r="J477" s="4">
        <v>476.0</v>
      </c>
      <c r="K477" s="4" t="s">
        <v>99</v>
      </c>
    </row>
    <row r="478">
      <c r="A478" s="4">
        <v>477.0</v>
      </c>
      <c r="B478" s="4" t="s">
        <v>97</v>
      </c>
      <c r="D478" s="4">
        <v>477.0</v>
      </c>
      <c r="E478" s="4" t="s">
        <v>96</v>
      </c>
      <c r="G478" s="4">
        <v>477.0</v>
      </c>
      <c r="H478" s="4" t="s">
        <v>98</v>
      </c>
      <c r="I478" s="4"/>
      <c r="J478" s="4">
        <v>477.0</v>
      </c>
      <c r="K478" s="4" t="s">
        <v>99</v>
      </c>
    </row>
    <row r="479">
      <c r="A479" s="4">
        <v>478.0</v>
      </c>
      <c r="B479" s="4" t="s">
        <v>97</v>
      </c>
      <c r="D479" s="4">
        <v>478.0</v>
      </c>
      <c r="E479" s="4" t="s">
        <v>96</v>
      </c>
      <c r="G479" s="4">
        <v>478.0</v>
      </c>
      <c r="H479" s="4" t="s">
        <v>98</v>
      </c>
      <c r="I479" s="4"/>
      <c r="J479" s="4">
        <v>478.0</v>
      </c>
      <c r="K479" s="4" t="s">
        <v>99</v>
      </c>
    </row>
    <row r="480">
      <c r="A480" s="4">
        <v>479.0</v>
      </c>
      <c r="B480" s="4" t="s">
        <v>97</v>
      </c>
      <c r="D480" s="4">
        <v>479.0</v>
      </c>
      <c r="E480" s="4" t="s">
        <v>96</v>
      </c>
      <c r="G480" s="4">
        <v>479.0</v>
      </c>
      <c r="H480" s="4" t="s">
        <v>98</v>
      </c>
      <c r="I480" s="4"/>
      <c r="J480" s="4">
        <v>479.0</v>
      </c>
      <c r="K480" s="4" t="s">
        <v>99</v>
      </c>
    </row>
    <row r="481">
      <c r="A481" s="4">
        <v>480.0</v>
      </c>
      <c r="B481" s="4" t="s">
        <v>97</v>
      </c>
      <c r="D481" s="4">
        <v>480.0</v>
      </c>
      <c r="E481" s="4" t="s">
        <v>96</v>
      </c>
      <c r="G481" s="4">
        <v>480.0</v>
      </c>
      <c r="H481" s="4" t="s">
        <v>98</v>
      </c>
      <c r="I481" s="4"/>
      <c r="J481" s="4">
        <v>480.0</v>
      </c>
      <c r="K481" s="4" t="s">
        <v>99</v>
      </c>
    </row>
    <row r="482">
      <c r="A482" s="4">
        <v>481.0</v>
      </c>
      <c r="B482" s="4" t="s">
        <v>97</v>
      </c>
      <c r="D482" s="4">
        <v>481.0</v>
      </c>
      <c r="E482" s="4" t="s">
        <v>96</v>
      </c>
      <c r="G482" s="4">
        <v>481.0</v>
      </c>
      <c r="H482" s="4" t="s">
        <v>98</v>
      </c>
      <c r="I482" s="4"/>
      <c r="J482" s="4">
        <v>481.0</v>
      </c>
      <c r="K482" s="4" t="s">
        <v>99</v>
      </c>
    </row>
    <row r="483">
      <c r="A483" s="4">
        <v>482.0</v>
      </c>
      <c r="B483" s="4" t="s">
        <v>97</v>
      </c>
      <c r="D483" s="4">
        <v>482.0</v>
      </c>
      <c r="E483" s="4" t="s">
        <v>96</v>
      </c>
      <c r="G483" s="4">
        <v>482.0</v>
      </c>
      <c r="H483" s="4" t="s">
        <v>98</v>
      </c>
      <c r="I483" s="4"/>
      <c r="J483" s="4">
        <v>482.0</v>
      </c>
      <c r="K483" s="4" t="s">
        <v>99</v>
      </c>
    </row>
    <row r="484">
      <c r="A484" s="4">
        <v>483.0</v>
      </c>
      <c r="B484" s="4" t="s">
        <v>97</v>
      </c>
      <c r="D484" s="4">
        <v>483.0</v>
      </c>
      <c r="E484" s="4" t="s">
        <v>96</v>
      </c>
      <c r="G484" s="4">
        <v>483.0</v>
      </c>
      <c r="H484" s="4" t="s">
        <v>98</v>
      </c>
      <c r="I484" s="4"/>
      <c r="J484" s="4">
        <v>483.0</v>
      </c>
      <c r="K484" s="4" t="s">
        <v>99</v>
      </c>
    </row>
    <row r="485">
      <c r="A485" s="4">
        <v>484.0</v>
      </c>
      <c r="B485" s="4" t="s">
        <v>97</v>
      </c>
      <c r="D485" s="4">
        <v>484.0</v>
      </c>
      <c r="E485" s="4" t="s">
        <v>96</v>
      </c>
      <c r="G485" s="4">
        <v>484.0</v>
      </c>
      <c r="H485" s="4" t="s">
        <v>98</v>
      </c>
      <c r="I485" s="4"/>
      <c r="J485" s="4">
        <v>484.0</v>
      </c>
      <c r="K485" s="4" t="s">
        <v>99</v>
      </c>
    </row>
    <row r="486">
      <c r="A486" s="4">
        <v>485.0</v>
      </c>
      <c r="B486" s="4" t="s">
        <v>97</v>
      </c>
      <c r="D486" s="4">
        <v>485.0</v>
      </c>
      <c r="E486" s="4" t="s">
        <v>96</v>
      </c>
      <c r="G486" s="4">
        <v>485.0</v>
      </c>
      <c r="H486" s="4" t="s">
        <v>98</v>
      </c>
      <c r="I486" s="4"/>
      <c r="J486" s="4">
        <v>485.0</v>
      </c>
      <c r="K486" s="4" t="s">
        <v>99</v>
      </c>
    </row>
    <row r="487">
      <c r="A487" s="4">
        <v>486.0</v>
      </c>
      <c r="B487" s="4" t="s">
        <v>97</v>
      </c>
      <c r="D487" s="4">
        <v>486.0</v>
      </c>
      <c r="E487" s="4" t="s">
        <v>96</v>
      </c>
      <c r="G487" s="4">
        <v>486.0</v>
      </c>
      <c r="H487" s="4" t="s">
        <v>98</v>
      </c>
      <c r="I487" s="4"/>
      <c r="J487" s="4">
        <v>486.0</v>
      </c>
      <c r="K487" s="4" t="s">
        <v>99</v>
      </c>
    </row>
    <row r="488">
      <c r="A488" s="4">
        <v>487.0</v>
      </c>
      <c r="B488" s="4" t="s">
        <v>97</v>
      </c>
      <c r="D488" s="4">
        <v>487.0</v>
      </c>
      <c r="E488" s="4" t="s">
        <v>96</v>
      </c>
      <c r="G488" s="4">
        <v>487.0</v>
      </c>
      <c r="H488" s="4" t="s">
        <v>98</v>
      </c>
      <c r="I488" s="4"/>
      <c r="J488" s="4">
        <v>487.0</v>
      </c>
      <c r="K488" s="4" t="s">
        <v>99</v>
      </c>
    </row>
    <row r="489">
      <c r="A489" s="4">
        <v>488.0</v>
      </c>
      <c r="B489" s="4" t="s">
        <v>97</v>
      </c>
      <c r="D489" s="4">
        <v>488.0</v>
      </c>
      <c r="E489" s="4" t="s">
        <v>96</v>
      </c>
      <c r="G489" s="4">
        <v>488.0</v>
      </c>
      <c r="H489" s="4" t="s">
        <v>98</v>
      </c>
      <c r="I489" s="4"/>
      <c r="J489" s="4">
        <v>488.0</v>
      </c>
      <c r="K489" s="4" t="s">
        <v>99</v>
      </c>
    </row>
    <row r="490">
      <c r="A490" s="4">
        <v>489.0</v>
      </c>
      <c r="B490" s="4" t="s">
        <v>97</v>
      </c>
      <c r="D490" s="4">
        <v>489.0</v>
      </c>
      <c r="E490" s="4" t="s">
        <v>96</v>
      </c>
      <c r="G490" s="4">
        <v>489.0</v>
      </c>
      <c r="H490" s="4" t="s">
        <v>98</v>
      </c>
      <c r="I490" s="4"/>
      <c r="J490" s="4">
        <v>489.0</v>
      </c>
      <c r="K490" s="4" t="s">
        <v>99</v>
      </c>
    </row>
    <row r="491">
      <c r="A491" s="4">
        <v>490.0</v>
      </c>
      <c r="B491" s="4" t="s">
        <v>97</v>
      </c>
      <c r="D491" s="4">
        <v>490.0</v>
      </c>
      <c r="E491" s="4" t="s">
        <v>96</v>
      </c>
      <c r="G491" s="4">
        <v>490.0</v>
      </c>
      <c r="H491" s="4" t="s">
        <v>98</v>
      </c>
      <c r="I491" s="4"/>
      <c r="J491" s="4">
        <v>490.0</v>
      </c>
      <c r="K491" s="4" t="s">
        <v>99</v>
      </c>
    </row>
    <row r="492">
      <c r="A492" s="4">
        <v>491.0</v>
      </c>
      <c r="B492" s="4" t="s">
        <v>97</v>
      </c>
      <c r="D492" s="4">
        <v>491.0</v>
      </c>
      <c r="E492" s="4" t="s">
        <v>96</v>
      </c>
      <c r="G492" s="4">
        <v>491.0</v>
      </c>
      <c r="H492" s="4" t="s">
        <v>98</v>
      </c>
      <c r="I492" s="4"/>
      <c r="J492" s="4">
        <v>491.0</v>
      </c>
      <c r="K492" s="4" t="s">
        <v>99</v>
      </c>
    </row>
    <row r="493">
      <c r="A493" s="4">
        <v>492.0</v>
      </c>
      <c r="B493" s="4" t="s">
        <v>97</v>
      </c>
      <c r="D493" s="4">
        <v>492.0</v>
      </c>
      <c r="E493" s="4" t="s">
        <v>96</v>
      </c>
      <c r="G493" s="4">
        <v>492.0</v>
      </c>
      <c r="H493" s="4" t="s">
        <v>98</v>
      </c>
      <c r="I493" s="4"/>
      <c r="J493" s="4">
        <v>492.0</v>
      </c>
      <c r="K493" s="4" t="s">
        <v>99</v>
      </c>
    </row>
    <row r="494">
      <c r="A494" s="4">
        <v>493.0</v>
      </c>
      <c r="B494" s="4" t="s">
        <v>97</v>
      </c>
      <c r="D494" s="4">
        <v>493.0</v>
      </c>
      <c r="E494" s="4" t="s">
        <v>96</v>
      </c>
      <c r="G494" s="4">
        <v>493.0</v>
      </c>
      <c r="H494" s="4" t="s">
        <v>98</v>
      </c>
      <c r="I494" s="4"/>
      <c r="J494" s="4">
        <v>493.0</v>
      </c>
      <c r="K494" s="4" t="s">
        <v>99</v>
      </c>
    </row>
    <row r="495">
      <c r="A495" s="4">
        <v>494.0</v>
      </c>
      <c r="B495" s="4" t="s">
        <v>97</v>
      </c>
      <c r="D495" s="4">
        <v>494.0</v>
      </c>
      <c r="E495" s="4" t="s">
        <v>96</v>
      </c>
      <c r="G495" s="4">
        <v>494.0</v>
      </c>
      <c r="H495" s="4" t="s">
        <v>98</v>
      </c>
      <c r="I495" s="4"/>
      <c r="J495" s="4">
        <v>494.0</v>
      </c>
      <c r="K495" s="4" t="s">
        <v>99</v>
      </c>
    </row>
    <row r="496">
      <c r="A496" s="4">
        <v>495.0</v>
      </c>
      <c r="B496" s="4" t="s">
        <v>97</v>
      </c>
      <c r="D496" s="4">
        <v>495.0</v>
      </c>
      <c r="E496" s="4" t="s">
        <v>96</v>
      </c>
      <c r="G496" s="4">
        <v>495.0</v>
      </c>
      <c r="H496" s="4" t="s">
        <v>98</v>
      </c>
      <c r="I496" s="4"/>
      <c r="J496" s="4">
        <v>495.0</v>
      </c>
      <c r="K496" s="4" t="s">
        <v>99</v>
      </c>
    </row>
    <row r="497">
      <c r="A497" s="4">
        <v>496.0</v>
      </c>
      <c r="B497" s="4" t="s">
        <v>97</v>
      </c>
      <c r="D497" s="4">
        <v>496.0</v>
      </c>
      <c r="E497" s="4" t="s">
        <v>96</v>
      </c>
      <c r="G497" s="4">
        <v>496.0</v>
      </c>
      <c r="H497" s="4" t="s">
        <v>98</v>
      </c>
      <c r="I497" s="4"/>
      <c r="J497" s="4">
        <v>496.0</v>
      </c>
      <c r="K497" s="4" t="s">
        <v>99</v>
      </c>
    </row>
    <row r="498">
      <c r="A498" s="4">
        <v>497.0</v>
      </c>
      <c r="B498" s="4" t="s">
        <v>97</v>
      </c>
      <c r="D498" s="4">
        <v>497.0</v>
      </c>
      <c r="E498" s="4" t="s">
        <v>96</v>
      </c>
      <c r="G498" s="4">
        <v>497.0</v>
      </c>
      <c r="H498" s="4" t="s">
        <v>98</v>
      </c>
      <c r="I498" s="4"/>
      <c r="J498" s="4">
        <v>497.0</v>
      </c>
      <c r="K498" s="4" t="s">
        <v>99</v>
      </c>
    </row>
    <row r="499">
      <c r="A499" s="4">
        <v>498.0</v>
      </c>
      <c r="B499" s="4" t="s">
        <v>97</v>
      </c>
      <c r="D499" s="4">
        <v>498.0</v>
      </c>
      <c r="E499" s="4" t="s">
        <v>96</v>
      </c>
      <c r="G499" s="4">
        <v>498.0</v>
      </c>
      <c r="H499" s="4" t="s">
        <v>98</v>
      </c>
      <c r="I499" s="4"/>
      <c r="J499" s="4">
        <v>498.0</v>
      </c>
      <c r="K499" s="4" t="s">
        <v>99</v>
      </c>
    </row>
    <row r="500">
      <c r="A500" s="4">
        <v>499.0</v>
      </c>
      <c r="B500" s="4" t="s">
        <v>97</v>
      </c>
      <c r="D500" s="4">
        <v>499.0</v>
      </c>
      <c r="E500" s="4" t="s">
        <v>96</v>
      </c>
      <c r="G500" s="4">
        <v>499.0</v>
      </c>
      <c r="H500" s="4" t="s">
        <v>98</v>
      </c>
      <c r="I500" s="4"/>
      <c r="J500" s="4">
        <v>499.0</v>
      </c>
      <c r="K500" s="4" t="s">
        <v>99</v>
      </c>
    </row>
    <row r="501">
      <c r="A501" s="4">
        <v>500.0</v>
      </c>
      <c r="B501" s="4" t="s">
        <v>97</v>
      </c>
      <c r="D501" s="4">
        <v>500.0</v>
      </c>
      <c r="E501" s="4" t="s">
        <v>96</v>
      </c>
      <c r="G501" s="4">
        <v>500.0</v>
      </c>
      <c r="H501" s="4" t="s">
        <v>98</v>
      </c>
      <c r="I501" s="4"/>
      <c r="J501" s="4">
        <v>500.0</v>
      </c>
      <c r="K501" s="4" t="s">
        <v>99</v>
      </c>
    </row>
  </sheetData>
  <mergeCells count="4">
    <mergeCell ref="A1:B1"/>
    <mergeCell ref="D1:E1"/>
    <mergeCell ref="G1:H1"/>
    <mergeCell ref="J1:K1"/>
  </mergeCells>
  <drawing r:id="rId1"/>
</worksheet>
</file>

<file path=xl/worksheets/sheet4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4" t="s">
        <v>570</v>
      </c>
      <c r="B1" s="4" t="s">
        <v>571</v>
      </c>
      <c r="C1" s="4" t="s">
        <v>572</v>
      </c>
      <c r="D1" s="4" t="s">
        <v>573</v>
      </c>
      <c r="E1" s="4" t="s">
        <v>574</v>
      </c>
      <c r="F1" s="4" t="s">
        <v>575</v>
      </c>
      <c r="G1" s="4" t="s">
        <v>576</v>
      </c>
      <c r="H1" s="4" t="s">
        <v>577</v>
      </c>
      <c r="I1" s="4" t="s">
        <v>578</v>
      </c>
      <c r="J1" s="4" t="s">
        <v>579</v>
      </c>
      <c r="K1" s="4" t="s">
        <v>580</v>
      </c>
      <c r="L1" s="4" t="s">
        <v>581</v>
      </c>
      <c r="M1" s="4" t="s">
        <v>582</v>
      </c>
      <c r="N1" s="4" t="s">
        <v>583</v>
      </c>
      <c r="O1" s="4" t="s">
        <v>584</v>
      </c>
      <c r="P1" s="4" t="s">
        <v>585</v>
      </c>
      <c r="Q1" s="4" t="s">
        <v>586</v>
      </c>
      <c r="R1" s="4" t="s">
        <v>587</v>
      </c>
      <c r="S1" s="4" t="s">
        <v>588</v>
      </c>
      <c r="T1" s="4" t="s">
        <v>589</v>
      </c>
      <c r="U1" s="4" t="s">
        <v>590</v>
      </c>
      <c r="V1" s="4" t="s">
        <v>591</v>
      </c>
      <c r="W1" s="4" t="s">
        <v>592</v>
      </c>
      <c r="X1" s="4" t="s">
        <v>593</v>
      </c>
      <c r="Y1" s="4" t="s">
        <v>594</v>
      </c>
      <c r="Z1" s="4" t="s">
        <v>595</v>
      </c>
      <c r="AA1" s="4" t="s">
        <v>596</v>
      </c>
      <c r="AB1" s="4" t="s">
        <v>597</v>
      </c>
      <c r="AC1" s="4" t="s">
        <v>598</v>
      </c>
    </row>
  </sheetData>
  <drawing r:id="rId1"/>
</worksheet>
</file>

<file path=xl/worksheets/sheet4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5.43"/>
    <col customWidth="1" min="2" max="2" width="4.71"/>
    <col customWidth="1" min="3" max="3" width="5.71"/>
    <col customWidth="1" min="4" max="4" width="7.29"/>
    <col customWidth="1" min="5" max="5" width="6.14"/>
    <col customWidth="1" min="6" max="6" width="15.86"/>
    <col customWidth="1" min="7" max="7" width="8.0"/>
    <col customWidth="1" min="8" max="8" width="18.29"/>
    <col customWidth="1" min="9" max="22" width="5.43"/>
    <col customWidth="1" min="23" max="23" width="4.14"/>
  </cols>
  <sheetData>
    <row r="1">
      <c r="A1" s="56" t="s">
        <v>134</v>
      </c>
    </row>
    <row r="4" ht="3.0" customHeight="1">
      <c r="A4" s="4"/>
    </row>
    <row r="5" ht="18.75" customHeight="1">
      <c r="A5" s="14"/>
      <c r="B5" s="14"/>
      <c r="C5" s="14"/>
      <c r="D5" s="14"/>
      <c r="E5" s="16" t="s">
        <v>35</v>
      </c>
      <c r="F5" s="18" t="s">
        <v>22</v>
      </c>
      <c r="G5" s="57" t="s">
        <v>23</v>
      </c>
      <c r="H5" s="18" t="s">
        <v>25</v>
      </c>
      <c r="I5" s="57" t="s">
        <v>115</v>
      </c>
      <c r="L5" s="57"/>
      <c r="M5" s="57" t="s">
        <v>116</v>
      </c>
      <c r="P5" s="57"/>
      <c r="Q5" s="57" t="s">
        <v>117</v>
      </c>
      <c r="T5" s="57"/>
      <c r="U5" s="57" t="s">
        <v>118</v>
      </c>
      <c r="V5" s="57" t="s">
        <v>119</v>
      </c>
      <c r="W5" s="57"/>
    </row>
    <row r="6">
      <c r="A6" s="58">
        <v>97.0</v>
      </c>
      <c r="B6" s="59" t="s">
        <v>120</v>
      </c>
      <c r="C6" s="59">
        <v>12.0</v>
      </c>
      <c r="D6" s="60" t="str">
        <f>IFERROR(__xludf.DUMMYFUNCTION("ARRAY_CONSTRAIN(sort(filter(WJV_Tie_Breaker!D6:X285,WJV_Tie_Breaker!D6:D285=""97 WJV""),18,false,4,true,20,false,21,true),10,19)"),"97 WJV")</f>
        <v>97 WJV</v>
      </c>
      <c r="E6" s="61" t="str">
        <f>IFERROR(__xludf.DUMMYFUNCTION("""COMPUTED_VALUE"""),"WJV")</f>
        <v>WJV</v>
      </c>
      <c r="F6" s="62" t="str">
        <f>IFERROR(__xludf.DUMMYFUNCTION("""COMPUTED_VALUE"""),"Central Montcalm")</f>
        <v>Central Montcalm</v>
      </c>
      <c r="G6" s="61">
        <f>IFERROR(__xludf.DUMMYFUNCTION("""COMPUTED_VALUE"""),90.8)</f>
        <v>90.8</v>
      </c>
      <c r="H6" s="62" t="str">
        <f>IFERROR(__xludf.DUMMYFUNCTION("""COMPUTED_VALUE"""),"Kalnins, Carrie")</f>
        <v>Kalnins, Carrie</v>
      </c>
      <c r="I6" s="63" t="str">
        <f>IFERROR(__xludf.DUMMYFUNCTION("""COMPUTED_VALUE"""),"130g")</f>
        <v>130g</v>
      </c>
      <c r="J6" s="61" t="str">
        <f>IFERROR(__xludf.DUMMYFUNCTION("""COMPUTED_VALUE"""),"140g")</f>
        <v>140g</v>
      </c>
      <c r="K6" s="61" t="str">
        <f>IFERROR(__xludf.DUMMYFUNCTION("""COMPUTED_VALUE"""),"155g")</f>
        <v>155g</v>
      </c>
      <c r="L6" s="64">
        <f>IFERROR(__xludf.DUMMYFUNCTION("""COMPUTED_VALUE"""),155.0)</f>
        <v>155</v>
      </c>
      <c r="M6" s="65" t="str">
        <f>IFERROR(__xludf.DUMMYFUNCTION("""COMPUTED_VALUE"""),"75g")</f>
        <v>75g</v>
      </c>
      <c r="N6" s="65" t="str">
        <f>IFERROR(__xludf.DUMMYFUNCTION("""COMPUTED_VALUE"""),"80g")</f>
        <v>80g</v>
      </c>
      <c r="O6" s="65" t="str">
        <f>IFERROR(__xludf.DUMMYFUNCTION("""COMPUTED_VALUE"""),"85x")</f>
        <v>85x</v>
      </c>
      <c r="P6" s="64">
        <f>IFERROR(__xludf.DUMMYFUNCTION("""COMPUTED_VALUE"""),80.0)</f>
        <v>80</v>
      </c>
      <c r="Q6" s="65" t="str">
        <f>IFERROR(__xludf.DUMMYFUNCTION("""COMPUTED_VALUE"""),"165g")</f>
        <v>165g</v>
      </c>
      <c r="R6" s="65" t="str">
        <f>IFERROR(__xludf.DUMMYFUNCTION("""COMPUTED_VALUE"""),"180g")</f>
        <v>180g</v>
      </c>
      <c r="S6" s="65" t="str">
        <f>IFERROR(__xludf.DUMMYFUNCTION("""COMPUTED_VALUE"""),"195x")</f>
        <v>195x</v>
      </c>
      <c r="T6" s="64">
        <f>IFERROR(__xludf.DUMMYFUNCTION("""COMPUTED_VALUE"""),180.0)</f>
        <v>180</v>
      </c>
      <c r="U6" s="66">
        <f>IFERROR(__xludf.DUMMYFUNCTION("""COMPUTED_VALUE"""),415.0)</f>
        <v>415</v>
      </c>
      <c r="V6" s="78">
        <f>IFERROR(__xludf.DUMMYFUNCTION("""COMPUTED_VALUE"""),4.570484581497798)</f>
        <v>4.570484581</v>
      </c>
    </row>
    <row r="7">
      <c r="B7" s="59" t="s">
        <v>121</v>
      </c>
      <c r="C7" s="59">
        <v>9.0</v>
      </c>
      <c r="D7" s="59" t="str">
        <f>IFERROR(__xludf.DUMMYFUNCTION("""COMPUTED_VALUE"""),"97 WJV")</f>
        <v>97 WJV</v>
      </c>
      <c r="E7" s="61" t="str">
        <f>IFERROR(__xludf.DUMMYFUNCTION("""COMPUTED_VALUE"""),"WJV")</f>
        <v>WJV</v>
      </c>
      <c r="F7" s="62" t="str">
        <f>IFERROR(__xludf.DUMMYFUNCTION("""COMPUTED_VALUE"""),"Martin")</f>
        <v>Martin</v>
      </c>
      <c r="G7" s="61">
        <f>IFERROR(__xludf.DUMMYFUNCTION("""COMPUTED_VALUE"""),94.4)</f>
        <v>94.4</v>
      </c>
      <c r="H7" s="62" t="str">
        <f>IFERROR(__xludf.DUMMYFUNCTION("""COMPUTED_VALUE"""),"Bozzo, Kyia")</f>
        <v>Bozzo, Kyia</v>
      </c>
      <c r="I7" s="63" t="str">
        <f>IFERROR(__xludf.DUMMYFUNCTION("""COMPUTED_VALUE"""),"115g")</f>
        <v>115g</v>
      </c>
      <c r="J7" s="61" t="str">
        <f>IFERROR(__xludf.DUMMYFUNCTION("""COMPUTED_VALUE"""),"135g")</f>
        <v>135g</v>
      </c>
      <c r="K7" s="61" t="str">
        <f>IFERROR(__xludf.DUMMYFUNCTION("""COMPUTED_VALUE"""),"150x")</f>
        <v>150x</v>
      </c>
      <c r="L7" s="64">
        <f>IFERROR(__xludf.DUMMYFUNCTION("""COMPUTED_VALUE"""),135.0)</f>
        <v>135</v>
      </c>
      <c r="M7" s="65" t="str">
        <f>IFERROR(__xludf.DUMMYFUNCTION("""COMPUTED_VALUE"""),"60g")</f>
        <v>60g</v>
      </c>
      <c r="N7" s="65" t="str">
        <f>IFERROR(__xludf.DUMMYFUNCTION("""COMPUTED_VALUE"""),"70g")</f>
        <v>70g</v>
      </c>
      <c r="O7" s="65" t="str">
        <f>IFERROR(__xludf.DUMMYFUNCTION("""COMPUTED_VALUE"""),"80g")</f>
        <v>80g</v>
      </c>
      <c r="P7" s="64">
        <f>IFERROR(__xludf.DUMMYFUNCTION("""COMPUTED_VALUE"""),80.0)</f>
        <v>80</v>
      </c>
      <c r="Q7" s="65" t="str">
        <f>IFERROR(__xludf.DUMMYFUNCTION("""COMPUTED_VALUE"""),"140g")</f>
        <v>140g</v>
      </c>
      <c r="R7" s="65" t="str">
        <f>IFERROR(__xludf.DUMMYFUNCTION("""COMPUTED_VALUE"""),"160g")</f>
        <v>160g</v>
      </c>
      <c r="S7" s="65" t="str">
        <f>IFERROR(__xludf.DUMMYFUNCTION("""COMPUTED_VALUE"""),"180g")</f>
        <v>180g</v>
      </c>
      <c r="T7" s="64">
        <f>IFERROR(__xludf.DUMMYFUNCTION("""COMPUTED_VALUE"""),180.0)</f>
        <v>180</v>
      </c>
      <c r="U7" s="66">
        <f>IFERROR(__xludf.DUMMYFUNCTION("""COMPUTED_VALUE"""),395.0)</f>
        <v>395</v>
      </c>
      <c r="V7" s="78">
        <f>IFERROR(__xludf.DUMMYFUNCTION("""COMPUTED_VALUE"""),4.1843220338983045)</f>
        <v>4.184322034</v>
      </c>
    </row>
    <row r="8">
      <c r="B8" s="59" t="s">
        <v>122</v>
      </c>
      <c r="C8" s="59">
        <f>if(countif(F6:F7,F8)&gt;1,0,8)</f>
        <v>8</v>
      </c>
      <c r="D8" s="59" t="str">
        <f>IFERROR(__xludf.DUMMYFUNCTION("""COMPUTED_VALUE"""),"97 WJV")</f>
        <v>97 WJV</v>
      </c>
      <c r="E8" s="61" t="str">
        <f>IFERROR(__xludf.DUMMYFUNCTION("""COMPUTED_VALUE"""),"WJV")</f>
        <v>WJV</v>
      </c>
      <c r="F8" s="62" t="str">
        <f>IFERROR(__xludf.DUMMYFUNCTION("""COMPUTED_VALUE"""),"Cros-Lex")</f>
        <v>Cros-Lex</v>
      </c>
      <c r="G8" s="61">
        <f>IFERROR(__xludf.DUMMYFUNCTION("""COMPUTED_VALUE"""),83.6)</f>
        <v>83.6</v>
      </c>
      <c r="H8" s="62" t="str">
        <f>IFERROR(__xludf.DUMMYFUNCTION("""COMPUTED_VALUE"""),"Hendrick, taylor")</f>
        <v>Hendrick, taylor</v>
      </c>
      <c r="I8" s="63" t="str">
        <f>IFERROR(__xludf.DUMMYFUNCTION("""COMPUTED_VALUE"""),"100g")</f>
        <v>100g</v>
      </c>
      <c r="J8" s="61" t="str">
        <f>IFERROR(__xludf.DUMMYFUNCTION("""COMPUTED_VALUE"""),"110g")</f>
        <v>110g</v>
      </c>
      <c r="K8" s="61" t="str">
        <f>IFERROR(__xludf.DUMMYFUNCTION("""COMPUTED_VALUE"""),"115x")</f>
        <v>115x</v>
      </c>
      <c r="L8" s="64">
        <f>IFERROR(__xludf.DUMMYFUNCTION("""COMPUTED_VALUE"""),110.0)</f>
        <v>110</v>
      </c>
      <c r="M8" s="65" t="str">
        <f>IFERROR(__xludf.DUMMYFUNCTION("""COMPUTED_VALUE"""),"65g")</f>
        <v>65g</v>
      </c>
      <c r="N8" s="65" t="str">
        <f>IFERROR(__xludf.DUMMYFUNCTION("""COMPUTED_VALUE"""),"70g")</f>
        <v>70g</v>
      </c>
      <c r="O8" s="65" t="str">
        <f>IFERROR(__xludf.DUMMYFUNCTION("""COMPUTED_VALUE"""),"75g")</f>
        <v>75g</v>
      </c>
      <c r="P8" s="64">
        <f>IFERROR(__xludf.DUMMYFUNCTION("""COMPUTED_VALUE"""),75.0)</f>
        <v>75</v>
      </c>
      <c r="Q8" s="65" t="str">
        <f>IFERROR(__xludf.DUMMYFUNCTION("""COMPUTED_VALUE"""),"150g")</f>
        <v>150g</v>
      </c>
      <c r="R8" s="65" t="str">
        <f>IFERROR(__xludf.DUMMYFUNCTION("""COMPUTED_VALUE"""),"165g")</f>
        <v>165g</v>
      </c>
      <c r="S8" s="65" t="str">
        <f>IFERROR(__xludf.DUMMYFUNCTION("""COMPUTED_VALUE"""),"190g")</f>
        <v>190g</v>
      </c>
      <c r="T8" s="64">
        <f>IFERROR(__xludf.DUMMYFUNCTION("""COMPUTED_VALUE"""),190.0)</f>
        <v>190</v>
      </c>
      <c r="U8" s="66">
        <f>IFERROR(__xludf.DUMMYFUNCTION("""COMPUTED_VALUE"""),375.0)</f>
        <v>375</v>
      </c>
      <c r="V8" s="78">
        <f>IFERROR(__xludf.DUMMYFUNCTION("""COMPUTED_VALUE"""),4.4856459330143545)</f>
        <v>4.485645933</v>
      </c>
    </row>
    <row r="9">
      <c r="B9" s="59" t="s">
        <v>123</v>
      </c>
      <c r="C9" s="59">
        <f>if(countif(F6:F8,F9)&gt;1,0,7)</f>
        <v>7</v>
      </c>
      <c r="D9" s="59" t="str">
        <f>IFERROR(__xludf.DUMMYFUNCTION("""COMPUTED_VALUE"""),"97 WJV")</f>
        <v>97 WJV</v>
      </c>
      <c r="E9" s="61" t="str">
        <f>IFERROR(__xludf.DUMMYFUNCTION("""COMPUTED_VALUE"""),"WJV")</f>
        <v>WJV</v>
      </c>
      <c r="F9" s="62" t="str">
        <f>IFERROR(__xludf.DUMMYFUNCTION("""COMPUTED_VALUE"""),"Kearsley")</f>
        <v>Kearsley</v>
      </c>
      <c r="G9" s="61">
        <f>IFERROR(__xludf.DUMMYFUNCTION("""COMPUTED_VALUE"""),95.0)</f>
        <v>95</v>
      </c>
      <c r="H9" s="62" t="str">
        <f>IFERROR(__xludf.DUMMYFUNCTION("""COMPUTED_VALUE"""),"Boggs, Ava")</f>
        <v>Boggs, Ava</v>
      </c>
      <c r="I9" s="63" t="str">
        <f>IFERROR(__xludf.DUMMYFUNCTION("""COMPUTED_VALUE"""),"110g")</f>
        <v>110g</v>
      </c>
      <c r="J9" s="61" t="str">
        <f>IFERROR(__xludf.DUMMYFUNCTION("""COMPUTED_VALUE"""),"115g")</f>
        <v>115g</v>
      </c>
      <c r="K9" s="61" t="str">
        <f>IFERROR(__xludf.DUMMYFUNCTION("""COMPUTED_VALUE"""),"125x")</f>
        <v>125x</v>
      </c>
      <c r="L9" s="64">
        <f>IFERROR(__xludf.DUMMYFUNCTION("""COMPUTED_VALUE"""),115.0)</f>
        <v>115</v>
      </c>
      <c r="M9" s="65" t="str">
        <f>IFERROR(__xludf.DUMMYFUNCTION("""COMPUTED_VALUE"""),"55g")</f>
        <v>55g</v>
      </c>
      <c r="N9" s="65">
        <f>IFERROR(__xludf.DUMMYFUNCTION("""COMPUTED_VALUE"""),65.0)</f>
        <v>65</v>
      </c>
      <c r="O9" s="65" t="str">
        <f>IFERROR(__xludf.DUMMYFUNCTION("""COMPUTED_VALUE"""),"75x")</f>
        <v>75x</v>
      </c>
      <c r="P9" s="64">
        <f>IFERROR(__xludf.DUMMYFUNCTION("""COMPUTED_VALUE"""),55.0)</f>
        <v>55</v>
      </c>
      <c r="Q9" s="65" t="str">
        <f>IFERROR(__xludf.DUMMYFUNCTION("""COMPUTED_VALUE"""),"145g")</f>
        <v>145g</v>
      </c>
      <c r="R9" s="65" t="str">
        <f>IFERROR(__xludf.DUMMYFUNCTION("""COMPUTED_VALUE"""),"160g")</f>
        <v>160g</v>
      </c>
      <c r="S9" s="65" t="str">
        <f>IFERROR(__xludf.DUMMYFUNCTION("""COMPUTED_VALUE"""),"190g")</f>
        <v>190g</v>
      </c>
      <c r="T9" s="64">
        <f>IFERROR(__xludf.DUMMYFUNCTION("""COMPUTED_VALUE"""),190.0)</f>
        <v>190</v>
      </c>
      <c r="U9" s="66">
        <f>IFERROR(__xludf.DUMMYFUNCTION("""COMPUTED_VALUE"""),360.0)</f>
        <v>360</v>
      </c>
      <c r="V9" s="78">
        <f>IFERROR(__xludf.DUMMYFUNCTION("""COMPUTED_VALUE"""),3.789473684210526)</f>
        <v>3.789473684</v>
      </c>
    </row>
    <row r="10">
      <c r="B10" s="59" t="s">
        <v>124</v>
      </c>
      <c r="C10" s="59">
        <f>if(countif(F6:F9,F10)&gt;1,0,6)</f>
        <v>6</v>
      </c>
      <c r="D10" s="59" t="str">
        <f>IFERROR(__xludf.DUMMYFUNCTION("""COMPUTED_VALUE"""),"97 WJV")</f>
        <v>97 WJV</v>
      </c>
      <c r="E10" s="61" t="str">
        <f>IFERROR(__xludf.DUMMYFUNCTION("""COMPUTED_VALUE"""),"WJV")</f>
        <v>WJV</v>
      </c>
      <c r="F10" s="62" t="str">
        <f>IFERROR(__xludf.DUMMYFUNCTION("""COMPUTED_VALUE"""),"Central Montcalm")</f>
        <v>Central Montcalm</v>
      </c>
      <c r="G10" s="61">
        <f>IFERROR(__xludf.DUMMYFUNCTION("""COMPUTED_VALUE"""),95.3)</f>
        <v>95.3</v>
      </c>
      <c r="H10" s="62" t="str">
        <f>IFERROR(__xludf.DUMMYFUNCTION("""COMPUTED_VALUE"""),"Stauffer, Payton")</f>
        <v>Stauffer, Payton</v>
      </c>
      <c r="I10" s="63" t="str">
        <f>IFERROR(__xludf.DUMMYFUNCTION("""COMPUTED_VALUE"""),"95g")</f>
        <v>95g</v>
      </c>
      <c r="J10" s="61" t="str">
        <f>IFERROR(__xludf.DUMMYFUNCTION("""COMPUTED_VALUE"""),"105g")</f>
        <v>105g</v>
      </c>
      <c r="K10" s="61" t="str">
        <f>IFERROR(__xludf.DUMMYFUNCTION("""COMPUTED_VALUE"""),"110g")</f>
        <v>110g</v>
      </c>
      <c r="L10" s="64">
        <f>IFERROR(__xludf.DUMMYFUNCTION("""COMPUTED_VALUE"""),110.0)</f>
        <v>110</v>
      </c>
      <c r="M10" s="65" t="str">
        <f>IFERROR(__xludf.DUMMYFUNCTION("""COMPUTED_VALUE"""),"60g")</f>
        <v>60g</v>
      </c>
      <c r="N10" s="65" t="str">
        <f>IFERROR(__xludf.DUMMYFUNCTION("""COMPUTED_VALUE"""),"65g")</f>
        <v>65g</v>
      </c>
      <c r="O10" s="65" t="str">
        <f>IFERROR(__xludf.DUMMYFUNCTION("""COMPUTED_VALUE"""),"70x")</f>
        <v>70x</v>
      </c>
      <c r="P10" s="64">
        <f>IFERROR(__xludf.DUMMYFUNCTION("""COMPUTED_VALUE"""),65.0)</f>
        <v>65</v>
      </c>
      <c r="Q10" s="65" t="str">
        <f>IFERROR(__xludf.DUMMYFUNCTION("""COMPUTED_VALUE"""),"155g")</f>
        <v>155g</v>
      </c>
      <c r="R10" s="65" t="str">
        <f>IFERROR(__xludf.DUMMYFUNCTION("""COMPUTED_VALUE"""),"165g")</f>
        <v>165g</v>
      </c>
      <c r="S10" s="65" t="str">
        <f>IFERROR(__xludf.DUMMYFUNCTION("""COMPUTED_VALUE"""),"170g")</f>
        <v>170g</v>
      </c>
      <c r="T10" s="64">
        <f>IFERROR(__xludf.DUMMYFUNCTION("""COMPUTED_VALUE"""),170.0)</f>
        <v>170</v>
      </c>
      <c r="U10" s="66">
        <f>IFERROR(__xludf.DUMMYFUNCTION("""COMPUTED_VALUE"""),345.0)</f>
        <v>345</v>
      </c>
      <c r="V10" s="78">
        <f>IFERROR(__xludf.DUMMYFUNCTION("""COMPUTED_VALUE"""),3.620146904512067)</f>
        <v>3.620146905</v>
      </c>
    </row>
    <row r="11">
      <c r="B11" s="59" t="s">
        <v>125</v>
      </c>
      <c r="C11" s="59">
        <f>if(countif(F6:F10,F11)&gt;1,0,5)</f>
        <v>5</v>
      </c>
      <c r="D11" s="59" t="str">
        <f>IFERROR(__xludf.DUMMYFUNCTION("""COMPUTED_VALUE"""),"97 WJV")</f>
        <v>97 WJV</v>
      </c>
      <c r="E11" s="61" t="str">
        <f>IFERROR(__xludf.DUMMYFUNCTION("""COMPUTED_VALUE"""),"WJV")</f>
        <v>WJV</v>
      </c>
      <c r="F11" s="62" t="str">
        <f>IFERROR(__xludf.DUMMYFUNCTION("""COMPUTED_VALUE"""),"Yale")</f>
        <v>Yale</v>
      </c>
      <c r="G11" s="61">
        <f>IFERROR(__xludf.DUMMYFUNCTION("""COMPUTED_VALUE"""),92.0)</f>
        <v>92</v>
      </c>
      <c r="H11" s="62" t="str">
        <f>IFERROR(__xludf.DUMMYFUNCTION("""COMPUTED_VALUE"""),"Ferguson, Juliana")</f>
        <v>Ferguson, Juliana</v>
      </c>
      <c r="I11" s="63" t="str">
        <f>IFERROR(__xludf.DUMMYFUNCTION("""COMPUTED_VALUE"""),"100g")</f>
        <v>100g</v>
      </c>
      <c r="J11" s="61" t="str">
        <f>IFERROR(__xludf.DUMMYFUNCTION("""COMPUTED_VALUE"""),"110g")</f>
        <v>110g</v>
      </c>
      <c r="K11" s="61" t="str">
        <f>IFERROR(__xludf.DUMMYFUNCTION("""COMPUTED_VALUE"""),"125x")</f>
        <v>125x</v>
      </c>
      <c r="L11" s="64">
        <f>IFERROR(__xludf.DUMMYFUNCTION("""COMPUTED_VALUE"""),110.0)</f>
        <v>110</v>
      </c>
      <c r="M11" s="65" t="str">
        <f>IFERROR(__xludf.DUMMYFUNCTION("""COMPUTED_VALUE"""),"50g")</f>
        <v>50g</v>
      </c>
      <c r="N11" s="65" t="str">
        <f>IFERROR(__xludf.DUMMYFUNCTION("""COMPUTED_VALUE"""),"60g")</f>
        <v>60g</v>
      </c>
      <c r="O11" s="65" t="str">
        <f>IFERROR(__xludf.DUMMYFUNCTION("""COMPUTED_VALUE"""),"70x")</f>
        <v>70x</v>
      </c>
      <c r="P11" s="64">
        <f>IFERROR(__xludf.DUMMYFUNCTION("""COMPUTED_VALUE"""),60.0)</f>
        <v>60</v>
      </c>
      <c r="Q11" s="65" t="str">
        <f>IFERROR(__xludf.DUMMYFUNCTION("""COMPUTED_VALUE"""),"125g")</f>
        <v>125g</v>
      </c>
      <c r="R11" s="65" t="str">
        <f>IFERROR(__xludf.DUMMYFUNCTION("""COMPUTED_VALUE"""),"145g")</f>
        <v>145g</v>
      </c>
      <c r="S11" s="65" t="str">
        <f>IFERROR(__xludf.DUMMYFUNCTION("""COMPUTED_VALUE"""),"170g")</f>
        <v>170g</v>
      </c>
      <c r="T11" s="64">
        <f>IFERROR(__xludf.DUMMYFUNCTION("""COMPUTED_VALUE"""),170.0)</f>
        <v>170</v>
      </c>
      <c r="U11" s="66">
        <f>IFERROR(__xludf.DUMMYFUNCTION("""COMPUTED_VALUE"""),340.0)</f>
        <v>340</v>
      </c>
      <c r="V11" s="78">
        <f>IFERROR(__xludf.DUMMYFUNCTION("""COMPUTED_VALUE"""),3.6956521739130435)</f>
        <v>3.695652174</v>
      </c>
    </row>
    <row r="12">
      <c r="B12" s="59" t="s">
        <v>126</v>
      </c>
      <c r="C12" s="59">
        <f>if(countif(F6:F11,F12)&gt;1,0,4)</f>
        <v>4</v>
      </c>
      <c r="D12" s="59" t="str">
        <f>IFERROR(__xludf.DUMMYFUNCTION("""COMPUTED_VALUE"""),"97 WJV")</f>
        <v>97 WJV</v>
      </c>
      <c r="E12" s="61" t="str">
        <f>IFERROR(__xludf.DUMMYFUNCTION("""COMPUTED_VALUE"""),"WJV")</f>
        <v>WJV</v>
      </c>
      <c r="F12" s="62" t="str">
        <f>IFERROR(__xludf.DUMMYFUNCTION("""COMPUTED_VALUE"""),"Elk Rapids")</f>
        <v>Elk Rapids</v>
      </c>
      <c r="G12" s="61">
        <f>IFERROR(__xludf.DUMMYFUNCTION("""COMPUTED_VALUE"""),93.5)</f>
        <v>93.5</v>
      </c>
      <c r="H12" s="62" t="str">
        <f>IFERROR(__xludf.DUMMYFUNCTION("""COMPUTED_VALUE"""),"Pyle, Abigail")</f>
        <v>Pyle, Abigail</v>
      </c>
      <c r="I12" s="63" t="str">
        <f>IFERROR(__xludf.DUMMYFUNCTION("""COMPUTED_VALUE"""),"95g")</f>
        <v>95g</v>
      </c>
      <c r="J12" s="61" t="str">
        <f>IFERROR(__xludf.DUMMYFUNCTION("""COMPUTED_VALUE"""),"95g")</f>
        <v>95g</v>
      </c>
      <c r="K12" s="61" t="str">
        <f>IFERROR(__xludf.DUMMYFUNCTION("""COMPUTED_VALUE"""),"100g")</f>
        <v>100g</v>
      </c>
      <c r="L12" s="64">
        <f>IFERROR(__xludf.DUMMYFUNCTION("""COMPUTED_VALUE"""),100.0)</f>
        <v>100</v>
      </c>
      <c r="M12" s="65" t="str">
        <f>IFERROR(__xludf.DUMMYFUNCTION("""COMPUTED_VALUE"""),"50g")</f>
        <v>50g</v>
      </c>
      <c r="N12" s="65" t="str">
        <f>IFERROR(__xludf.DUMMYFUNCTION("""COMPUTED_VALUE"""),"55g")</f>
        <v>55g</v>
      </c>
      <c r="O12" s="65" t="str">
        <f>IFERROR(__xludf.DUMMYFUNCTION("""COMPUTED_VALUE"""),"65g")</f>
        <v>65g</v>
      </c>
      <c r="P12" s="64">
        <f>IFERROR(__xludf.DUMMYFUNCTION("""COMPUTED_VALUE"""),65.0)</f>
        <v>65</v>
      </c>
      <c r="Q12" s="65" t="str">
        <f>IFERROR(__xludf.DUMMYFUNCTION("""COMPUTED_VALUE"""),"145g")</f>
        <v>145g</v>
      </c>
      <c r="R12" s="65" t="str">
        <f>IFERROR(__xludf.DUMMYFUNCTION("""COMPUTED_VALUE"""),"155g")</f>
        <v>155g</v>
      </c>
      <c r="S12" s="65" t="str">
        <f>IFERROR(__xludf.DUMMYFUNCTION("""COMPUTED_VALUE"""),"160g")</f>
        <v>160g</v>
      </c>
      <c r="T12" s="64">
        <f>IFERROR(__xludf.DUMMYFUNCTION("""COMPUTED_VALUE"""),160.0)</f>
        <v>160</v>
      </c>
      <c r="U12" s="66">
        <f>IFERROR(__xludf.DUMMYFUNCTION("""COMPUTED_VALUE"""),325.0)</f>
        <v>325</v>
      </c>
      <c r="V12" s="78">
        <f>IFERROR(__xludf.DUMMYFUNCTION("""COMPUTED_VALUE"""),3.4759358288770055)</f>
        <v>3.475935829</v>
      </c>
    </row>
    <row r="13">
      <c r="B13" s="59" t="s">
        <v>127</v>
      </c>
      <c r="C13" s="59">
        <f>if(countif(F6:F12,F13)&gt;1,0,3)</f>
        <v>3</v>
      </c>
      <c r="D13" s="59" t="str">
        <f>IFERROR(__xludf.DUMMYFUNCTION("""COMPUTED_VALUE"""),"97 WJV")</f>
        <v>97 WJV</v>
      </c>
      <c r="E13" s="61" t="str">
        <f>IFERROR(__xludf.DUMMYFUNCTION("""COMPUTED_VALUE"""),"WJV")</f>
        <v>WJV</v>
      </c>
      <c r="F13" s="62" t="str">
        <f>IFERROR(__xludf.DUMMYFUNCTION("""COMPUTED_VALUE"""),"Birch Run")</f>
        <v>Birch Run</v>
      </c>
      <c r="G13" s="61">
        <f>IFERROR(__xludf.DUMMYFUNCTION("""COMPUTED_VALUE"""),91.0)</f>
        <v>91</v>
      </c>
      <c r="H13" s="62" t="str">
        <f>IFERROR(__xludf.DUMMYFUNCTION("""COMPUTED_VALUE"""),"Ursuy, Sam")</f>
        <v>Ursuy, Sam</v>
      </c>
      <c r="I13" s="63" t="str">
        <f>IFERROR(__xludf.DUMMYFUNCTION("""COMPUTED_VALUE"""),"90g")</f>
        <v>90g</v>
      </c>
      <c r="J13" s="61" t="str">
        <f>IFERROR(__xludf.DUMMYFUNCTION("""COMPUTED_VALUE"""),"95g")</f>
        <v>95g</v>
      </c>
      <c r="K13" s="61" t="str">
        <f>IFERROR(__xludf.DUMMYFUNCTION("""COMPUTED_VALUE"""),"100x")</f>
        <v>100x</v>
      </c>
      <c r="L13" s="64">
        <f>IFERROR(__xludf.DUMMYFUNCTION("""COMPUTED_VALUE"""),95.0)</f>
        <v>95</v>
      </c>
      <c r="M13" s="65" t="str">
        <f>IFERROR(__xludf.DUMMYFUNCTION("""COMPUTED_VALUE"""),"60g")</f>
        <v>60g</v>
      </c>
      <c r="N13" s="65" t="str">
        <f>IFERROR(__xludf.DUMMYFUNCTION("""COMPUTED_VALUE"""),"65g")</f>
        <v>65g</v>
      </c>
      <c r="O13" s="65" t="str">
        <f>IFERROR(__xludf.DUMMYFUNCTION("""COMPUTED_VALUE"""),"75x")</f>
        <v>75x</v>
      </c>
      <c r="P13" s="64">
        <f>IFERROR(__xludf.DUMMYFUNCTION("""COMPUTED_VALUE"""),65.0)</f>
        <v>65</v>
      </c>
      <c r="Q13" s="65" t="str">
        <f>IFERROR(__xludf.DUMMYFUNCTION("""COMPUTED_VALUE"""),"125g")</f>
        <v>125g</v>
      </c>
      <c r="R13" s="65" t="str">
        <f>IFERROR(__xludf.DUMMYFUNCTION("""COMPUTED_VALUE"""),"135g")</f>
        <v>135g</v>
      </c>
      <c r="S13" s="65" t="str">
        <f>IFERROR(__xludf.DUMMYFUNCTION("""COMPUTED_VALUE"""),"145g")</f>
        <v>145g</v>
      </c>
      <c r="T13" s="64">
        <f>IFERROR(__xludf.DUMMYFUNCTION("""COMPUTED_VALUE"""),145.0)</f>
        <v>145</v>
      </c>
      <c r="U13" s="66">
        <f>IFERROR(__xludf.DUMMYFUNCTION("""COMPUTED_VALUE"""),305.0)</f>
        <v>305</v>
      </c>
      <c r="V13" s="78">
        <f>IFERROR(__xludf.DUMMYFUNCTION("""COMPUTED_VALUE"""),3.3516483516483517)</f>
        <v>3.351648352</v>
      </c>
    </row>
    <row r="14">
      <c r="B14" s="59" t="s">
        <v>128</v>
      </c>
      <c r="C14" s="59">
        <f>if(countif(F6:F13,F14)&gt;1,0,2)</f>
        <v>2</v>
      </c>
      <c r="D14" s="59"/>
      <c r="E14" s="61"/>
      <c r="F14" s="62"/>
      <c r="G14" s="61"/>
      <c r="H14" s="62"/>
      <c r="I14" s="63"/>
      <c r="J14" s="61"/>
      <c r="K14" s="61"/>
      <c r="L14" s="64"/>
      <c r="M14" s="65"/>
      <c r="N14" s="65"/>
      <c r="O14" s="65"/>
      <c r="P14" s="64"/>
      <c r="Q14" s="65"/>
      <c r="R14" s="65"/>
      <c r="S14" s="65"/>
      <c r="T14" s="64"/>
      <c r="U14" s="66"/>
      <c r="V14" s="65"/>
    </row>
    <row r="15">
      <c r="B15" s="59" t="s">
        <v>129</v>
      </c>
      <c r="C15" s="59">
        <f>if(countif(F6:F14,F15)&gt;1,0,1)</f>
        <v>1</v>
      </c>
      <c r="D15" s="59"/>
      <c r="E15" s="61"/>
      <c r="F15" s="62"/>
      <c r="G15" s="61"/>
      <c r="H15" s="62"/>
      <c r="I15" s="63"/>
      <c r="J15" s="61"/>
      <c r="K15" s="61"/>
      <c r="L15" s="64"/>
      <c r="M15" s="65"/>
      <c r="N15" s="65"/>
      <c r="O15" s="65"/>
      <c r="P15" s="64"/>
      <c r="Q15" s="65"/>
      <c r="R15" s="65"/>
      <c r="S15" s="65"/>
      <c r="T15" s="64"/>
      <c r="U15" s="66"/>
      <c r="V15" s="65"/>
    </row>
    <row r="16">
      <c r="A16" s="67">
        <v>105.0</v>
      </c>
      <c r="B16" s="68" t="s">
        <v>120</v>
      </c>
      <c r="C16" s="68">
        <v>12.0</v>
      </c>
      <c r="D16" s="68" t="str">
        <f>IFERROR(__xludf.DUMMYFUNCTION("ARRAY_CONSTRAIN(sort(filter(WJV_Tie_Breaker!D6:X285,WJV_Tie_Breaker!D6:D285=""105 WJV""),18,false,4,true,20,false,21,true),10,19)"),"105 WJV")</f>
        <v>105 WJV</v>
      </c>
      <c r="E16" s="69" t="str">
        <f>IFERROR(__xludf.DUMMYFUNCTION("""COMPUTED_VALUE"""),"WJV")</f>
        <v>WJV</v>
      </c>
      <c r="F16" s="70" t="str">
        <f>IFERROR(__xludf.DUMMYFUNCTION("""COMPUTED_VALUE"""),"Whitehall")</f>
        <v>Whitehall</v>
      </c>
      <c r="G16" s="69">
        <f>IFERROR(__xludf.DUMMYFUNCTION("""COMPUTED_VALUE"""),104.3)</f>
        <v>104.3</v>
      </c>
      <c r="H16" s="70" t="str">
        <f>IFERROR(__xludf.DUMMYFUNCTION("""COMPUTED_VALUE"""),"Cordray, Ashely")</f>
        <v>Cordray, Ashely</v>
      </c>
      <c r="I16" s="71" t="str">
        <f>IFERROR(__xludf.DUMMYFUNCTION("""COMPUTED_VALUE"""),"175g")</f>
        <v>175g</v>
      </c>
      <c r="J16" s="69" t="str">
        <f>IFERROR(__xludf.DUMMYFUNCTION("""COMPUTED_VALUE"""),"185g")</f>
        <v>185g</v>
      </c>
      <c r="K16" s="69" t="str">
        <f>IFERROR(__xludf.DUMMYFUNCTION("""COMPUTED_VALUE"""),"190x")</f>
        <v>190x</v>
      </c>
      <c r="L16" s="64">
        <f>IFERROR(__xludf.DUMMYFUNCTION("""COMPUTED_VALUE"""),185.0)</f>
        <v>185</v>
      </c>
      <c r="M16" s="72" t="str">
        <f>IFERROR(__xludf.DUMMYFUNCTION("""COMPUTED_VALUE"""),"105g")</f>
        <v>105g</v>
      </c>
      <c r="N16" s="72" t="str">
        <f>IFERROR(__xludf.DUMMYFUNCTION("""COMPUTED_VALUE"""),"110g")</f>
        <v>110g</v>
      </c>
      <c r="O16" s="72" t="str">
        <f>IFERROR(__xludf.DUMMYFUNCTION("""COMPUTED_VALUE"""),"120x")</f>
        <v>120x</v>
      </c>
      <c r="P16" s="64">
        <f>IFERROR(__xludf.DUMMYFUNCTION("""COMPUTED_VALUE"""),110.0)</f>
        <v>110</v>
      </c>
      <c r="Q16" s="72" t="str">
        <f>IFERROR(__xludf.DUMMYFUNCTION("""COMPUTED_VALUE"""),"225g")</f>
        <v>225g</v>
      </c>
      <c r="R16" s="72" t="str">
        <f>IFERROR(__xludf.DUMMYFUNCTION("""COMPUTED_VALUE"""),"240x")</f>
        <v>240x</v>
      </c>
      <c r="S16" s="72" t="str">
        <f>IFERROR(__xludf.DUMMYFUNCTION("""COMPUTED_VALUE"""),"240g")</f>
        <v>240g</v>
      </c>
      <c r="T16" s="64">
        <f>IFERROR(__xludf.DUMMYFUNCTION("""COMPUTED_VALUE"""),240.0)</f>
        <v>240</v>
      </c>
      <c r="U16" s="66">
        <f>IFERROR(__xludf.DUMMYFUNCTION("""COMPUTED_VALUE"""),535.0)</f>
        <v>535</v>
      </c>
      <c r="V16" s="79">
        <f>IFERROR(__xludf.DUMMYFUNCTION("""COMPUTED_VALUE"""),5.129434324065197)</f>
        <v>5.129434324</v>
      </c>
    </row>
    <row r="17">
      <c r="B17" s="68" t="s">
        <v>121</v>
      </c>
      <c r="C17" s="68">
        <v>9.0</v>
      </c>
      <c r="D17" s="68" t="str">
        <f>IFERROR(__xludf.DUMMYFUNCTION("""COMPUTED_VALUE"""),"105 WJV")</f>
        <v>105 WJV</v>
      </c>
      <c r="E17" s="69" t="str">
        <f>IFERROR(__xludf.DUMMYFUNCTION("""COMPUTED_VALUE"""),"WJV")</f>
        <v>WJV</v>
      </c>
      <c r="F17" s="70" t="str">
        <f>IFERROR(__xludf.DUMMYFUNCTION("""COMPUTED_VALUE"""),"Kearsley")</f>
        <v>Kearsley</v>
      </c>
      <c r="G17" s="69">
        <f>IFERROR(__xludf.DUMMYFUNCTION("""COMPUTED_VALUE"""),102.0)</f>
        <v>102</v>
      </c>
      <c r="H17" s="70" t="str">
        <f>IFERROR(__xludf.DUMMYFUNCTION("""COMPUTED_VALUE"""),"Hardy, Miranda")</f>
        <v>Hardy, Miranda</v>
      </c>
      <c r="I17" s="71" t="str">
        <f>IFERROR(__xludf.DUMMYFUNCTION("""COMPUTED_VALUE"""),"160g")</f>
        <v>160g</v>
      </c>
      <c r="J17" s="69" t="str">
        <f>IFERROR(__xludf.DUMMYFUNCTION("""COMPUTED_VALUE"""),"175g")</f>
        <v>175g</v>
      </c>
      <c r="K17" s="69" t="str">
        <f>IFERROR(__xludf.DUMMYFUNCTION("""COMPUTED_VALUE"""),"185x")</f>
        <v>185x</v>
      </c>
      <c r="L17" s="64">
        <f>IFERROR(__xludf.DUMMYFUNCTION("""COMPUTED_VALUE"""),175.0)</f>
        <v>175</v>
      </c>
      <c r="M17" s="72" t="str">
        <f>IFERROR(__xludf.DUMMYFUNCTION("""COMPUTED_VALUE"""),"90g")</f>
        <v>90g</v>
      </c>
      <c r="N17" s="72" t="str">
        <f>IFERROR(__xludf.DUMMYFUNCTION("""COMPUTED_VALUE"""),"100g")</f>
        <v>100g</v>
      </c>
      <c r="O17" s="72" t="str">
        <f>IFERROR(__xludf.DUMMYFUNCTION("""COMPUTED_VALUE"""),"110x")</f>
        <v>110x</v>
      </c>
      <c r="P17" s="64">
        <f>IFERROR(__xludf.DUMMYFUNCTION("""COMPUTED_VALUE"""),100.0)</f>
        <v>100</v>
      </c>
      <c r="Q17" s="72" t="str">
        <f>IFERROR(__xludf.DUMMYFUNCTION("""COMPUTED_VALUE"""),"210g")</f>
        <v>210g</v>
      </c>
      <c r="R17" s="72" t="str">
        <f>IFERROR(__xludf.DUMMYFUNCTION("""COMPUTED_VALUE"""),"225g")</f>
        <v>225g</v>
      </c>
      <c r="S17" s="72" t="str">
        <f>IFERROR(__xludf.DUMMYFUNCTION("""COMPUTED_VALUE"""),"235g")</f>
        <v>235g</v>
      </c>
      <c r="T17" s="64">
        <f>IFERROR(__xludf.DUMMYFUNCTION("""COMPUTED_VALUE"""),235.0)</f>
        <v>235</v>
      </c>
      <c r="U17" s="66">
        <f>IFERROR(__xludf.DUMMYFUNCTION("""COMPUTED_VALUE"""),510.0)</f>
        <v>510</v>
      </c>
      <c r="V17" s="79">
        <f>IFERROR(__xludf.DUMMYFUNCTION("""COMPUTED_VALUE"""),5.0)</f>
        <v>5</v>
      </c>
    </row>
    <row r="18">
      <c r="B18" s="68" t="s">
        <v>122</v>
      </c>
      <c r="C18" s="68">
        <f>if(countif(F16:F17,F18)&gt;1,0,8)</f>
        <v>8</v>
      </c>
      <c r="D18" s="68" t="str">
        <f>IFERROR(__xludf.DUMMYFUNCTION("""COMPUTED_VALUE"""),"105 WJV")</f>
        <v>105 WJV</v>
      </c>
      <c r="E18" s="69" t="str">
        <f>IFERROR(__xludf.DUMMYFUNCTION("""COMPUTED_VALUE"""),"WJV")</f>
        <v>WJV</v>
      </c>
      <c r="F18" s="70" t="str">
        <f>IFERROR(__xludf.DUMMYFUNCTION("""COMPUTED_VALUE"""),"Central Montcalm")</f>
        <v>Central Montcalm</v>
      </c>
      <c r="G18" s="69">
        <f>IFERROR(__xludf.DUMMYFUNCTION("""COMPUTED_VALUE"""),103.7)</f>
        <v>103.7</v>
      </c>
      <c r="H18" s="70" t="str">
        <f>IFERROR(__xludf.DUMMYFUNCTION("""COMPUTED_VALUE"""),"Bacon, Zoey")</f>
        <v>Bacon, Zoey</v>
      </c>
      <c r="I18" s="71" t="str">
        <f>IFERROR(__xludf.DUMMYFUNCTION("""COMPUTED_VALUE"""),"140g")</f>
        <v>140g</v>
      </c>
      <c r="J18" s="69" t="str">
        <f>IFERROR(__xludf.DUMMYFUNCTION("""COMPUTED_VALUE"""),"150g")</f>
        <v>150g</v>
      </c>
      <c r="K18" s="69" t="str">
        <f>IFERROR(__xludf.DUMMYFUNCTION("""COMPUTED_VALUE"""),"160g")</f>
        <v>160g</v>
      </c>
      <c r="L18" s="64">
        <f>IFERROR(__xludf.DUMMYFUNCTION("""COMPUTED_VALUE"""),160.0)</f>
        <v>160</v>
      </c>
      <c r="M18" s="72" t="str">
        <f>IFERROR(__xludf.DUMMYFUNCTION("""COMPUTED_VALUE"""),"75g")</f>
        <v>75g</v>
      </c>
      <c r="N18" s="72" t="str">
        <f>IFERROR(__xludf.DUMMYFUNCTION("""COMPUTED_VALUE"""),"85g")</f>
        <v>85g</v>
      </c>
      <c r="O18" s="72" t="str">
        <f>IFERROR(__xludf.DUMMYFUNCTION("""COMPUTED_VALUE"""),"90x")</f>
        <v>90x</v>
      </c>
      <c r="P18" s="64">
        <f>IFERROR(__xludf.DUMMYFUNCTION("""COMPUTED_VALUE"""),85.0)</f>
        <v>85</v>
      </c>
      <c r="Q18" s="72" t="str">
        <f>IFERROR(__xludf.DUMMYFUNCTION("""COMPUTED_VALUE"""),"195g")</f>
        <v>195g</v>
      </c>
      <c r="R18" s="72" t="str">
        <f>IFERROR(__xludf.DUMMYFUNCTION("""COMPUTED_VALUE"""),"225g")</f>
        <v>225g</v>
      </c>
      <c r="S18" s="72" t="str">
        <f>IFERROR(__xludf.DUMMYFUNCTION("""COMPUTED_VALUE"""),"250g")</f>
        <v>250g</v>
      </c>
      <c r="T18" s="64">
        <f>IFERROR(__xludf.DUMMYFUNCTION("""COMPUTED_VALUE"""),250.0)</f>
        <v>250</v>
      </c>
      <c r="U18" s="66">
        <f>IFERROR(__xludf.DUMMYFUNCTION("""COMPUTED_VALUE"""),495.0)</f>
        <v>495</v>
      </c>
      <c r="V18" s="79">
        <f>IFERROR(__xludf.DUMMYFUNCTION("""COMPUTED_VALUE"""),4.7733847637415625)</f>
        <v>4.773384764</v>
      </c>
    </row>
    <row r="19">
      <c r="B19" s="68" t="s">
        <v>123</v>
      </c>
      <c r="C19" s="68">
        <f>if(countif(F16:F18,F19)&gt;1,0,7)</f>
        <v>7</v>
      </c>
      <c r="D19" s="68" t="str">
        <f>IFERROR(__xludf.DUMMYFUNCTION("""COMPUTED_VALUE"""),"105 WJV")</f>
        <v>105 WJV</v>
      </c>
      <c r="E19" s="69" t="str">
        <f>IFERROR(__xludf.DUMMYFUNCTION("""COMPUTED_VALUE"""),"WJV")</f>
        <v>WJV</v>
      </c>
      <c r="F19" s="70" t="str">
        <f>IFERROR(__xludf.DUMMYFUNCTION("""COMPUTED_VALUE"""),"Edwardsburg")</f>
        <v>Edwardsburg</v>
      </c>
      <c r="G19" s="69">
        <f>IFERROR(__xludf.DUMMYFUNCTION("""COMPUTED_VALUE"""),102.9)</f>
        <v>102.9</v>
      </c>
      <c r="H19" s="70" t="str">
        <f>IFERROR(__xludf.DUMMYFUNCTION("""COMPUTED_VALUE"""),"Hartley, Madison")</f>
        <v>Hartley, Madison</v>
      </c>
      <c r="I19" s="71" t="str">
        <f>IFERROR(__xludf.DUMMYFUNCTION("""COMPUTED_VALUE"""),"125g")</f>
        <v>125g</v>
      </c>
      <c r="J19" s="69" t="str">
        <f>IFERROR(__xludf.DUMMYFUNCTION("""COMPUTED_VALUE"""),"135x")</f>
        <v>135x</v>
      </c>
      <c r="K19" s="69" t="str">
        <f>IFERROR(__xludf.DUMMYFUNCTION("""COMPUTED_VALUE"""),"140g")</f>
        <v>140g</v>
      </c>
      <c r="L19" s="64">
        <f>IFERROR(__xludf.DUMMYFUNCTION("""COMPUTED_VALUE"""),140.0)</f>
        <v>140</v>
      </c>
      <c r="M19" s="72" t="str">
        <f>IFERROR(__xludf.DUMMYFUNCTION("""COMPUTED_VALUE"""),"75g")</f>
        <v>75g</v>
      </c>
      <c r="N19" s="72" t="str">
        <f>IFERROR(__xludf.DUMMYFUNCTION("""COMPUTED_VALUE"""),"85g")</f>
        <v>85g</v>
      </c>
      <c r="O19" s="72" t="str">
        <f>IFERROR(__xludf.DUMMYFUNCTION("""COMPUTED_VALUE"""),"90x")</f>
        <v>90x</v>
      </c>
      <c r="P19" s="64">
        <f>IFERROR(__xludf.DUMMYFUNCTION("""COMPUTED_VALUE"""),85.0)</f>
        <v>85</v>
      </c>
      <c r="Q19" s="72" t="str">
        <f>IFERROR(__xludf.DUMMYFUNCTION("""COMPUTED_VALUE"""),"190g")</f>
        <v>190g</v>
      </c>
      <c r="R19" s="72" t="str">
        <f>IFERROR(__xludf.DUMMYFUNCTION("""COMPUTED_VALUE"""),"200g")</f>
        <v>200g</v>
      </c>
      <c r="S19" s="72" t="str">
        <f>IFERROR(__xludf.DUMMYFUNCTION("""COMPUTED_VALUE"""),"220g")</f>
        <v>220g</v>
      </c>
      <c r="T19" s="64">
        <f>IFERROR(__xludf.DUMMYFUNCTION("""COMPUTED_VALUE"""),220.0)</f>
        <v>220</v>
      </c>
      <c r="U19" s="66">
        <f>IFERROR(__xludf.DUMMYFUNCTION("""COMPUTED_VALUE"""),445.0)</f>
        <v>445</v>
      </c>
      <c r="V19" s="79">
        <f>IFERROR(__xludf.DUMMYFUNCTION("""COMPUTED_VALUE"""),4.3245869776482015)</f>
        <v>4.324586978</v>
      </c>
    </row>
    <row r="20">
      <c r="B20" s="68" t="s">
        <v>124</v>
      </c>
      <c r="C20" s="68">
        <f>if(countif(F16:F19,F20)&gt;1,0,6)</f>
        <v>6</v>
      </c>
      <c r="D20" s="68" t="str">
        <f>IFERROR(__xludf.DUMMYFUNCTION("""COMPUTED_VALUE"""),"105 WJV")</f>
        <v>105 WJV</v>
      </c>
      <c r="E20" s="69" t="str">
        <f>IFERROR(__xludf.DUMMYFUNCTION("""COMPUTED_VALUE"""),"WJV")</f>
        <v>WJV</v>
      </c>
      <c r="F20" s="70" t="str">
        <f>IFERROR(__xludf.DUMMYFUNCTION("""COMPUTED_VALUE"""),"Lake Orion")</f>
        <v>Lake Orion</v>
      </c>
      <c r="G20" s="69">
        <f>IFERROR(__xludf.DUMMYFUNCTION("""COMPUTED_VALUE"""),101.2)</f>
        <v>101.2</v>
      </c>
      <c r="H20" s="70" t="str">
        <f>IFERROR(__xludf.DUMMYFUNCTION("""COMPUTED_VALUE"""),"Carlson, Becca")</f>
        <v>Carlson, Becca</v>
      </c>
      <c r="I20" s="71" t="str">
        <f>IFERROR(__xludf.DUMMYFUNCTION("""COMPUTED_VALUE"""),"125g")</f>
        <v>125g</v>
      </c>
      <c r="J20" s="69" t="str">
        <f>IFERROR(__xludf.DUMMYFUNCTION("""COMPUTED_VALUE"""),"135g")</f>
        <v>135g</v>
      </c>
      <c r="K20" s="69" t="str">
        <f>IFERROR(__xludf.DUMMYFUNCTION("""COMPUTED_VALUE"""),"155x")</f>
        <v>155x</v>
      </c>
      <c r="L20" s="64">
        <f>IFERROR(__xludf.DUMMYFUNCTION("""COMPUTED_VALUE"""),135.0)</f>
        <v>135</v>
      </c>
      <c r="M20" s="72" t="str">
        <f>IFERROR(__xludf.DUMMYFUNCTION("""COMPUTED_VALUE"""),"65g")</f>
        <v>65g</v>
      </c>
      <c r="N20" s="72" t="str">
        <f>IFERROR(__xludf.DUMMYFUNCTION("""COMPUTED_VALUE"""),"75g")</f>
        <v>75g</v>
      </c>
      <c r="O20" s="72" t="str">
        <f>IFERROR(__xludf.DUMMYFUNCTION("""COMPUTED_VALUE"""),"80x")</f>
        <v>80x</v>
      </c>
      <c r="P20" s="64">
        <f>IFERROR(__xludf.DUMMYFUNCTION("""COMPUTED_VALUE"""),75.0)</f>
        <v>75</v>
      </c>
      <c r="Q20" s="72" t="str">
        <f>IFERROR(__xludf.DUMMYFUNCTION("""COMPUTED_VALUE"""),"200g")</f>
        <v>200g</v>
      </c>
      <c r="R20" s="72" t="str">
        <f>IFERROR(__xludf.DUMMYFUNCTION("""COMPUTED_VALUE"""),"215g")</f>
        <v>215g</v>
      </c>
      <c r="S20" s="72" t="str">
        <f>IFERROR(__xludf.DUMMYFUNCTION("""COMPUTED_VALUE"""),"225x")</f>
        <v>225x</v>
      </c>
      <c r="T20" s="64">
        <f>IFERROR(__xludf.DUMMYFUNCTION("""COMPUTED_VALUE"""),215.0)</f>
        <v>215</v>
      </c>
      <c r="U20" s="66">
        <f>IFERROR(__xludf.DUMMYFUNCTION("""COMPUTED_VALUE"""),425.0)</f>
        <v>425</v>
      </c>
      <c r="V20" s="79">
        <f>IFERROR(__xludf.DUMMYFUNCTION("""COMPUTED_VALUE"""),4.199604743083004)</f>
        <v>4.199604743</v>
      </c>
    </row>
    <row r="21">
      <c r="B21" s="68" t="s">
        <v>125</v>
      </c>
      <c r="C21" s="68">
        <f>if(countif(F16:F20,F21)&gt;1,0,5)</f>
        <v>5</v>
      </c>
      <c r="D21" s="68" t="str">
        <f>IFERROR(__xludf.DUMMYFUNCTION("""COMPUTED_VALUE"""),"105 WJV")</f>
        <v>105 WJV</v>
      </c>
      <c r="E21" s="69" t="str">
        <f>IFERROR(__xludf.DUMMYFUNCTION("""COMPUTED_VALUE"""),"WJV")</f>
        <v>WJV</v>
      </c>
      <c r="F21" s="70" t="str">
        <f>IFERROR(__xludf.DUMMYFUNCTION("""COMPUTED_VALUE"""),"Central Montcalm")</f>
        <v>Central Montcalm</v>
      </c>
      <c r="G21" s="69">
        <f>IFERROR(__xludf.DUMMYFUNCTION("""COMPUTED_VALUE"""),102.0)</f>
        <v>102</v>
      </c>
      <c r="H21" s="70" t="str">
        <f>IFERROR(__xludf.DUMMYFUNCTION("""COMPUTED_VALUE"""),"Haddix, Adrianna")</f>
        <v>Haddix, Adrianna</v>
      </c>
      <c r="I21" s="71" t="str">
        <f>IFERROR(__xludf.DUMMYFUNCTION("""COMPUTED_VALUE"""),"115g")</f>
        <v>115g</v>
      </c>
      <c r="J21" s="69" t="str">
        <f>IFERROR(__xludf.DUMMYFUNCTION("""COMPUTED_VALUE"""),"125g")</f>
        <v>125g</v>
      </c>
      <c r="K21" s="69" t="str">
        <f>IFERROR(__xludf.DUMMYFUNCTION("""COMPUTED_VALUE"""),"140x")</f>
        <v>140x</v>
      </c>
      <c r="L21" s="64">
        <f>IFERROR(__xludf.DUMMYFUNCTION("""COMPUTED_VALUE"""),125.0)</f>
        <v>125</v>
      </c>
      <c r="M21" s="72" t="str">
        <f>IFERROR(__xludf.DUMMYFUNCTION("""COMPUTED_VALUE"""),"70g")</f>
        <v>70g</v>
      </c>
      <c r="N21" s="72" t="str">
        <f>IFERROR(__xludf.DUMMYFUNCTION("""COMPUTED_VALUE"""),"85g")</f>
        <v>85g</v>
      </c>
      <c r="O21" s="72" t="str">
        <f>IFERROR(__xludf.DUMMYFUNCTION("""COMPUTED_VALUE"""),"90x")</f>
        <v>90x</v>
      </c>
      <c r="P21" s="64">
        <f>IFERROR(__xludf.DUMMYFUNCTION("""COMPUTED_VALUE"""),85.0)</f>
        <v>85</v>
      </c>
      <c r="Q21" s="72" t="str">
        <f>IFERROR(__xludf.DUMMYFUNCTION("""COMPUTED_VALUE"""),"175g")</f>
        <v>175g</v>
      </c>
      <c r="R21" s="72" t="str">
        <f>IFERROR(__xludf.DUMMYFUNCTION("""COMPUTED_VALUE"""),"185g")</f>
        <v>185g</v>
      </c>
      <c r="S21" s="72" t="str">
        <f>IFERROR(__xludf.DUMMYFUNCTION("""COMPUTED_VALUE"""),"210g")</f>
        <v>210g</v>
      </c>
      <c r="T21" s="64">
        <f>IFERROR(__xludf.DUMMYFUNCTION("""COMPUTED_VALUE"""),210.0)</f>
        <v>210</v>
      </c>
      <c r="U21" s="66">
        <f>IFERROR(__xludf.DUMMYFUNCTION("""COMPUTED_VALUE"""),420.0)</f>
        <v>420</v>
      </c>
      <c r="V21" s="79">
        <f>IFERROR(__xludf.DUMMYFUNCTION("""COMPUTED_VALUE"""),4.117647058823529)</f>
        <v>4.117647059</v>
      </c>
    </row>
    <row r="22">
      <c r="B22" s="68" t="s">
        <v>126</v>
      </c>
      <c r="C22" s="68">
        <f>if(countif(F16:F21,F22)&gt;1,0,4)</f>
        <v>0</v>
      </c>
      <c r="D22" s="68" t="str">
        <f>IFERROR(__xludf.DUMMYFUNCTION("""COMPUTED_VALUE"""),"105 WJV")</f>
        <v>105 WJV</v>
      </c>
      <c r="E22" s="69" t="str">
        <f>IFERROR(__xludf.DUMMYFUNCTION("""COMPUTED_VALUE"""),"WJV")</f>
        <v>WJV</v>
      </c>
      <c r="F22" s="70" t="str">
        <f>IFERROR(__xludf.DUMMYFUNCTION("""COMPUTED_VALUE"""),"Central Montcalm")</f>
        <v>Central Montcalm</v>
      </c>
      <c r="G22" s="69">
        <f>IFERROR(__xludf.DUMMYFUNCTION("""COMPUTED_VALUE"""),103.0)</f>
        <v>103</v>
      </c>
      <c r="H22" s="70" t="str">
        <f>IFERROR(__xludf.DUMMYFUNCTION("""COMPUTED_VALUE"""),"Hansen, Kaitlyn")</f>
        <v>Hansen, Kaitlyn</v>
      </c>
      <c r="I22" s="71" t="str">
        <f>IFERROR(__xludf.DUMMYFUNCTION("""COMPUTED_VALUE"""),"110g")</f>
        <v>110g</v>
      </c>
      <c r="J22" s="69" t="str">
        <f>IFERROR(__xludf.DUMMYFUNCTION("""COMPUTED_VALUE"""),"120g")</f>
        <v>120g</v>
      </c>
      <c r="K22" s="69" t="str">
        <f>IFERROR(__xludf.DUMMYFUNCTION("""COMPUTED_VALUE"""),"130x")</f>
        <v>130x</v>
      </c>
      <c r="L22" s="64">
        <f>IFERROR(__xludf.DUMMYFUNCTION("""COMPUTED_VALUE"""),120.0)</f>
        <v>120</v>
      </c>
      <c r="M22" s="72" t="str">
        <f>IFERROR(__xludf.DUMMYFUNCTION("""COMPUTED_VALUE"""),"65g")</f>
        <v>65g</v>
      </c>
      <c r="N22" s="72" t="str">
        <f>IFERROR(__xludf.DUMMYFUNCTION("""COMPUTED_VALUE"""),"75g")</f>
        <v>75g</v>
      </c>
      <c r="O22" s="72" t="str">
        <f>IFERROR(__xludf.DUMMYFUNCTION("""COMPUTED_VALUE"""),"80x")</f>
        <v>80x</v>
      </c>
      <c r="P22" s="64">
        <f>IFERROR(__xludf.DUMMYFUNCTION("""COMPUTED_VALUE"""),75.0)</f>
        <v>75</v>
      </c>
      <c r="Q22" s="72" t="str">
        <f>IFERROR(__xludf.DUMMYFUNCTION("""COMPUTED_VALUE"""),"190g")</f>
        <v>190g</v>
      </c>
      <c r="R22" s="72" t="str">
        <f>IFERROR(__xludf.DUMMYFUNCTION("""COMPUTED_VALUE"""),"200g")</f>
        <v>200g</v>
      </c>
      <c r="S22" s="72" t="str">
        <f>IFERROR(__xludf.DUMMYFUNCTION("""COMPUTED_VALUE"""),"210g")</f>
        <v>210g</v>
      </c>
      <c r="T22" s="64">
        <f>IFERROR(__xludf.DUMMYFUNCTION("""COMPUTED_VALUE"""),210.0)</f>
        <v>210</v>
      </c>
      <c r="U22" s="66">
        <f>IFERROR(__xludf.DUMMYFUNCTION("""COMPUTED_VALUE"""),405.0)</f>
        <v>405</v>
      </c>
      <c r="V22" s="79">
        <f>IFERROR(__xludf.DUMMYFUNCTION("""COMPUTED_VALUE"""),3.9320388349514563)</f>
        <v>3.932038835</v>
      </c>
    </row>
    <row r="23">
      <c r="B23" s="68" t="s">
        <v>127</v>
      </c>
      <c r="C23" s="68">
        <f>if(countif(F16:F22,F23)&gt;1,0,3)</f>
        <v>3</v>
      </c>
      <c r="D23" s="68" t="str">
        <f>IFERROR(__xludf.DUMMYFUNCTION("""COMPUTED_VALUE"""),"105 WJV")</f>
        <v>105 WJV</v>
      </c>
      <c r="E23" s="69" t="str">
        <f>IFERROR(__xludf.DUMMYFUNCTION("""COMPUTED_VALUE"""),"WJV")</f>
        <v>WJV</v>
      </c>
      <c r="F23" s="70" t="str">
        <f>IFERROR(__xludf.DUMMYFUNCTION("""COMPUTED_VALUE"""),"Brighton")</f>
        <v>Brighton</v>
      </c>
      <c r="G23" s="69">
        <f>IFERROR(__xludf.DUMMYFUNCTION("""COMPUTED_VALUE"""),101.0)</f>
        <v>101</v>
      </c>
      <c r="H23" s="70" t="str">
        <f>IFERROR(__xludf.DUMMYFUNCTION("""COMPUTED_VALUE"""),"Cogan, Alyssa")</f>
        <v>Cogan, Alyssa</v>
      </c>
      <c r="I23" s="71" t="str">
        <f>IFERROR(__xludf.DUMMYFUNCTION("""COMPUTED_VALUE"""),"135g")</f>
        <v>135g</v>
      </c>
      <c r="J23" s="69" t="str">
        <f>IFERROR(__xludf.DUMMYFUNCTION("""COMPUTED_VALUE"""),"150g")</f>
        <v>150g</v>
      </c>
      <c r="K23" s="69" t="str">
        <f>IFERROR(__xludf.DUMMYFUNCTION("""COMPUTED_VALUE"""),"165x")</f>
        <v>165x</v>
      </c>
      <c r="L23" s="64">
        <f>IFERROR(__xludf.DUMMYFUNCTION("""COMPUTED_VALUE"""),150.0)</f>
        <v>150</v>
      </c>
      <c r="M23" s="72" t="str">
        <f>IFERROR(__xludf.DUMMYFUNCTION("""COMPUTED_VALUE"""),"65g")</f>
        <v>65g</v>
      </c>
      <c r="N23" s="72" t="str">
        <f>IFERROR(__xludf.DUMMYFUNCTION("""COMPUTED_VALUE"""),"75g")</f>
        <v>75g</v>
      </c>
      <c r="O23" s="72" t="str">
        <f>IFERROR(__xludf.DUMMYFUNCTION("""COMPUTED_VALUE"""),"80x")</f>
        <v>80x</v>
      </c>
      <c r="P23" s="64">
        <f>IFERROR(__xludf.DUMMYFUNCTION("""COMPUTED_VALUE"""),75.0)</f>
        <v>75</v>
      </c>
      <c r="Q23" s="72" t="str">
        <f>IFERROR(__xludf.DUMMYFUNCTION("""COMPUTED_VALUE"""),"155g")</f>
        <v>155g</v>
      </c>
      <c r="R23" s="72" t="str">
        <f>IFERROR(__xludf.DUMMYFUNCTION("""COMPUTED_VALUE"""),"170g")</f>
        <v>170g</v>
      </c>
      <c r="S23" s="72" t="str">
        <f>IFERROR(__xludf.DUMMYFUNCTION("""COMPUTED_VALUE"""),"185x")</f>
        <v>185x</v>
      </c>
      <c r="T23" s="64">
        <f>IFERROR(__xludf.DUMMYFUNCTION("""COMPUTED_VALUE"""),170.0)</f>
        <v>170</v>
      </c>
      <c r="U23" s="66">
        <f>IFERROR(__xludf.DUMMYFUNCTION("""COMPUTED_VALUE"""),395.0)</f>
        <v>395</v>
      </c>
      <c r="V23" s="79">
        <f>IFERROR(__xludf.DUMMYFUNCTION("""COMPUTED_VALUE"""),3.910891089108911)</f>
        <v>3.910891089</v>
      </c>
    </row>
    <row r="24">
      <c r="B24" s="68" t="s">
        <v>128</v>
      </c>
      <c r="C24" s="68">
        <f>if(countif(F16:F23,F24)&gt;1,0,2)</f>
        <v>2</v>
      </c>
      <c r="D24" s="68" t="str">
        <f>IFERROR(__xludf.DUMMYFUNCTION("""COMPUTED_VALUE"""),"105 WJV")</f>
        <v>105 WJV</v>
      </c>
      <c r="E24" s="69" t="str">
        <f>IFERROR(__xludf.DUMMYFUNCTION("""COMPUTED_VALUE"""),"WJV")</f>
        <v>WJV</v>
      </c>
      <c r="F24" s="70" t="str">
        <f>IFERROR(__xludf.DUMMYFUNCTION("""COMPUTED_VALUE"""),"Goodrich")</f>
        <v>Goodrich</v>
      </c>
      <c r="G24" s="69">
        <f>IFERROR(__xludf.DUMMYFUNCTION("""COMPUTED_VALUE"""),102.1)</f>
        <v>102.1</v>
      </c>
      <c r="H24" s="70" t="str">
        <f>IFERROR(__xludf.DUMMYFUNCTION("""COMPUTED_VALUE"""),"Vicory, Kendra")</f>
        <v>Vicory, Kendra</v>
      </c>
      <c r="I24" s="71" t="str">
        <f>IFERROR(__xludf.DUMMYFUNCTION("""COMPUTED_VALUE"""),"115g")</f>
        <v>115g</v>
      </c>
      <c r="J24" s="69" t="str">
        <f>IFERROR(__xludf.DUMMYFUNCTION("""COMPUTED_VALUE"""),"135g")</f>
        <v>135g</v>
      </c>
      <c r="K24" s="69" t="str">
        <f>IFERROR(__xludf.DUMMYFUNCTION("""COMPUTED_VALUE"""),"155x")</f>
        <v>155x</v>
      </c>
      <c r="L24" s="64">
        <f>IFERROR(__xludf.DUMMYFUNCTION("""COMPUTED_VALUE"""),135.0)</f>
        <v>135</v>
      </c>
      <c r="M24" s="72" t="str">
        <f>IFERROR(__xludf.DUMMYFUNCTION("""COMPUTED_VALUE"""),"75g")</f>
        <v>75g</v>
      </c>
      <c r="N24" s="72" t="str">
        <f>IFERROR(__xludf.DUMMYFUNCTION("""COMPUTED_VALUE"""),"85x")</f>
        <v>85x</v>
      </c>
      <c r="O24" s="72" t="str">
        <f>IFERROR(__xludf.DUMMYFUNCTION("""COMPUTED_VALUE"""),"100x")</f>
        <v>100x</v>
      </c>
      <c r="P24" s="64">
        <f>IFERROR(__xludf.DUMMYFUNCTION("""COMPUTED_VALUE"""),75.0)</f>
        <v>75</v>
      </c>
      <c r="Q24" s="72" t="str">
        <f>IFERROR(__xludf.DUMMYFUNCTION("""COMPUTED_VALUE"""),"155g")</f>
        <v>155g</v>
      </c>
      <c r="R24" s="72" t="str">
        <f>IFERROR(__xludf.DUMMYFUNCTION("""COMPUTED_VALUE"""),"185g")</f>
        <v>185g</v>
      </c>
      <c r="S24" s="72" t="str">
        <f>IFERROR(__xludf.DUMMYFUNCTION("""COMPUTED_VALUE"""),"205x")</f>
        <v>205x</v>
      </c>
      <c r="T24" s="64">
        <f>IFERROR(__xludf.DUMMYFUNCTION("""COMPUTED_VALUE"""),185.0)</f>
        <v>185</v>
      </c>
      <c r="U24" s="66">
        <f>IFERROR(__xludf.DUMMYFUNCTION("""COMPUTED_VALUE"""),395.0)</f>
        <v>395</v>
      </c>
      <c r="V24" s="79">
        <f>IFERROR(__xludf.DUMMYFUNCTION("""COMPUTED_VALUE"""),3.8687561214495596)</f>
        <v>3.868756121</v>
      </c>
    </row>
    <row r="25">
      <c r="B25" s="68" t="s">
        <v>129</v>
      </c>
      <c r="C25" s="68">
        <f>if(countif(F16:F24,F25)&gt;1,0,1)</f>
        <v>0</v>
      </c>
      <c r="D25" s="68" t="str">
        <f>IFERROR(__xludf.DUMMYFUNCTION("""COMPUTED_VALUE"""),"105 WJV")</f>
        <v>105 WJV</v>
      </c>
      <c r="E25" s="69" t="str">
        <f>IFERROR(__xludf.DUMMYFUNCTION("""COMPUTED_VALUE"""),"WJV")</f>
        <v>WJV</v>
      </c>
      <c r="F25" s="70" t="str">
        <f>IFERROR(__xludf.DUMMYFUNCTION("""COMPUTED_VALUE"""),"Central Montcalm")</f>
        <v>Central Montcalm</v>
      </c>
      <c r="G25" s="69">
        <f>IFERROR(__xludf.DUMMYFUNCTION("""COMPUTED_VALUE"""),104.8)</f>
        <v>104.8</v>
      </c>
      <c r="H25" s="70" t="str">
        <f>IFERROR(__xludf.DUMMYFUNCTION("""COMPUTED_VALUE"""),"Christiansen, Marlee")</f>
        <v>Christiansen, Marlee</v>
      </c>
      <c r="I25" s="71" t="str">
        <f>IFERROR(__xludf.DUMMYFUNCTION("""COMPUTED_VALUE"""),"125g")</f>
        <v>125g</v>
      </c>
      <c r="J25" s="69" t="str">
        <f>IFERROR(__xludf.DUMMYFUNCTION("""COMPUTED_VALUE"""),"140x")</f>
        <v>140x</v>
      </c>
      <c r="K25" s="69" t="str">
        <f>IFERROR(__xludf.DUMMYFUNCTION("""COMPUTED_VALUE"""),"140x")</f>
        <v>140x</v>
      </c>
      <c r="L25" s="64">
        <f>IFERROR(__xludf.DUMMYFUNCTION("""COMPUTED_VALUE"""),125.0)</f>
        <v>125</v>
      </c>
      <c r="M25" s="72" t="str">
        <f>IFERROR(__xludf.DUMMYFUNCTION("""COMPUTED_VALUE"""),"70g")</f>
        <v>70g</v>
      </c>
      <c r="N25" s="72" t="str">
        <f>IFERROR(__xludf.DUMMYFUNCTION("""COMPUTED_VALUE"""),"80g")</f>
        <v>80g</v>
      </c>
      <c r="O25" s="72" t="str">
        <f>IFERROR(__xludf.DUMMYFUNCTION("""COMPUTED_VALUE"""),"90x")</f>
        <v>90x</v>
      </c>
      <c r="P25" s="64">
        <f>IFERROR(__xludf.DUMMYFUNCTION("""COMPUTED_VALUE"""),80.0)</f>
        <v>80</v>
      </c>
      <c r="Q25" s="72" t="str">
        <f>IFERROR(__xludf.DUMMYFUNCTION("""COMPUTED_VALUE"""),"160g")</f>
        <v>160g</v>
      </c>
      <c r="R25" s="72" t="str">
        <f>IFERROR(__xludf.DUMMYFUNCTION("""COMPUTED_VALUE"""),"185g")</f>
        <v>185g</v>
      </c>
      <c r="S25" s="72" t="str">
        <f>IFERROR(__xludf.DUMMYFUNCTION("""COMPUTED_VALUE"""),"200x")</f>
        <v>200x</v>
      </c>
      <c r="T25" s="64">
        <f>IFERROR(__xludf.DUMMYFUNCTION("""COMPUTED_VALUE"""),185.0)</f>
        <v>185</v>
      </c>
      <c r="U25" s="66">
        <f>IFERROR(__xludf.DUMMYFUNCTION("""COMPUTED_VALUE"""),390.0)</f>
        <v>390</v>
      </c>
      <c r="V25" s="79">
        <f>IFERROR(__xludf.DUMMYFUNCTION("""COMPUTED_VALUE"""),3.721374045801527)</f>
        <v>3.721374046</v>
      </c>
    </row>
    <row r="26">
      <c r="A26" s="58">
        <v>114.0</v>
      </c>
      <c r="B26" s="59" t="s">
        <v>120</v>
      </c>
      <c r="C26" s="59">
        <v>12.0</v>
      </c>
      <c r="D26" s="59" t="str">
        <f>IFERROR(__xludf.DUMMYFUNCTION("ARRAY_CONSTRAIN(sort(filter(WJV_Tie_Breaker!D6:X285,WJV_Tie_Breaker!D6:D285=""114 WJV""),18,false,4,true,20,false,21,true),10,19)"),"114 WJV")</f>
        <v>114 WJV</v>
      </c>
      <c r="E26" s="61" t="str">
        <f>IFERROR(__xludf.DUMMYFUNCTION("""COMPUTED_VALUE"""),"WJV")</f>
        <v>WJV</v>
      </c>
      <c r="F26" s="62" t="str">
        <f>IFERROR(__xludf.DUMMYFUNCTION("""COMPUTED_VALUE"""),"Central Montcalm")</f>
        <v>Central Montcalm</v>
      </c>
      <c r="G26" s="61">
        <f>IFERROR(__xludf.DUMMYFUNCTION("""COMPUTED_VALUE"""),111.1)</f>
        <v>111.1</v>
      </c>
      <c r="H26" s="62" t="str">
        <f>IFERROR(__xludf.DUMMYFUNCTION("""COMPUTED_VALUE"""),"Hoffman, Tea")</f>
        <v>Hoffman, Tea</v>
      </c>
      <c r="I26" s="63" t="str">
        <f>IFERROR(__xludf.DUMMYFUNCTION("""COMPUTED_VALUE"""),"180g")</f>
        <v>180g</v>
      </c>
      <c r="J26" s="61" t="str">
        <f>IFERROR(__xludf.DUMMYFUNCTION("""COMPUTED_VALUE"""),"195g")</f>
        <v>195g</v>
      </c>
      <c r="K26" s="61" t="str">
        <f>IFERROR(__xludf.DUMMYFUNCTION("""COMPUTED_VALUE"""),"205g")</f>
        <v>205g</v>
      </c>
      <c r="L26" s="64">
        <f>IFERROR(__xludf.DUMMYFUNCTION("""COMPUTED_VALUE"""),205.0)</f>
        <v>205</v>
      </c>
      <c r="M26" s="65" t="str">
        <f>IFERROR(__xludf.DUMMYFUNCTION("""COMPUTED_VALUE"""),"95g")</f>
        <v>95g</v>
      </c>
      <c r="N26" s="65" t="str">
        <f>IFERROR(__xludf.DUMMYFUNCTION("""COMPUTED_VALUE"""),"105g")</f>
        <v>105g</v>
      </c>
      <c r="O26" s="65" t="str">
        <f>IFERROR(__xludf.DUMMYFUNCTION("""COMPUTED_VALUE"""),"110x")</f>
        <v>110x</v>
      </c>
      <c r="P26" s="64">
        <f>IFERROR(__xludf.DUMMYFUNCTION("""COMPUTED_VALUE"""),105.0)</f>
        <v>105</v>
      </c>
      <c r="Q26" s="65" t="str">
        <f>IFERROR(__xludf.DUMMYFUNCTION("""COMPUTED_VALUE"""),"225g")</f>
        <v>225g</v>
      </c>
      <c r="R26" s="65" t="str">
        <f>IFERROR(__xludf.DUMMYFUNCTION("""COMPUTED_VALUE"""),"245g")</f>
        <v>245g</v>
      </c>
      <c r="S26" s="65" t="str">
        <f>IFERROR(__xludf.DUMMYFUNCTION("""COMPUTED_VALUE"""),"260x")</f>
        <v>260x</v>
      </c>
      <c r="T26" s="64">
        <f>IFERROR(__xludf.DUMMYFUNCTION("""COMPUTED_VALUE"""),245.0)</f>
        <v>245</v>
      </c>
      <c r="U26" s="66">
        <f>IFERROR(__xludf.DUMMYFUNCTION("""COMPUTED_VALUE"""),555.0)</f>
        <v>555</v>
      </c>
      <c r="V26" s="78">
        <f>IFERROR(__xludf.DUMMYFUNCTION("""COMPUTED_VALUE"""),4.995499549954996)</f>
        <v>4.99549955</v>
      </c>
    </row>
    <row r="27">
      <c r="B27" s="59" t="s">
        <v>121</v>
      </c>
      <c r="C27" s="59">
        <v>9.0</v>
      </c>
      <c r="D27" s="59" t="str">
        <f>IFERROR(__xludf.DUMMYFUNCTION("""COMPUTED_VALUE"""),"114 WJV")</f>
        <v>114 WJV</v>
      </c>
      <c r="E27" s="61" t="str">
        <f>IFERROR(__xludf.DUMMYFUNCTION("""COMPUTED_VALUE"""),"WJV")</f>
        <v>WJV</v>
      </c>
      <c r="F27" s="62" t="str">
        <f>IFERROR(__xludf.DUMMYFUNCTION("""COMPUTED_VALUE"""),"Cros-Lex")</f>
        <v>Cros-Lex</v>
      </c>
      <c r="G27" s="61">
        <f>IFERROR(__xludf.DUMMYFUNCTION("""COMPUTED_VALUE"""),109.0)</f>
        <v>109</v>
      </c>
      <c r="H27" s="62" t="str">
        <f>IFERROR(__xludf.DUMMYFUNCTION("""COMPUTED_VALUE"""),"Day, Gabriella")</f>
        <v>Day, Gabriella</v>
      </c>
      <c r="I27" s="63" t="str">
        <f>IFERROR(__xludf.DUMMYFUNCTION("""COMPUTED_VALUE"""),"165g")</f>
        <v>165g</v>
      </c>
      <c r="J27" s="61" t="str">
        <f>IFERROR(__xludf.DUMMYFUNCTION("""COMPUTED_VALUE"""),"175g")</f>
        <v>175g</v>
      </c>
      <c r="K27" s="61" t="str">
        <f>IFERROR(__xludf.DUMMYFUNCTION("""COMPUTED_VALUE"""),"180g")</f>
        <v>180g</v>
      </c>
      <c r="L27" s="64">
        <f>IFERROR(__xludf.DUMMYFUNCTION("""COMPUTED_VALUE"""),180.0)</f>
        <v>180</v>
      </c>
      <c r="M27" s="65" t="str">
        <f>IFERROR(__xludf.DUMMYFUNCTION("""COMPUTED_VALUE"""),"75g")</f>
        <v>75g</v>
      </c>
      <c r="N27" s="65" t="str">
        <f>IFERROR(__xludf.DUMMYFUNCTION("""COMPUTED_VALUE"""),"80g")</f>
        <v>80g</v>
      </c>
      <c r="O27" s="65" t="str">
        <f>IFERROR(__xludf.DUMMYFUNCTION("""COMPUTED_VALUE"""),"85x")</f>
        <v>85x</v>
      </c>
      <c r="P27" s="64">
        <f>IFERROR(__xludf.DUMMYFUNCTION("""COMPUTED_VALUE"""),80.0)</f>
        <v>80</v>
      </c>
      <c r="Q27" s="65" t="str">
        <f>IFERROR(__xludf.DUMMYFUNCTION("""COMPUTED_VALUE"""),"215g")</f>
        <v>215g</v>
      </c>
      <c r="R27" s="65" t="str">
        <f>IFERROR(__xludf.DUMMYFUNCTION("""COMPUTED_VALUE"""),"235g")</f>
        <v>235g</v>
      </c>
      <c r="S27" s="65" t="str">
        <f>IFERROR(__xludf.DUMMYFUNCTION("""COMPUTED_VALUE"""),"245g")</f>
        <v>245g</v>
      </c>
      <c r="T27" s="64">
        <f>IFERROR(__xludf.DUMMYFUNCTION("""COMPUTED_VALUE"""),245.0)</f>
        <v>245</v>
      </c>
      <c r="U27" s="66">
        <f>IFERROR(__xludf.DUMMYFUNCTION("""COMPUTED_VALUE"""),505.0)</f>
        <v>505</v>
      </c>
      <c r="V27" s="78">
        <f>IFERROR(__xludf.DUMMYFUNCTION("""COMPUTED_VALUE"""),4.63302752293578)</f>
        <v>4.633027523</v>
      </c>
    </row>
    <row r="28">
      <c r="B28" s="59" t="s">
        <v>122</v>
      </c>
      <c r="C28" s="59">
        <f>if(countif(F26:F27,F28)&gt;1,0,8)</f>
        <v>8</v>
      </c>
      <c r="D28" s="59" t="str">
        <f>IFERROR(__xludf.DUMMYFUNCTION("""COMPUTED_VALUE"""),"114 WJV")</f>
        <v>114 WJV</v>
      </c>
      <c r="E28" s="61" t="str">
        <f>IFERROR(__xludf.DUMMYFUNCTION("""COMPUTED_VALUE"""),"WJV")</f>
        <v>WJV</v>
      </c>
      <c r="F28" s="62" t="str">
        <f>IFERROR(__xludf.DUMMYFUNCTION("""COMPUTED_VALUE"""),"Standish-Sterling")</f>
        <v>Standish-Sterling</v>
      </c>
      <c r="G28" s="61">
        <f>IFERROR(__xludf.DUMMYFUNCTION("""COMPUTED_VALUE"""),113.2)</f>
        <v>113.2</v>
      </c>
      <c r="H28" s="62" t="str">
        <f>IFERROR(__xludf.DUMMYFUNCTION("""COMPUTED_VALUE"""),"Kopasz, Remi")</f>
        <v>Kopasz, Remi</v>
      </c>
      <c r="I28" s="63" t="str">
        <f>IFERROR(__xludf.DUMMYFUNCTION("""COMPUTED_VALUE"""),"140g")</f>
        <v>140g</v>
      </c>
      <c r="J28" s="61" t="str">
        <f>IFERROR(__xludf.DUMMYFUNCTION("""COMPUTED_VALUE"""),"155g")</f>
        <v>155g</v>
      </c>
      <c r="K28" s="61" t="str">
        <f>IFERROR(__xludf.DUMMYFUNCTION("""COMPUTED_VALUE"""),"165x")</f>
        <v>165x</v>
      </c>
      <c r="L28" s="64">
        <f>IFERROR(__xludf.DUMMYFUNCTION("""COMPUTED_VALUE"""),155.0)</f>
        <v>155</v>
      </c>
      <c r="M28" s="65" t="str">
        <f>IFERROR(__xludf.DUMMYFUNCTION("""COMPUTED_VALUE"""),"85g")</f>
        <v>85g</v>
      </c>
      <c r="N28" s="65" t="str">
        <f>IFERROR(__xludf.DUMMYFUNCTION("""COMPUTED_VALUE"""),"95g")</f>
        <v>95g</v>
      </c>
      <c r="O28" s="65" t="str">
        <f>IFERROR(__xludf.DUMMYFUNCTION("""COMPUTED_VALUE"""),"100x")</f>
        <v>100x</v>
      </c>
      <c r="P28" s="64">
        <f>IFERROR(__xludf.DUMMYFUNCTION("""COMPUTED_VALUE"""),95.0)</f>
        <v>95</v>
      </c>
      <c r="Q28" s="65" t="str">
        <f>IFERROR(__xludf.DUMMYFUNCTION("""COMPUTED_VALUE"""),"210g")</f>
        <v>210g</v>
      </c>
      <c r="R28" s="65" t="str">
        <f>IFERROR(__xludf.DUMMYFUNCTION("""COMPUTED_VALUE"""),"225g")</f>
        <v>225g</v>
      </c>
      <c r="S28" s="65" t="str">
        <f>IFERROR(__xludf.DUMMYFUNCTION("""COMPUTED_VALUE"""),"235g")</f>
        <v>235g</v>
      </c>
      <c r="T28" s="64">
        <f>IFERROR(__xludf.DUMMYFUNCTION("""COMPUTED_VALUE"""),235.0)</f>
        <v>235</v>
      </c>
      <c r="U28" s="66">
        <f>IFERROR(__xludf.DUMMYFUNCTION("""COMPUTED_VALUE"""),485.0)</f>
        <v>485</v>
      </c>
      <c r="V28" s="78">
        <f>IFERROR(__xludf.DUMMYFUNCTION("""COMPUTED_VALUE"""),4.284452296819788)</f>
        <v>4.284452297</v>
      </c>
    </row>
    <row r="29">
      <c r="B29" s="59" t="s">
        <v>123</v>
      </c>
      <c r="C29" s="59">
        <f>if(countif(F26:F28,F29)&gt;1,0,7)</f>
        <v>7</v>
      </c>
      <c r="D29" s="59" t="str">
        <f>IFERROR(__xludf.DUMMYFUNCTION("""COMPUTED_VALUE"""),"114 WJV")</f>
        <v>114 WJV</v>
      </c>
      <c r="E29" s="61" t="str">
        <f>IFERROR(__xludf.DUMMYFUNCTION("""COMPUTED_VALUE"""),"WJV")</f>
        <v>WJV</v>
      </c>
      <c r="F29" s="62" t="str">
        <f>IFERROR(__xludf.DUMMYFUNCTION("""COMPUTED_VALUE"""),"Central Montcalm")</f>
        <v>Central Montcalm</v>
      </c>
      <c r="G29" s="61">
        <f>IFERROR(__xludf.DUMMYFUNCTION("""COMPUTED_VALUE"""),110.9)</f>
        <v>110.9</v>
      </c>
      <c r="H29" s="62" t="str">
        <f>IFERROR(__xludf.DUMMYFUNCTION("""COMPUTED_VALUE"""),"Bohen, Lily")</f>
        <v>Bohen, Lily</v>
      </c>
      <c r="I29" s="63" t="str">
        <f>IFERROR(__xludf.DUMMYFUNCTION("""COMPUTED_VALUE"""),"120g")</f>
        <v>120g</v>
      </c>
      <c r="J29" s="61" t="str">
        <f>IFERROR(__xludf.DUMMYFUNCTION("""COMPUTED_VALUE"""),"135g")</f>
        <v>135g</v>
      </c>
      <c r="K29" s="61" t="str">
        <f>IFERROR(__xludf.DUMMYFUNCTION("""COMPUTED_VALUE"""),"145g")</f>
        <v>145g</v>
      </c>
      <c r="L29" s="64">
        <f>IFERROR(__xludf.DUMMYFUNCTION("""COMPUTED_VALUE"""),145.0)</f>
        <v>145</v>
      </c>
      <c r="M29" s="65" t="str">
        <f>IFERROR(__xludf.DUMMYFUNCTION("""COMPUTED_VALUE"""),"80g")</f>
        <v>80g</v>
      </c>
      <c r="N29" s="65" t="str">
        <f>IFERROR(__xludf.DUMMYFUNCTION("""COMPUTED_VALUE"""),"85g")</f>
        <v>85g</v>
      </c>
      <c r="O29" s="65" t="str">
        <f>IFERROR(__xludf.DUMMYFUNCTION("""COMPUTED_VALUE"""),"90x")</f>
        <v>90x</v>
      </c>
      <c r="P29" s="64">
        <f>IFERROR(__xludf.DUMMYFUNCTION("""COMPUTED_VALUE"""),85.0)</f>
        <v>85</v>
      </c>
      <c r="Q29" s="65" t="str">
        <f>IFERROR(__xludf.DUMMYFUNCTION("""COMPUTED_VALUE"""),"200g")</f>
        <v>200g</v>
      </c>
      <c r="R29" s="65" t="str">
        <f>IFERROR(__xludf.DUMMYFUNCTION("""COMPUTED_VALUE"""),"235g")</f>
        <v>235g</v>
      </c>
      <c r="S29" s="65" t="str">
        <f>IFERROR(__xludf.DUMMYFUNCTION("""COMPUTED_VALUE"""),"245g")</f>
        <v>245g</v>
      </c>
      <c r="T29" s="64">
        <f>IFERROR(__xludf.DUMMYFUNCTION("""COMPUTED_VALUE"""),245.0)</f>
        <v>245</v>
      </c>
      <c r="U29" s="66">
        <f>IFERROR(__xludf.DUMMYFUNCTION("""COMPUTED_VALUE"""),475.0)</f>
        <v>475</v>
      </c>
      <c r="V29" s="78">
        <f>IFERROR(__xludf.DUMMYFUNCTION("""COMPUTED_VALUE"""),4.283137962128043)</f>
        <v>4.283137962</v>
      </c>
    </row>
    <row r="30">
      <c r="B30" s="59" t="s">
        <v>124</v>
      </c>
      <c r="C30" s="59">
        <f>if(countif(F26:F29,F30)&gt;1,0,6)</f>
        <v>6</v>
      </c>
      <c r="D30" s="59" t="str">
        <f>IFERROR(__xludf.DUMMYFUNCTION("""COMPUTED_VALUE"""),"114 WJV")</f>
        <v>114 WJV</v>
      </c>
      <c r="E30" s="61" t="str">
        <f>IFERROR(__xludf.DUMMYFUNCTION("""COMPUTED_VALUE"""),"WJV")</f>
        <v>WJV</v>
      </c>
      <c r="F30" s="62" t="str">
        <f>IFERROR(__xludf.DUMMYFUNCTION("""COMPUTED_VALUE"""),"Port Huron")</f>
        <v>Port Huron</v>
      </c>
      <c r="G30" s="61">
        <f>IFERROR(__xludf.DUMMYFUNCTION("""COMPUTED_VALUE"""),110.2)</f>
        <v>110.2</v>
      </c>
      <c r="H30" s="62" t="str">
        <f>IFERROR(__xludf.DUMMYFUNCTION("""COMPUTED_VALUE"""),"Harris, Halle")</f>
        <v>Harris, Halle</v>
      </c>
      <c r="I30" s="63" t="str">
        <f>IFERROR(__xludf.DUMMYFUNCTION("""COMPUTED_VALUE"""),"145g")</f>
        <v>145g</v>
      </c>
      <c r="J30" s="61" t="str">
        <f>IFERROR(__xludf.DUMMYFUNCTION("""COMPUTED_VALUE"""),"155g")</f>
        <v>155g</v>
      </c>
      <c r="K30" s="61" t="str">
        <f>IFERROR(__xludf.DUMMYFUNCTION("""COMPUTED_VALUE"""),"165x")</f>
        <v>165x</v>
      </c>
      <c r="L30" s="64">
        <f>IFERROR(__xludf.DUMMYFUNCTION("""COMPUTED_VALUE"""),155.0)</f>
        <v>155</v>
      </c>
      <c r="M30" s="65" t="str">
        <f>IFERROR(__xludf.DUMMYFUNCTION("""COMPUTED_VALUE"""),"90g")</f>
        <v>90g</v>
      </c>
      <c r="N30" s="65" t="str">
        <f>IFERROR(__xludf.DUMMYFUNCTION("""COMPUTED_VALUE"""),"95g")</f>
        <v>95g</v>
      </c>
      <c r="O30" s="65" t="str">
        <f>IFERROR(__xludf.DUMMYFUNCTION("""COMPUTED_VALUE"""),"105x")</f>
        <v>105x</v>
      </c>
      <c r="P30" s="64">
        <f>IFERROR(__xludf.DUMMYFUNCTION("""COMPUTED_VALUE"""),95.0)</f>
        <v>95</v>
      </c>
      <c r="Q30" s="65" t="str">
        <f>IFERROR(__xludf.DUMMYFUNCTION("""COMPUTED_VALUE"""),"215x")</f>
        <v>215x</v>
      </c>
      <c r="R30" s="65" t="str">
        <f>IFERROR(__xludf.DUMMYFUNCTION("""COMPUTED_VALUE"""),"215g")</f>
        <v>215g</v>
      </c>
      <c r="S30" s="65" t="str">
        <f>IFERROR(__xludf.DUMMYFUNCTION("""COMPUTED_VALUE"""),"220g")</f>
        <v>220g</v>
      </c>
      <c r="T30" s="64">
        <f>IFERROR(__xludf.DUMMYFUNCTION("""COMPUTED_VALUE"""),220.0)</f>
        <v>220</v>
      </c>
      <c r="U30" s="66">
        <f>IFERROR(__xludf.DUMMYFUNCTION("""COMPUTED_VALUE"""),470.0)</f>
        <v>470</v>
      </c>
      <c r="V30" s="78">
        <f>IFERROR(__xludf.DUMMYFUNCTION("""COMPUTED_VALUE"""),4.26497277676951)</f>
        <v>4.264972777</v>
      </c>
    </row>
    <row r="31">
      <c r="B31" s="59" t="s">
        <v>125</v>
      </c>
      <c r="C31" s="59">
        <f>if(countif(F26:F30,F31)&gt;1,0,5)</f>
        <v>5</v>
      </c>
      <c r="D31" s="59" t="str">
        <f>IFERROR(__xludf.DUMMYFUNCTION("""COMPUTED_VALUE"""),"114 WJV")</f>
        <v>114 WJV</v>
      </c>
      <c r="E31" s="61" t="str">
        <f>IFERROR(__xludf.DUMMYFUNCTION("""COMPUTED_VALUE"""),"WJV")</f>
        <v>WJV</v>
      </c>
      <c r="F31" s="62" t="str">
        <f>IFERROR(__xludf.DUMMYFUNCTION("""COMPUTED_VALUE"""),"Traverse City West")</f>
        <v>Traverse City West</v>
      </c>
      <c r="G31" s="61">
        <f>IFERROR(__xludf.DUMMYFUNCTION("""COMPUTED_VALUE"""),113.6)</f>
        <v>113.6</v>
      </c>
      <c r="H31" s="62" t="str">
        <f>IFERROR(__xludf.DUMMYFUNCTION("""COMPUTED_VALUE"""),"Barfield, Skyler")</f>
        <v>Barfield, Skyler</v>
      </c>
      <c r="I31" s="63" t="str">
        <f>IFERROR(__xludf.DUMMYFUNCTION("""COMPUTED_VALUE"""),"170x")</f>
        <v>170x</v>
      </c>
      <c r="J31" s="61" t="str">
        <f>IFERROR(__xludf.DUMMYFUNCTION("""COMPUTED_VALUE"""),"170g")</f>
        <v>170g</v>
      </c>
      <c r="K31" s="61" t="str">
        <f>IFERROR(__xludf.DUMMYFUNCTION("""COMPUTED_VALUE"""),"175g")</f>
        <v>175g</v>
      </c>
      <c r="L31" s="64">
        <f>IFERROR(__xludf.DUMMYFUNCTION("""COMPUTED_VALUE"""),175.0)</f>
        <v>175</v>
      </c>
      <c r="M31" s="65" t="str">
        <f>IFERROR(__xludf.DUMMYFUNCTION("""COMPUTED_VALUE"""),"110g")</f>
        <v>110g</v>
      </c>
      <c r="N31" s="65" t="str">
        <f>IFERROR(__xludf.DUMMYFUNCTION("""COMPUTED_VALUE"""),"120x")</f>
        <v>120x</v>
      </c>
      <c r="O31" s="65" t="str">
        <f>IFERROR(__xludf.DUMMYFUNCTION("""COMPUTED_VALUE"""),"120x")</f>
        <v>120x</v>
      </c>
      <c r="P31" s="64">
        <f>IFERROR(__xludf.DUMMYFUNCTION("""COMPUTED_VALUE"""),110.0)</f>
        <v>110</v>
      </c>
      <c r="Q31" s="65" t="str">
        <f>IFERROR(__xludf.DUMMYFUNCTION("""COMPUTED_VALUE"""),"155g")</f>
        <v>155g</v>
      </c>
      <c r="R31" s="65" t="str">
        <f>IFERROR(__xludf.DUMMYFUNCTION("""COMPUTED_VALUE"""),"165g")</f>
        <v>165g</v>
      </c>
      <c r="S31" s="65" t="str">
        <f>IFERROR(__xludf.DUMMYFUNCTION("""COMPUTED_VALUE"""),"175g")</f>
        <v>175g</v>
      </c>
      <c r="T31" s="64">
        <f>IFERROR(__xludf.DUMMYFUNCTION("""COMPUTED_VALUE"""),175.0)</f>
        <v>175</v>
      </c>
      <c r="U31" s="66">
        <f>IFERROR(__xludf.DUMMYFUNCTION("""COMPUTED_VALUE"""),460.0)</f>
        <v>460</v>
      </c>
      <c r="V31" s="78">
        <f>IFERROR(__xludf.DUMMYFUNCTION("""COMPUTED_VALUE"""),4.049295774647888)</f>
        <v>4.049295775</v>
      </c>
    </row>
    <row r="32">
      <c r="B32" s="59" t="s">
        <v>126</v>
      </c>
      <c r="C32" s="59">
        <f>if(countif(F26:F31,F32)&gt;1,0,4)</f>
        <v>4</v>
      </c>
      <c r="D32" s="59" t="str">
        <f>IFERROR(__xludf.DUMMYFUNCTION("""COMPUTED_VALUE"""),"114 WJV")</f>
        <v>114 WJV</v>
      </c>
      <c r="E32" s="61" t="str">
        <f>IFERROR(__xludf.DUMMYFUNCTION("""COMPUTED_VALUE"""),"WJV")</f>
        <v>WJV</v>
      </c>
      <c r="F32" s="62" t="str">
        <f>IFERROR(__xludf.DUMMYFUNCTION("""COMPUTED_VALUE"""),"Port Huron")</f>
        <v>Port Huron</v>
      </c>
      <c r="G32" s="61">
        <f>IFERROR(__xludf.DUMMYFUNCTION("""COMPUTED_VALUE"""),108.2)</f>
        <v>108.2</v>
      </c>
      <c r="H32" s="62" t="str">
        <f>IFERROR(__xludf.DUMMYFUNCTION("""COMPUTED_VALUE"""),"Pionk, Abi")</f>
        <v>Pionk, Abi</v>
      </c>
      <c r="I32" s="63" t="str">
        <f>IFERROR(__xludf.DUMMYFUNCTION("""COMPUTED_VALUE"""),"145g")</f>
        <v>145g</v>
      </c>
      <c r="J32" s="61" t="str">
        <f>IFERROR(__xludf.DUMMYFUNCTION("""COMPUTED_VALUE"""),"155g")</f>
        <v>155g</v>
      </c>
      <c r="K32" s="61" t="str">
        <f>IFERROR(__xludf.DUMMYFUNCTION("""COMPUTED_VALUE"""),"165g")</f>
        <v>165g</v>
      </c>
      <c r="L32" s="64">
        <f>IFERROR(__xludf.DUMMYFUNCTION("""COMPUTED_VALUE"""),165.0)</f>
        <v>165</v>
      </c>
      <c r="M32" s="65" t="str">
        <f>IFERROR(__xludf.DUMMYFUNCTION("""COMPUTED_VALUE"""),"65g")</f>
        <v>65g</v>
      </c>
      <c r="N32" s="65" t="str">
        <f>IFERROR(__xludf.DUMMYFUNCTION("""COMPUTED_VALUE"""),"70g")</f>
        <v>70g</v>
      </c>
      <c r="O32" s="65" t="str">
        <f>IFERROR(__xludf.DUMMYFUNCTION("""COMPUTED_VALUE"""),"75x")</f>
        <v>75x</v>
      </c>
      <c r="P32" s="64">
        <f>IFERROR(__xludf.DUMMYFUNCTION("""COMPUTED_VALUE"""),70.0)</f>
        <v>70</v>
      </c>
      <c r="Q32" s="65" t="str">
        <f>IFERROR(__xludf.DUMMYFUNCTION("""COMPUTED_VALUE"""),"195g")</f>
        <v>195g</v>
      </c>
      <c r="R32" s="65" t="str">
        <f>IFERROR(__xludf.DUMMYFUNCTION("""COMPUTED_VALUE"""),"210g")</f>
        <v>210g</v>
      </c>
      <c r="S32" s="65" t="str">
        <f>IFERROR(__xludf.DUMMYFUNCTION("""COMPUTED_VALUE"""),"220g")</f>
        <v>220g</v>
      </c>
      <c r="T32" s="64">
        <f>IFERROR(__xludf.DUMMYFUNCTION("""COMPUTED_VALUE"""),220.0)</f>
        <v>220</v>
      </c>
      <c r="U32" s="66">
        <f>IFERROR(__xludf.DUMMYFUNCTION("""COMPUTED_VALUE"""),455.0)</f>
        <v>455</v>
      </c>
      <c r="V32" s="78">
        <f>IFERROR(__xludf.DUMMYFUNCTION("""COMPUTED_VALUE"""),4.205175600739372)</f>
        <v>4.205175601</v>
      </c>
    </row>
    <row r="33">
      <c r="B33" s="59" t="s">
        <v>127</v>
      </c>
      <c r="C33" s="59">
        <f>if(countif(F26:F32,F33)&gt;1,0,3)</f>
        <v>3</v>
      </c>
      <c r="D33" s="59" t="str">
        <f>IFERROR(__xludf.DUMMYFUNCTION("""COMPUTED_VALUE"""),"114 WJV")</f>
        <v>114 WJV</v>
      </c>
      <c r="E33" s="61" t="str">
        <f>IFERROR(__xludf.DUMMYFUNCTION("""COMPUTED_VALUE"""),"WJV")</f>
        <v>WJV</v>
      </c>
      <c r="F33" s="62" t="str">
        <f>IFERROR(__xludf.DUMMYFUNCTION("""COMPUTED_VALUE"""),"North Branch")</f>
        <v>North Branch</v>
      </c>
      <c r="G33" s="61">
        <f>IFERROR(__xludf.DUMMYFUNCTION("""COMPUTED_VALUE"""),113.8)</f>
        <v>113.8</v>
      </c>
      <c r="H33" s="62" t="str">
        <f>IFERROR(__xludf.DUMMYFUNCTION("""COMPUTED_VALUE"""),"Mauk, Jasmine")</f>
        <v>Mauk, Jasmine</v>
      </c>
      <c r="I33" s="63" t="str">
        <f>IFERROR(__xludf.DUMMYFUNCTION("""COMPUTED_VALUE"""),"130g")</f>
        <v>130g</v>
      </c>
      <c r="J33" s="61" t="str">
        <f>IFERROR(__xludf.DUMMYFUNCTION("""COMPUTED_VALUE"""),"145g")</f>
        <v>145g</v>
      </c>
      <c r="K33" s="61" t="str">
        <f>IFERROR(__xludf.DUMMYFUNCTION("""COMPUTED_VALUE"""),"150g")</f>
        <v>150g</v>
      </c>
      <c r="L33" s="64">
        <f>IFERROR(__xludf.DUMMYFUNCTION("""COMPUTED_VALUE"""),150.0)</f>
        <v>150</v>
      </c>
      <c r="M33" s="65" t="str">
        <f>IFERROR(__xludf.DUMMYFUNCTION("""COMPUTED_VALUE"""),"70g")</f>
        <v>70g</v>
      </c>
      <c r="N33" s="65" t="str">
        <f>IFERROR(__xludf.DUMMYFUNCTION("""COMPUTED_VALUE"""),"80x")</f>
        <v>80x</v>
      </c>
      <c r="O33" s="65" t="str">
        <f>IFERROR(__xludf.DUMMYFUNCTION("""COMPUTED_VALUE"""),"80x")</f>
        <v>80x</v>
      </c>
      <c r="P33" s="64">
        <f>IFERROR(__xludf.DUMMYFUNCTION("""COMPUTED_VALUE"""),70.0)</f>
        <v>70</v>
      </c>
      <c r="Q33" s="65" t="str">
        <f>IFERROR(__xludf.DUMMYFUNCTION("""COMPUTED_VALUE"""),"200g")</f>
        <v>200g</v>
      </c>
      <c r="R33" s="65" t="str">
        <f>IFERROR(__xludf.DUMMYFUNCTION("""COMPUTED_VALUE"""),"220g")</f>
        <v>220g</v>
      </c>
      <c r="S33" s="65" t="str">
        <f>IFERROR(__xludf.DUMMYFUNCTION("""COMPUTED_VALUE"""),"235g")</f>
        <v>235g</v>
      </c>
      <c r="T33" s="64">
        <f>IFERROR(__xludf.DUMMYFUNCTION("""COMPUTED_VALUE"""),235.0)</f>
        <v>235</v>
      </c>
      <c r="U33" s="66">
        <f>IFERROR(__xludf.DUMMYFUNCTION("""COMPUTED_VALUE"""),455.0)</f>
        <v>455</v>
      </c>
      <c r="V33" s="78">
        <f>IFERROR(__xludf.DUMMYFUNCTION("""COMPUTED_VALUE"""),3.9982425307557117)</f>
        <v>3.998242531</v>
      </c>
    </row>
    <row r="34">
      <c r="B34" s="59" t="s">
        <v>128</v>
      </c>
      <c r="C34" s="59">
        <f>if(countif(F26:F33,F34)&gt;1,0,2)</f>
        <v>2</v>
      </c>
      <c r="D34" s="59" t="str">
        <f>IFERROR(__xludf.DUMMYFUNCTION("""COMPUTED_VALUE"""),"114 WJV")</f>
        <v>114 WJV</v>
      </c>
      <c r="E34" s="61" t="str">
        <f>IFERROR(__xludf.DUMMYFUNCTION("""COMPUTED_VALUE"""),"WJV")</f>
        <v>WJV</v>
      </c>
      <c r="F34" s="62" t="str">
        <f>IFERROR(__xludf.DUMMYFUNCTION("""COMPUTED_VALUE"""),"Whitehall")</f>
        <v>Whitehall</v>
      </c>
      <c r="G34" s="61">
        <f>IFERROR(__xludf.DUMMYFUNCTION("""COMPUTED_VALUE"""),112.5)</f>
        <v>112.5</v>
      </c>
      <c r="H34" s="62" t="str">
        <f>IFERROR(__xludf.DUMMYFUNCTION("""COMPUTED_VALUE"""),"Kennedy, Tristyn")</f>
        <v>Kennedy, Tristyn</v>
      </c>
      <c r="I34" s="63" t="str">
        <f>IFERROR(__xludf.DUMMYFUNCTION("""COMPUTED_VALUE"""),"140g")</f>
        <v>140g</v>
      </c>
      <c r="J34" s="61" t="str">
        <f>IFERROR(__xludf.DUMMYFUNCTION("""COMPUTED_VALUE"""),"150g")</f>
        <v>150g</v>
      </c>
      <c r="K34" s="61" t="str">
        <f>IFERROR(__xludf.DUMMYFUNCTION("""COMPUTED_VALUE"""),"155x")</f>
        <v>155x</v>
      </c>
      <c r="L34" s="64">
        <f>IFERROR(__xludf.DUMMYFUNCTION("""COMPUTED_VALUE"""),150.0)</f>
        <v>150</v>
      </c>
      <c r="M34" s="65" t="str">
        <f>IFERROR(__xludf.DUMMYFUNCTION("""COMPUTED_VALUE"""),"75g")</f>
        <v>75g</v>
      </c>
      <c r="N34" s="65" t="str">
        <f>IFERROR(__xludf.DUMMYFUNCTION("""COMPUTED_VALUE"""),"80g")</f>
        <v>80g</v>
      </c>
      <c r="O34" s="65" t="str">
        <f>IFERROR(__xludf.DUMMYFUNCTION("""COMPUTED_VALUE"""),"90x")</f>
        <v>90x</v>
      </c>
      <c r="P34" s="64">
        <f>IFERROR(__xludf.DUMMYFUNCTION("""COMPUTED_VALUE"""),80.0)</f>
        <v>80</v>
      </c>
      <c r="Q34" s="65" t="str">
        <f>IFERROR(__xludf.DUMMYFUNCTION("""COMPUTED_VALUE"""),"200g")</f>
        <v>200g</v>
      </c>
      <c r="R34" s="65" t="str">
        <f>IFERROR(__xludf.DUMMYFUNCTION("""COMPUTED_VALUE"""),"220g")</f>
        <v>220g</v>
      </c>
      <c r="S34" s="65" t="str">
        <f>IFERROR(__xludf.DUMMYFUNCTION("""COMPUTED_VALUE"""),"235x")</f>
        <v>235x</v>
      </c>
      <c r="T34" s="64">
        <f>IFERROR(__xludf.DUMMYFUNCTION("""COMPUTED_VALUE"""),220.0)</f>
        <v>220</v>
      </c>
      <c r="U34" s="66">
        <f>IFERROR(__xludf.DUMMYFUNCTION("""COMPUTED_VALUE"""),450.0)</f>
        <v>450</v>
      </c>
      <c r="V34" s="78">
        <f>IFERROR(__xludf.DUMMYFUNCTION("""COMPUTED_VALUE"""),4.0)</f>
        <v>4</v>
      </c>
    </row>
    <row r="35">
      <c r="B35" s="59" t="s">
        <v>129</v>
      </c>
      <c r="C35" s="59">
        <f>if(countif(F26:F34,F35)&gt;1,0,1)</f>
        <v>0</v>
      </c>
      <c r="D35" s="59" t="str">
        <f>IFERROR(__xludf.DUMMYFUNCTION("""COMPUTED_VALUE"""),"114 WJV")</f>
        <v>114 WJV</v>
      </c>
      <c r="E35" s="61" t="str">
        <f>IFERROR(__xludf.DUMMYFUNCTION("""COMPUTED_VALUE"""),"WJV")</f>
        <v>WJV</v>
      </c>
      <c r="F35" s="62" t="str">
        <f>IFERROR(__xludf.DUMMYFUNCTION("""COMPUTED_VALUE"""),"Port Huron")</f>
        <v>Port Huron</v>
      </c>
      <c r="G35" s="61">
        <f>IFERROR(__xludf.DUMMYFUNCTION("""COMPUTED_VALUE"""),112.8)</f>
        <v>112.8</v>
      </c>
      <c r="H35" s="62" t="str">
        <f>IFERROR(__xludf.DUMMYFUNCTION("""COMPUTED_VALUE"""),"Stocks, Bryanna")</f>
        <v>Stocks, Bryanna</v>
      </c>
      <c r="I35" s="63" t="str">
        <f>IFERROR(__xludf.DUMMYFUNCTION("""COMPUTED_VALUE"""),"130g")</f>
        <v>130g</v>
      </c>
      <c r="J35" s="61" t="str">
        <f>IFERROR(__xludf.DUMMYFUNCTION("""COMPUTED_VALUE"""),"140g")</f>
        <v>140g</v>
      </c>
      <c r="K35" s="61" t="str">
        <f>IFERROR(__xludf.DUMMYFUNCTION("""COMPUTED_VALUE"""),"150g")</f>
        <v>150g</v>
      </c>
      <c r="L35" s="64">
        <f>IFERROR(__xludf.DUMMYFUNCTION("""COMPUTED_VALUE"""),150.0)</f>
        <v>150</v>
      </c>
      <c r="M35" s="65" t="str">
        <f>IFERROR(__xludf.DUMMYFUNCTION("""COMPUTED_VALUE"""),"70g")</f>
        <v>70g</v>
      </c>
      <c r="N35" s="65" t="str">
        <f>IFERROR(__xludf.DUMMYFUNCTION("""COMPUTED_VALUE"""),"80g")</f>
        <v>80g</v>
      </c>
      <c r="O35" s="65" t="str">
        <f>IFERROR(__xludf.DUMMYFUNCTION("""COMPUTED_VALUE"""),"85x")</f>
        <v>85x</v>
      </c>
      <c r="P35" s="64">
        <f>IFERROR(__xludf.DUMMYFUNCTION("""COMPUTED_VALUE"""),80.0)</f>
        <v>80</v>
      </c>
      <c r="Q35" s="65" t="str">
        <f>IFERROR(__xludf.DUMMYFUNCTION("""COMPUTED_VALUE"""),"205g")</f>
        <v>205g</v>
      </c>
      <c r="R35" s="65" t="str">
        <f>IFERROR(__xludf.DUMMYFUNCTION("""COMPUTED_VALUE"""),"220g")</f>
        <v>220g</v>
      </c>
      <c r="S35" s="65" t="str">
        <f>IFERROR(__xludf.DUMMYFUNCTION("""COMPUTED_VALUE"""),"230x")</f>
        <v>230x</v>
      </c>
      <c r="T35" s="64">
        <f>IFERROR(__xludf.DUMMYFUNCTION("""COMPUTED_VALUE"""),220.0)</f>
        <v>220</v>
      </c>
      <c r="U35" s="66">
        <f>IFERROR(__xludf.DUMMYFUNCTION("""COMPUTED_VALUE"""),450.0)</f>
        <v>450</v>
      </c>
      <c r="V35" s="78">
        <f>IFERROR(__xludf.DUMMYFUNCTION("""COMPUTED_VALUE"""),3.9893617021276597)</f>
        <v>3.989361702</v>
      </c>
    </row>
    <row r="36">
      <c r="A36" s="73">
        <v>123.0</v>
      </c>
      <c r="B36" s="68" t="s">
        <v>120</v>
      </c>
      <c r="C36" s="68">
        <v>12.0</v>
      </c>
      <c r="D36" s="68" t="str">
        <f>IFERROR(__xludf.DUMMYFUNCTION("ARRAY_CONSTRAIN(sort(filter(WJV_Tie_Breaker!D6:X285,WJV_Tie_Breaker!D6:D285=""123 WJV""),18,false,4,true,20,false,21,true),10,19)"),"123 WJV")</f>
        <v>123 WJV</v>
      </c>
      <c r="E36" s="69" t="str">
        <f>IFERROR(__xludf.DUMMYFUNCTION("""COMPUTED_VALUE"""),"WJV")</f>
        <v>WJV</v>
      </c>
      <c r="F36" s="70" t="str">
        <f>IFERROR(__xludf.DUMMYFUNCTION("""COMPUTED_VALUE"""),"Central Montcalm")</f>
        <v>Central Montcalm</v>
      </c>
      <c r="G36" s="69">
        <f>IFERROR(__xludf.DUMMYFUNCTION("""COMPUTED_VALUE"""),118.8)</f>
        <v>118.8</v>
      </c>
      <c r="H36" s="70" t="str">
        <f>IFERROR(__xludf.DUMMYFUNCTION("""COMPUTED_VALUE"""),"Nicholson, Kamryn")</f>
        <v>Nicholson, Kamryn</v>
      </c>
      <c r="I36" s="71" t="str">
        <f>IFERROR(__xludf.DUMMYFUNCTION("""COMPUTED_VALUE"""),"195g")</f>
        <v>195g</v>
      </c>
      <c r="J36" s="69" t="str">
        <f>IFERROR(__xludf.DUMMYFUNCTION("""COMPUTED_VALUE"""),"205g")</f>
        <v>205g</v>
      </c>
      <c r="K36" s="69" t="str">
        <f>IFERROR(__xludf.DUMMYFUNCTION("""COMPUTED_VALUE"""),"215x")</f>
        <v>215x</v>
      </c>
      <c r="L36" s="64">
        <f>IFERROR(__xludf.DUMMYFUNCTION("""COMPUTED_VALUE"""),205.0)</f>
        <v>205</v>
      </c>
      <c r="M36" s="72" t="str">
        <f>IFERROR(__xludf.DUMMYFUNCTION("""COMPUTED_VALUE"""),"95g")</f>
        <v>95g</v>
      </c>
      <c r="N36" s="72" t="str">
        <f>IFERROR(__xludf.DUMMYFUNCTION("""COMPUTED_VALUE"""),"105g")</f>
        <v>105g</v>
      </c>
      <c r="O36" s="72" t="str">
        <f>IFERROR(__xludf.DUMMYFUNCTION("""COMPUTED_VALUE"""),"110g")</f>
        <v>110g</v>
      </c>
      <c r="P36" s="64">
        <f>IFERROR(__xludf.DUMMYFUNCTION("""COMPUTED_VALUE"""),110.0)</f>
        <v>110</v>
      </c>
      <c r="Q36" s="72" t="str">
        <f>IFERROR(__xludf.DUMMYFUNCTION("""COMPUTED_VALUE"""),"225g")</f>
        <v>225g</v>
      </c>
      <c r="R36" s="72" t="str">
        <f>IFERROR(__xludf.DUMMYFUNCTION("""COMPUTED_VALUE"""),"250g")</f>
        <v>250g</v>
      </c>
      <c r="S36" s="72" t="str">
        <f>IFERROR(__xludf.DUMMYFUNCTION("""COMPUTED_VALUE"""),"265g")</f>
        <v>265g</v>
      </c>
      <c r="T36" s="64">
        <f>IFERROR(__xludf.DUMMYFUNCTION("""COMPUTED_VALUE"""),265.0)</f>
        <v>265</v>
      </c>
      <c r="U36" s="66">
        <f>IFERROR(__xludf.DUMMYFUNCTION("""COMPUTED_VALUE"""),580.0)</f>
        <v>580</v>
      </c>
      <c r="V36" s="79">
        <f>IFERROR(__xludf.DUMMYFUNCTION("""COMPUTED_VALUE"""),4.882154882154882)</f>
        <v>4.882154882</v>
      </c>
    </row>
    <row r="37">
      <c r="B37" s="68" t="s">
        <v>121</v>
      </c>
      <c r="C37" s="68">
        <v>9.0</v>
      </c>
      <c r="D37" s="68" t="str">
        <f>IFERROR(__xludf.DUMMYFUNCTION("""COMPUTED_VALUE"""),"123 WJV")</f>
        <v>123 WJV</v>
      </c>
      <c r="E37" s="69" t="str">
        <f>IFERROR(__xludf.DUMMYFUNCTION("""COMPUTED_VALUE"""),"WJV")</f>
        <v>WJV</v>
      </c>
      <c r="F37" s="70" t="str">
        <f>IFERROR(__xludf.DUMMYFUNCTION("""COMPUTED_VALUE"""),"Central Montcalm")</f>
        <v>Central Montcalm</v>
      </c>
      <c r="G37" s="69">
        <f>IFERROR(__xludf.DUMMYFUNCTION("""COMPUTED_VALUE"""),115.3)</f>
        <v>115.3</v>
      </c>
      <c r="H37" s="70" t="str">
        <f>IFERROR(__xludf.DUMMYFUNCTION("""COMPUTED_VALUE"""),"Choponis, Grace")</f>
        <v>Choponis, Grace</v>
      </c>
      <c r="I37" s="71" t="str">
        <f>IFERROR(__xludf.DUMMYFUNCTION("""COMPUTED_VALUE"""),"185g")</f>
        <v>185g</v>
      </c>
      <c r="J37" s="69" t="str">
        <f>IFERROR(__xludf.DUMMYFUNCTION("""COMPUTED_VALUE"""),"195x")</f>
        <v>195x</v>
      </c>
      <c r="K37" s="69" t="str">
        <f>IFERROR(__xludf.DUMMYFUNCTION("""COMPUTED_VALUE"""),"205x")</f>
        <v>205x</v>
      </c>
      <c r="L37" s="64">
        <f>IFERROR(__xludf.DUMMYFUNCTION("""COMPUTED_VALUE"""),185.0)</f>
        <v>185</v>
      </c>
      <c r="M37" s="72" t="str">
        <f>IFERROR(__xludf.DUMMYFUNCTION("""COMPUTED_VALUE"""),"85g")</f>
        <v>85g</v>
      </c>
      <c r="N37" s="72" t="str">
        <f>IFERROR(__xludf.DUMMYFUNCTION("""COMPUTED_VALUE"""),"95g")</f>
        <v>95g</v>
      </c>
      <c r="O37" s="72" t="str">
        <f>IFERROR(__xludf.DUMMYFUNCTION("""COMPUTED_VALUE"""),"100x")</f>
        <v>100x</v>
      </c>
      <c r="P37" s="64">
        <f>IFERROR(__xludf.DUMMYFUNCTION("""COMPUTED_VALUE"""),95.0)</f>
        <v>95</v>
      </c>
      <c r="Q37" s="72" t="str">
        <f>IFERROR(__xludf.DUMMYFUNCTION("""COMPUTED_VALUE"""),"225g")</f>
        <v>225g</v>
      </c>
      <c r="R37" s="72" t="str">
        <f>IFERROR(__xludf.DUMMYFUNCTION("""COMPUTED_VALUE"""),"265g")</f>
        <v>265g</v>
      </c>
      <c r="S37" s="72" t="str">
        <f>IFERROR(__xludf.DUMMYFUNCTION("""COMPUTED_VALUE"""),"280x")</f>
        <v>280x</v>
      </c>
      <c r="T37" s="64">
        <f>IFERROR(__xludf.DUMMYFUNCTION("""COMPUTED_VALUE"""),265.0)</f>
        <v>265</v>
      </c>
      <c r="U37" s="66">
        <f>IFERROR(__xludf.DUMMYFUNCTION("""COMPUTED_VALUE"""),545.0)</f>
        <v>545</v>
      </c>
      <c r="V37" s="79">
        <f>IFERROR(__xludf.DUMMYFUNCTION("""COMPUTED_VALUE"""),4.726799653078925)</f>
        <v>4.726799653</v>
      </c>
    </row>
    <row r="38">
      <c r="B38" s="68" t="s">
        <v>122</v>
      </c>
      <c r="C38" s="68">
        <f>if(countif(F36:F37,F38)&gt;1,0,8)</f>
        <v>8</v>
      </c>
      <c r="D38" s="68" t="str">
        <f>IFERROR(__xludf.DUMMYFUNCTION("""COMPUTED_VALUE"""),"123 WJV")</f>
        <v>123 WJV</v>
      </c>
      <c r="E38" s="69" t="str">
        <f>IFERROR(__xludf.DUMMYFUNCTION("""COMPUTED_VALUE"""),"WJV")</f>
        <v>WJV</v>
      </c>
      <c r="F38" s="70" t="str">
        <f>IFERROR(__xludf.DUMMYFUNCTION("""COMPUTED_VALUE"""),"Standish-Sterling")</f>
        <v>Standish-Sterling</v>
      </c>
      <c r="G38" s="69">
        <f>IFERROR(__xludf.DUMMYFUNCTION("""COMPUTED_VALUE"""),120.6)</f>
        <v>120.6</v>
      </c>
      <c r="H38" s="70" t="str">
        <f>IFERROR(__xludf.DUMMYFUNCTION("""COMPUTED_VALUE"""),"Kraska, Karasyn")</f>
        <v>Kraska, Karasyn</v>
      </c>
      <c r="I38" s="71" t="str">
        <f>IFERROR(__xludf.DUMMYFUNCTION("""COMPUTED_VALUE"""),"185g")</f>
        <v>185g</v>
      </c>
      <c r="J38" s="69" t="str">
        <f>IFERROR(__xludf.DUMMYFUNCTION("""COMPUTED_VALUE"""),"205g")</f>
        <v>205g</v>
      </c>
      <c r="K38" s="69" t="str">
        <f>IFERROR(__xludf.DUMMYFUNCTION("""COMPUTED_VALUE"""),"215x")</f>
        <v>215x</v>
      </c>
      <c r="L38" s="64">
        <f>IFERROR(__xludf.DUMMYFUNCTION("""COMPUTED_VALUE"""),205.0)</f>
        <v>205</v>
      </c>
      <c r="M38" s="72" t="str">
        <f>IFERROR(__xludf.DUMMYFUNCTION("""COMPUTED_VALUE"""),"115x")</f>
        <v>115x</v>
      </c>
      <c r="N38" s="72" t="str">
        <f>IFERROR(__xludf.DUMMYFUNCTION("""COMPUTED_VALUE"""),"115g")</f>
        <v>115g</v>
      </c>
      <c r="O38" s="72" t="str">
        <f>IFERROR(__xludf.DUMMYFUNCTION("""COMPUTED_VALUE"""),"125x")</f>
        <v>125x</v>
      </c>
      <c r="P38" s="64">
        <f>IFERROR(__xludf.DUMMYFUNCTION("""COMPUTED_VALUE"""),115.0)</f>
        <v>115</v>
      </c>
      <c r="Q38" s="72" t="str">
        <f>IFERROR(__xludf.DUMMYFUNCTION("""COMPUTED_VALUE"""),"215g")</f>
        <v>215g</v>
      </c>
      <c r="R38" s="72" t="str">
        <f>IFERROR(__xludf.DUMMYFUNCTION("""COMPUTED_VALUE"""),"225g")</f>
        <v>225g</v>
      </c>
      <c r="S38" s="72" t="str">
        <f>IFERROR(__xludf.DUMMYFUNCTION("""COMPUTED_VALUE"""),"250x")</f>
        <v>250x</v>
      </c>
      <c r="T38" s="64">
        <f>IFERROR(__xludf.DUMMYFUNCTION("""COMPUTED_VALUE"""),225.0)</f>
        <v>225</v>
      </c>
      <c r="U38" s="66">
        <f>IFERROR(__xludf.DUMMYFUNCTION("""COMPUTED_VALUE"""),545.0)</f>
        <v>545</v>
      </c>
      <c r="V38" s="79">
        <f>IFERROR(__xludf.DUMMYFUNCTION("""COMPUTED_VALUE"""),4.519071310116087)</f>
        <v>4.51907131</v>
      </c>
    </row>
    <row r="39">
      <c r="B39" s="68" t="s">
        <v>123</v>
      </c>
      <c r="C39" s="68">
        <f>if(countif(F36:F38,F39)&gt;1,0,7)</f>
        <v>7</v>
      </c>
      <c r="D39" s="68" t="str">
        <f>IFERROR(__xludf.DUMMYFUNCTION("""COMPUTED_VALUE"""),"123 WJV")</f>
        <v>123 WJV</v>
      </c>
      <c r="E39" s="69" t="str">
        <f>IFERROR(__xludf.DUMMYFUNCTION("""COMPUTED_VALUE"""),"WJV")</f>
        <v>WJV</v>
      </c>
      <c r="F39" s="70" t="str">
        <f>IFERROR(__xludf.DUMMYFUNCTION("""COMPUTED_VALUE"""),"Cros-Lex")</f>
        <v>Cros-Lex</v>
      </c>
      <c r="G39" s="69">
        <f>IFERROR(__xludf.DUMMYFUNCTION("""COMPUTED_VALUE"""),119.6)</f>
        <v>119.6</v>
      </c>
      <c r="H39" s="70" t="str">
        <f>IFERROR(__xludf.DUMMYFUNCTION("""COMPUTED_VALUE"""),"Brooks, Kayla")</f>
        <v>Brooks, Kayla</v>
      </c>
      <c r="I39" s="71" t="str">
        <f>IFERROR(__xludf.DUMMYFUNCTION("""COMPUTED_VALUE"""),"170g")</f>
        <v>170g</v>
      </c>
      <c r="J39" s="69" t="str">
        <f>IFERROR(__xludf.DUMMYFUNCTION("""COMPUTED_VALUE"""),"180g")</f>
        <v>180g</v>
      </c>
      <c r="K39" s="69" t="str">
        <f>IFERROR(__xludf.DUMMYFUNCTION("""COMPUTED_VALUE"""),"190g")</f>
        <v>190g</v>
      </c>
      <c r="L39" s="64">
        <f>IFERROR(__xludf.DUMMYFUNCTION("""COMPUTED_VALUE"""),190.0)</f>
        <v>190</v>
      </c>
      <c r="M39" s="72" t="str">
        <f>IFERROR(__xludf.DUMMYFUNCTION("""COMPUTED_VALUE"""),"90g")</f>
        <v>90g</v>
      </c>
      <c r="N39" s="72" t="str">
        <f>IFERROR(__xludf.DUMMYFUNCTION("""COMPUTED_VALUE"""),"100g")</f>
        <v>100g</v>
      </c>
      <c r="O39" s="72" t="str">
        <f>IFERROR(__xludf.DUMMYFUNCTION("""COMPUTED_VALUE"""),"105g")</f>
        <v>105g</v>
      </c>
      <c r="P39" s="64">
        <f>IFERROR(__xludf.DUMMYFUNCTION("""COMPUTED_VALUE"""),105.0)</f>
        <v>105</v>
      </c>
      <c r="Q39" s="72" t="str">
        <f>IFERROR(__xludf.DUMMYFUNCTION("""COMPUTED_VALUE"""),"195g")</f>
        <v>195g</v>
      </c>
      <c r="R39" s="72" t="str">
        <f>IFERROR(__xludf.DUMMYFUNCTION("""COMPUTED_VALUE"""),"220g")</f>
        <v>220g</v>
      </c>
      <c r="S39" s="72" t="str">
        <f>IFERROR(__xludf.DUMMYFUNCTION("""COMPUTED_VALUE"""),"235g")</f>
        <v>235g</v>
      </c>
      <c r="T39" s="64">
        <f>IFERROR(__xludf.DUMMYFUNCTION("""COMPUTED_VALUE"""),235.0)</f>
        <v>235</v>
      </c>
      <c r="U39" s="66">
        <f>IFERROR(__xludf.DUMMYFUNCTION("""COMPUTED_VALUE"""),530.0)</f>
        <v>530</v>
      </c>
      <c r="V39" s="79">
        <f>IFERROR(__xludf.DUMMYFUNCTION("""COMPUTED_VALUE"""),4.431438127090301)</f>
        <v>4.431438127</v>
      </c>
    </row>
    <row r="40">
      <c r="B40" s="68" t="s">
        <v>124</v>
      </c>
      <c r="C40" s="68">
        <f>if(countif(F36:F39,F40)&gt;1,0,6)</f>
        <v>6</v>
      </c>
      <c r="D40" s="68" t="str">
        <f>IFERROR(__xludf.DUMMYFUNCTION("""COMPUTED_VALUE"""),"123 WJV")</f>
        <v>123 WJV</v>
      </c>
      <c r="E40" s="69" t="str">
        <f>IFERROR(__xludf.DUMMYFUNCTION("""COMPUTED_VALUE"""),"WJV")</f>
        <v>WJV</v>
      </c>
      <c r="F40" s="70" t="str">
        <f>IFERROR(__xludf.DUMMYFUNCTION("""COMPUTED_VALUE"""),"Port Huron")</f>
        <v>Port Huron</v>
      </c>
      <c r="G40" s="69">
        <f>IFERROR(__xludf.DUMMYFUNCTION("""COMPUTED_VALUE"""),120.4)</f>
        <v>120.4</v>
      </c>
      <c r="H40" s="70" t="str">
        <f>IFERROR(__xludf.DUMMYFUNCTION("""COMPUTED_VALUE"""),"Post, Angelina")</f>
        <v>Post, Angelina</v>
      </c>
      <c r="I40" s="71" t="str">
        <f>IFERROR(__xludf.DUMMYFUNCTION("""COMPUTED_VALUE"""),"175g")</f>
        <v>175g</v>
      </c>
      <c r="J40" s="69" t="str">
        <f>IFERROR(__xludf.DUMMYFUNCTION("""COMPUTED_VALUE"""),"185g")</f>
        <v>185g</v>
      </c>
      <c r="K40" s="69" t="str">
        <f>IFERROR(__xludf.DUMMYFUNCTION("""COMPUTED_VALUE"""),"195g")</f>
        <v>195g</v>
      </c>
      <c r="L40" s="64">
        <f>IFERROR(__xludf.DUMMYFUNCTION("""COMPUTED_VALUE"""),195.0)</f>
        <v>195</v>
      </c>
      <c r="M40" s="72" t="str">
        <f>IFERROR(__xludf.DUMMYFUNCTION("""COMPUTED_VALUE"""),"90g")</f>
        <v>90g</v>
      </c>
      <c r="N40" s="72" t="str">
        <f>IFERROR(__xludf.DUMMYFUNCTION("""COMPUTED_VALUE"""),"95g")</f>
        <v>95g</v>
      </c>
      <c r="O40" s="72" t="str">
        <f>IFERROR(__xludf.DUMMYFUNCTION("""COMPUTED_VALUE"""),"100x")</f>
        <v>100x</v>
      </c>
      <c r="P40" s="64">
        <f>IFERROR(__xludf.DUMMYFUNCTION("""COMPUTED_VALUE"""),95.0)</f>
        <v>95</v>
      </c>
      <c r="Q40" s="72" t="str">
        <f>IFERROR(__xludf.DUMMYFUNCTION("""COMPUTED_VALUE"""),"215g")</f>
        <v>215g</v>
      </c>
      <c r="R40" s="72" t="str">
        <f>IFERROR(__xludf.DUMMYFUNCTION("""COMPUTED_VALUE"""),"225g")</f>
        <v>225g</v>
      </c>
      <c r="S40" s="72" t="str">
        <f>IFERROR(__xludf.DUMMYFUNCTION("""COMPUTED_VALUE"""),"235g")</f>
        <v>235g</v>
      </c>
      <c r="T40" s="64">
        <f>IFERROR(__xludf.DUMMYFUNCTION("""COMPUTED_VALUE"""),235.0)</f>
        <v>235</v>
      </c>
      <c r="U40" s="66">
        <f>IFERROR(__xludf.DUMMYFUNCTION("""COMPUTED_VALUE"""),525.0)</f>
        <v>525</v>
      </c>
      <c r="V40" s="79">
        <f>IFERROR(__xludf.DUMMYFUNCTION("""COMPUTED_VALUE"""),4.3604651162790695)</f>
        <v>4.360465116</v>
      </c>
    </row>
    <row r="41">
      <c r="B41" s="68" t="s">
        <v>125</v>
      </c>
      <c r="C41" s="68">
        <f>if(countif(F36:F40,F41)&gt;1,0,5)</f>
        <v>5</v>
      </c>
      <c r="D41" s="68" t="str">
        <f>IFERROR(__xludf.DUMMYFUNCTION("""COMPUTED_VALUE"""),"123 WJV")</f>
        <v>123 WJV</v>
      </c>
      <c r="E41" s="69" t="str">
        <f>IFERROR(__xludf.DUMMYFUNCTION("""COMPUTED_VALUE"""),"WJV")</f>
        <v>WJV</v>
      </c>
      <c r="F41" s="70" t="str">
        <f>IFERROR(__xludf.DUMMYFUNCTION("""COMPUTED_VALUE"""),"Central Lake")</f>
        <v>Central Lake</v>
      </c>
      <c r="G41" s="69">
        <f>IFERROR(__xludf.DUMMYFUNCTION("""COMPUTED_VALUE"""),122.4)</f>
        <v>122.4</v>
      </c>
      <c r="H41" s="70" t="str">
        <f>IFERROR(__xludf.DUMMYFUNCTION("""COMPUTED_VALUE"""),"Perry, Liberty")</f>
        <v>Perry, Liberty</v>
      </c>
      <c r="I41" s="71" t="str">
        <f>IFERROR(__xludf.DUMMYFUNCTION("""COMPUTED_VALUE"""),"185g")</f>
        <v>185g</v>
      </c>
      <c r="J41" s="69" t="str">
        <f>IFERROR(__xludf.DUMMYFUNCTION("""COMPUTED_VALUE"""),"200g")</f>
        <v>200g</v>
      </c>
      <c r="K41" s="69" t="str">
        <f>IFERROR(__xludf.DUMMYFUNCTION("""COMPUTED_VALUE"""),"210x")</f>
        <v>210x</v>
      </c>
      <c r="L41" s="64">
        <f>IFERROR(__xludf.DUMMYFUNCTION("""COMPUTED_VALUE"""),200.0)</f>
        <v>200</v>
      </c>
      <c r="M41" s="72" t="str">
        <f>IFERROR(__xludf.DUMMYFUNCTION("""COMPUTED_VALUE"""),"95g")</f>
        <v>95g</v>
      </c>
      <c r="N41" s="72" t="str">
        <f>IFERROR(__xludf.DUMMYFUNCTION("""COMPUTED_VALUE"""),"105g")</f>
        <v>105g</v>
      </c>
      <c r="O41" s="72" t="str">
        <f>IFERROR(__xludf.DUMMYFUNCTION("""COMPUTED_VALUE"""),"110x")</f>
        <v>110x</v>
      </c>
      <c r="P41" s="64">
        <f>IFERROR(__xludf.DUMMYFUNCTION("""COMPUTED_VALUE"""),105.0)</f>
        <v>105</v>
      </c>
      <c r="Q41" s="72" t="str">
        <f>IFERROR(__xludf.DUMMYFUNCTION("""COMPUTED_VALUE"""),"185g")</f>
        <v>185g</v>
      </c>
      <c r="R41" s="72" t="str">
        <f>IFERROR(__xludf.DUMMYFUNCTION("""COMPUTED_VALUE"""),"200g")</f>
        <v>200g</v>
      </c>
      <c r="S41" s="72" t="str">
        <f>IFERROR(__xludf.DUMMYFUNCTION("""COMPUTED_VALUE"""),"215g")</f>
        <v>215g</v>
      </c>
      <c r="T41" s="64">
        <f>IFERROR(__xludf.DUMMYFUNCTION("""COMPUTED_VALUE"""),215.0)</f>
        <v>215</v>
      </c>
      <c r="U41" s="66">
        <f>IFERROR(__xludf.DUMMYFUNCTION("""COMPUTED_VALUE"""),520.0)</f>
        <v>520</v>
      </c>
      <c r="V41" s="79">
        <f>IFERROR(__xludf.DUMMYFUNCTION("""COMPUTED_VALUE"""),4.248366013071895)</f>
        <v>4.248366013</v>
      </c>
    </row>
    <row r="42">
      <c r="B42" s="68" t="s">
        <v>126</v>
      </c>
      <c r="C42" s="68">
        <f>if(countif(F36:F41,F42)&gt;1,0,4)</f>
        <v>4</v>
      </c>
      <c r="D42" s="68" t="str">
        <f>IFERROR(__xludf.DUMMYFUNCTION("""COMPUTED_VALUE"""),"123 WJV")</f>
        <v>123 WJV</v>
      </c>
      <c r="E42" s="69" t="str">
        <f>IFERROR(__xludf.DUMMYFUNCTION("""COMPUTED_VALUE"""),"WJV")</f>
        <v>WJV</v>
      </c>
      <c r="F42" s="70" t="str">
        <f>IFERROR(__xludf.DUMMYFUNCTION("""COMPUTED_VALUE"""),"Traverse City West")</f>
        <v>Traverse City West</v>
      </c>
      <c r="G42" s="69">
        <f>IFERROR(__xludf.DUMMYFUNCTION("""COMPUTED_VALUE"""),120.8)</f>
        <v>120.8</v>
      </c>
      <c r="H42" s="70" t="str">
        <f>IFERROR(__xludf.DUMMYFUNCTION("""COMPUTED_VALUE"""),"Jaquish, Isabelle")</f>
        <v>Jaquish, Isabelle</v>
      </c>
      <c r="I42" s="71" t="str">
        <f>IFERROR(__xludf.DUMMYFUNCTION("""COMPUTED_VALUE"""),"165x")</f>
        <v>165x</v>
      </c>
      <c r="J42" s="69" t="str">
        <f>IFERROR(__xludf.DUMMYFUNCTION("""COMPUTED_VALUE"""),"165g")</f>
        <v>165g</v>
      </c>
      <c r="K42" s="69" t="str">
        <f>IFERROR(__xludf.DUMMYFUNCTION("""COMPUTED_VALUE"""),"185g")</f>
        <v>185g</v>
      </c>
      <c r="L42" s="64">
        <f>IFERROR(__xludf.DUMMYFUNCTION("""COMPUTED_VALUE"""),185.0)</f>
        <v>185</v>
      </c>
      <c r="M42" s="72" t="str">
        <f>IFERROR(__xludf.DUMMYFUNCTION("""COMPUTED_VALUE"""),"95g")</f>
        <v>95g</v>
      </c>
      <c r="N42" s="72" t="str">
        <f>IFERROR(__xludf.DUMMYFUNCTION("""COMPUTED_VALUE"""),"105x")</f>
        <v>105x</v>
      </c>
      <c r="O42" s="72" t="str">
        <f>IFERROR(__xludf.DUMMYFUNCTION("""COMPUTED_VALUE"""),"105x")</f>
        <v>105x</v>
      </c>
      <c r="P42" s="64">
        <f>IFERROR(__xludf.DUMMYFUNCTION("""COMPUTED_VALUE"""),95.0)</f>
        <v>95</v>
      </c>
      <c r="Q42" s="72" t="str">
        <f>IFERROR(__xludf.DUMMYFUNCTION("""COMPUTED_VALUE"""),"195g")</f>
        <v>195g</v>
      </c>
      <c r="R42" s="72" t="str">
        <f>IFERROR(__xludf.DUMMYFUNCTION("""COMPUTED_VALUE"""),"225g")</f>
        <v>225g</v>
      </c>
      <c r="S42" s="72" t="str">
        <f>IFERROR(__xludf.DUMMYFUNCTION("""COMPUTED_VALUE"""),"235g")</f>
        <v>235g</v>
      </c>
      <c r="T42" s="64">
        <f>IFERROR(__xludf.DUMMYFUNCTION("""COMPUTED_VALUE"""),235.0)</f>
        <v>235</v>
      </c>
      <c r="U42" s="66">
        <f>IFERROR(__xludf.DUMMYFUNCTION("""COMPUTED_VALUE"""),515.0)</f>
        <v>515</v>
      </c>
      <c r="V42" s="79">
        <f>IFERROR(__xludf.DUMMYFUNCTION("""COMPUTED_VALUE"""),4.263245033112583)</f>
        <v>4.263245033</v>
      </c>
    </row>
    <row r="43">
      <c r="B43" s="68" t="s">
        <v>127</v>
      </c>
      <c r="C43" s="68">
        <f>if(countif(F36:F42,F43)&gt;1,0,3)</f>
        <v>3</v>
      </c>
      <c r="D43" s="68" t="str">
        <f>IFERROR(__xludf.DUMMYFUNCTION("""COMPUTED_VALUE"""),"123 WJV")</f>
        <v>123 WJV</v>
      </c>
      <c r="E43" s="69" t="str">
        <f>IFERROR(__xludf.DUMMYFUNCTION("""COMPUTED_VALUE"""),"WJV")</f>
        <v>WJV</v>
      </c>
      <c r="F43" s="70" t="str">
        <f>IFERROR(__xludf.DUMMYFUNCTION("""COMPUTED_VALUE"""),"Almont")</f>
        <v>Almont</v>
      </c>
      <c r="G43" s="69">
        <f>IFERROR(__xludf.DUMMYFUNCTION("""COMPUTED_VALUE"""),121.0)</f>
        <v>121</v>
      </c>
      <c r="H43" s="70" t="str">
        <f>IFERROR(__xludf.DUMMYFUNCTION("""COMPUTED_VALUE"""),"Wilson, Lindsey")</f>
        <v>Wilson, Lindsey</v>
      </c>
      <c r="I43" s="71" t="str">
        <f>IFERROR(__xludf.DUMMYFUNCTION("""COMPUTED_VALUE"""),"170g")</f>
        <v>170g</v>
      </c>
      <c r="J43" s="69" t="str">
        <f>IFERROR(__xludf.DUMMYFUNCTION("""COMPUTED_VALUE"""),"185g")</f>
        <v>185g</v>
      </c>
      <c r="K43" s="69" t="str">
        <f>IFERROR(__xludf.DUMMYFUNCTION("""COMPUTED_VALUE"""),"200x")</f>
        <v>200x</v>
      </c>
      <c r="L43" s="64">
        <f>IFERROR(__xludf.DUMMYFUNCTION("""COMPUTED_VALUE"""),185.0)</f>
        <v>185</v>
      </c>
      <c r="M43" s="72" t="str">
        <f>IFERROR(__xludf.DUMMYFUNCTION("""COMPUTED_VALUE"""),"75g")</f>
        <v>75g</v>
      </c>
      <c r="N43" s="72" t="str">
        <f>IFERROR(__xludf.DUMMYFUNCTION("""COMPUTED_VALUE"""),"85g")</f>
        <v>85g</v>
      </c>
      <c r="O43" s="72" t="str">
        <f>IFERROR(__xludf.DUMMYFUNCTION("""COMPUTED_VALUE"""),"90g")</f>
        <v>90g</v>
      </c>
      <c r="P43" s="64">
        <f>IFERROR(__xludf.DUMMYFUNCTION("""COMPUTED_VALUE"""),90.0)</f>
        <v>90</v>
      </c>
      <c r="Q43" s="72" t="str">
        <f>IFERROR(__xludf.DUMMYFUNCTION("""COMPUTED_VALUE"""),"210g")</f>
        <v>210g</v>
      </c>
      <c r="R43" s="72" t="str">
        <f>IFERROR(__xludf.DUMMYFUNCTION("""COMPUTED_VALUE"""),"220g")</f>
        <v>220g</v>
      </c>
      <c r="S43" s="72" t="str">
        <f>IFERROR(__xludf.DUMMYFUNCTION("""COMPUTED_VALUE"""),"235g")</f>
        <v>235g</v>
      </c>
      <c r="T43" s="64">
        <f>IFERROR(__xludf.DUMMYFUNCTION("""COMPUTED_VALUE"""),235.0)</f>
        <v>235</v>
      </c>
      <c r="U43" s="66">
        <f>IFERROR(__xludf.DUMMYFUNCTION("""COMPUTED_VALUE"""),510.0)</f>
        <v>510</v>
      </c>
      <c r="V43" s="79">
        <f>IFERROR(__xludf.DUMMYFUNCTION("""COMPUTED_VALUE"""),4.214876033057851)</f>
        <v>4.214876033</v>
      </c>
    </row>
    <row r="44">
      <c r="B44" s="68" t="s">
        <v>128</v>
      </c>
      <c r="C44" s="68">
        <f>if(countif(F36:F43,F44)&gt;1,0,2)</f>
        <v>2</v>
      </c>
      <c r="D44" s="68" t="str">
        <f>IFERROR(__xludf.DUMMYFUNCTION("""COMPUTED_VALUE"""),"123 WJV")</f>
        <v>123 WJV</v>
      </c>
      <c r="E44" s="69" t="str">
        <f>IFERROR(__xludf.DUMMYFUNCTION("""COMPUTED_VALUE"""),"WJV")</f>
        <v>WJV</v>
      </c>
      <c r="F44" s="70" t="str">
        <f>IFERROR(__xludf.DUMMYFUNCTION("""COMPUTED_VALUE"""),"Grand Haven")</f>
        <v>Grand Haven</v>
      </c>
      <c r="G44" s="69">
        <f>IFERROR(__xludf.DUMMYFUNCTION("""COMPUTED_VALUE"""),119.2)</f>
        <v>119.2</v>
      </c>
      <c r="H44" s="70" t="str">
        <f>IFERROR(__xludf.DUMMYFUNCTION("""COMPUTED_VALUE"""),"Spencer, Sydney")</f>
        <v>Spencer, Sydney</v>
      </c>
      <c r="I44" s="71" t="str">
        <f>IFERROR(__xludf.DUMMYFUNCTION("""COMPUTED_VALUE"""),"155g")</f>
        <v>155g</v>
      </c>
      <c r="J44" s="69" t="str">
        <f>IFERROR(__xludf.DUMMYFUNCTION("""COMPUTED_VALUE"""),"185g")</f>
        <v>185g</v>
      </c>
      <c r="K44" s="69" t="str">
        <f>IFERROR(__xludf.DUMMYFUNCTION("""COMPUTED_VALUE"""),"195g")</f>
        <v>195g</v>
      </c>
      <c r="L44" s="64">
        <f>IFERROR(__xludf.DUMMYFUNCTION("""COMPUTED_VALUE"""),195.0)</f>
        <v>195</v>
      </c>
      <c r="M44" s="72" t="str">
        <f>IFERROR(__xludf.DUMMYFUNCTION("""COMPUTED_VALUE"""),"75g")</f>
        <v>75g</v>
      </c>
      <c r="N44" s="72" t="str">
        <f>IFERROR(__xludf.DUMMYFUNCTION("""COMPUTED_VALUE"""),"85g")</f>
        <v>85g</v>
      </c>
      <c r="O44" s="72" t="str">
        <f>IFERROR(__xludf.DUMMYFUNCTION("""COMPUTED_VALUE"""),"90x")</f>
        <v>90x</v>
      </c>
      <c r="P44" s="64">
        <f>IFERROR(__xludf.DUMMYFUNCTION("""COMPUTED_VALUE"""),85.0)</f>
        <v>85</v>
      </c>
      <c r="Q44" s="72" t="str">
        <f>IFERROR(__xludf.DUMMYFUNCTION("""COMPUTED_VALUE"""),"195g")</f>
        <v>195g</v>
      </c>
      <c r="R44" s="72" t="str">
        <f>IFERROR(__xludf.DUMMYFUNCTION("""COMPUTED_VALUE"""),"215g")</f>
        <v>215g</v>
      </c>
      <c r="S44" s="72" t="str">
        <f>IFERROR(__xludf.DUMMYFUNCTION("""COMPUTED_VALUE"""),"225x")</f>
        <v>225x</v>
      </c>
      <c r="T44" s="64">
        <f>IFERROR(__xludf.DUMMYFUNCTION("""COMPUTED_VALUE"""),215.0)</f>
        <v>215</v>
      </c>
      <c r="U44" s="66">
        <f>IFERROR(__xludf.DUMMYFUNCTION("""COMPUTED_VALUE"""),495.0)</f>
        <v>495</v>
      </c>
      <c r="V44" s="79">
        <f>IFERROR(__xludf.DUMMYFUNCTION("""COMPUTED_VALUE"""),4.152684563758389)</f>
        <v>4.152684564</v>
      </c>
    </row>
    <row r="45">
      <c r="B45" s="68" t="s">
        <v>129</v>
      </c>
      <c r="C45" s="68">
        <f>if(countif(F36:F44,F45)&gt;1,0,1)</f>
        <v>1</v>
      </c>
      <c r="D45" s="68" t="str">
        <f>IFERROR(__xludf.DUMMYFUNCTION("""COMPUTED_VALUE"""),"123 WJV")</f>
        <v>123 WJV</v>
      </c>
      <c r="E45" s="69" t="str">
        <f>IFERROR(__xludf.DUMMYFUNCTION("""COMPUTED_VALUE"""),"WJV")</f>
        <v>WJV</v>
      </c>
      <c r="F45" s="70" t="str">
        <f>IFERROR(__xludf.DUMMYFUNCTION("""COMPUTED_VALUE"""),"Standish-Sterling")</f>
        <v>Standish-Sterling</v>
      </c>
      <c r="G45" s="69">
        <f>IFERROR(__xludf.DUMMYFUNCTION("""COMPUTED_VALUE"""),119.9)</f>
        <v>119.9</v>
      </c>
      <c r="H45" s="70" t="str">
        <f>IFERROR(__xludf.DUMMYFUNCTION("""COMPUTED_VALUE"""),"Wallaker, Rylee")</f>
        <v>Wallaker, Rylee</v>
      </c>
      <c r="I45" s="71" t="str">
        <f>IFERROR(__xludf.DUMMYFUNCTION("""COMPUTED_VALUE"""),"140g")</f>
        <v>140g</v>
      </c>
      <c r="J45" s="69" t="str">
        <f>IFERROR(__xludf.DUMMYFUNCTION("""COMPUTED_VALUE"""),"155g")</f>
        <v>155g</v>
      </c>
      <c r="K45" s="69" t="str">
        <f>IFERROR(__xludf.DUMMYFUNCTION("""COMPUTED_VALUE"""),"175x")</f>
        <v>175x</v>
      </c>
      <c r="L45" s="64">
        <f>IFERROR(__xludf.DUMMYFUNCTION("""COMPUTED_VALUE"""),155.0)</f>
        <v>155</v>
      </c>
      <c r="M45" s="72" t="str">
        <f>IFERROR(__xludf.DUMMYFUNCTION("""COMPUTED_VALUE"""),"75g")</f>
        <v>75g</v>
      </c>
      <c r="N45" s="72" t="str">
        <f>IFERROR(__xludf.DUMMYFUNCTION("""COMPUTED_VALUE"""),"85g")</f>
        <v>85g</v>
      </c>
      <c r="O45" s="72" t="str">
        <f>IFERROR(__xludf.DUMMYFUNCTION("""COMPUTED_VALUE"""),"90x")</f>
        <v>90x</v>
      </c>
      <c r="P45" s="64">
        <f>IFERROR(__xludf.DUMMYFUNCTION("""COMPUTED_VALUE"""),85.0)</f>
        <v>85</v>
      </c>
      <c r="Q45" s="72" t="str">
        <f>IFERROR(__xludf.DUMMYFUNCTION("""COMPUTED_VALUE"""),"185g")</f>
        <v>185g</v>
      </c>
      <c r="R45" s="72" t="str">
        <f>IFERROR(__xludf.DUMMYFUNCTION("""COMPUTED_VALUE"""),"200g")</f>
        <v>200g</v>
      </c>
      <c r="S45" s="72" t="str">
        <f>IFERROR(__xludf.DUMMYFUNCTION("""COMPUTED_VALUE"""),"230g")</f>
        <v>230g</v>
      </c>
      <c r="T45" s="64">
        <f>IFERROR(__xludf.DUMMYFUNCTION("""COMPUTED_VALUE"""),230.0)</f>
        <v>230</v>
      </c>
      <c r="U45" s="66">
        <f>IFERROR(__xludf.DUMMYFUNCTION("""COMPUTED_VALUE"""),470.0)</f>
        <v>470</v>
      </c>
      <c r="V45" s="79">
        <f>IFERROR(__xludf.DUMMYFUNCTION("""COMPUTED_VALUE"""),3.9199332777314426)</f>
        <v>3.919933278</v>
      </c>
    </row>
    <row r="46">
      <c r="A46" s="58">
        <v>132.0</v>
      </c>
      <c r="B46" s="59" t="s">
        <v>120</v>
      </c>
      <c r="C46" s="59">
        <v>12.0</v>
      </c>
      <c r="D46" s="60" t="str">
        <f>IFERROR(__xludf.DUMMYFUNCTION("ARRAY_CONSTRAIN(sort(filter(WJV_Tie_Breaker!D6:X285,WJV_Tie_Breaker!D6:D285=""132 WJV""),18,false,4,true,20,false,21,true),10,19)"),"132 WJV")</f>
        <v>132 WJV</v>
      </c>
      <c r="E46" s="61" t="str">
        <f>IFERROR(__xludf.DUMMYFUNCTION("""COMPUTED_VALUE"""),"WJV")</f>
        <v>WJV</v>
      </c>
      <c r="F46" s="62" t="str">
        <f>IFERROR(__xludf.DUMMYFUNCTION("""COMPUTED_VALUE"""),"Central Montcalm")</f>
        <v>Central Montcalm</v>
      </c>
      <c r="G46" s="61">
        <f>IFERROR(__xludf.DUMMYFUNCTION("""COMPUTED_VALUE"""),130.8)</f>
        <v>130.8</v>
      </c>
      <c r="H46" s="62" t="str">
        <f>IFERROR(__xludf.DUMMYFUNCTION("""COMPUTED_VALUE"""),"Long, Madison")</f>
        <v>Long, Madison</v>
      </c>
      <c r="I46" s="63" t="str">
        <f>IFERROR(__xludf.DUMMYFUNCTION("""COMPUTED_VALUE"""),"195g")</f>
        <v>195g</v>
      </c>
      <c r="J46" s="61" t="str">
        <f>IFERROR(__xludf.DUMMYFUNCTION("""COMPUTED_VALUE"""),"205g")</f>
        <v>205g</v>
      </c>
      <c r="K46" s="61" t="str">
        <f>IFERROR(__xludf.DUMMYFUNCTION("""COMPUTED_VALUE"""),"215x")</f>
        <v>215x</v>
      </c>
      <c r="L46" s="64">
        <f>IFERROR(__xludf.DUMMYFUNCTION("""COMPUTED_VALUE"""),205.0)</f>
        <v>205</v>
      </c>
      <c r="M46" s="65" t="str">
        <f>IFERROR(__xludf.DUMMYFUNCTION("""COMPUTED_VALUE"""),"95g")</f>
        <v>95g</v>
      </c>
      <c r="N46" s="65" t="str">
        <f>IFERROR(__xludf.DUMMYFUNCTION("""COMPUTED_VALUE"""),"105g")</f>
        <v>105g</v>
      </c>
      <c r="O46" s="65" t="str">
        <f>IFERROR(__xludf.DUMMYFUNCTION("""COMPUTED_VALUE"""),"110g")</f>
        <v>110g</v>
      </c>
      <c r="P46" s="64">
        <f>IFERROR(__xludf.DUMMYFUNCTION("""COMPUTED_VALUE"""),110.0)</f>
        <v>110</v>
      </c>
      <c r="Q46" s="65" t="str">
        <f>IFERROR(__xludf.DUMMYFUNCTION("""COMPUTED_VALUE"""),"225g")</f>
        <v>225g</v>
      </c>
      <c r="R46" s="65" t="str">
        <f>IFERROR(__xludf.DUMMYFUNCTION("""COMPUTED_VALUE"""),"255g")</f>
        <v>255g</v>
      </c>
      <c r="S46" s="65" t="str">
        <f>IFERROR(__xludf.DUMMYFUNCTION("""COMPUTED_VALUE"""),"275g")</f>
        <v>275g</v>
      </c>
      <c r="T46" s="64">
        <f>IFERROR(__xludf.DUMMYFUNCTION("""COMPUTED_VALUE"""),275.0)</f>
        <v>275</v>
      </c>
      <c r="U46" s="66">
        <f>IFERROR(__xludf.DUMMYFUNCTION("""COMPUTED_VALUE"""),590.0)</f>
        <v>590</v>
      </c>
      <c r="V46" s="78">
        <f>IFERROR(__xludf.DUMMYFUNCTION("""COMPUTED_VALUE"""),4.510703363914373)</f>
        <v>4.510703364</v>
      </c>
    </row>
    <row r="47">
      <c r="B47" s="59" t="s">
        <v>121</v>
      </c>
      <c r="C47" s="59">
        <v>9.0</v>
      </c>
      <c r="D47" s="59" t="str">
        <f>IFERROR(__xludf.DUMMYFUNCTION("""COMPUTED_VALUE"""),"132 WJV")</f>
        <v>132 WJV</v>
      </c>
      <c r="E47" s="61" t="str">
        <f>IFERROR(__xludf.DUMMYFUNCTION("""COMPUTED_VALUE"""),"WJV")</f>
        <v>WJV</v>
      </c>
      <c r="F47" s="62" t="str">
        <f>IFERROR(__xludf.DUMMYFUNCTION("""COMPUTED_VALUE"""),"Independent")</f>
        <v>Independent</v>
      </c>
      <c r="G47" s="61">
        <f>IFERROR(__xludf.DUMMYFUNCTION("""COMPUTED_VALUE"""),128.1)</f>
        <v>128.1</v>
      </c>
      <c r="H47" s="62" t="str">
        <f>IFERROR(__xludf.DUMMYFUNCTION("""COMPUTED_VALUE"""),"Clark, Reagan")</f>
        <v>Clark, Reagan</v>
      </c>
      <c r="I47" s="63" t="str">
        <f>IFERROR(__xludf.DUMMYFUNCTION("""COMPUTED_VALUE"""),"180x")</f>
        <v>180x</v>
      </c>
      <c r="J47" s="61" t="str">
        <f>IFERROR(__xludf.DUMMYFUNCTION("""COMPUTED_VALUE"""),"180g")</f>
        <v>180g</v>
      </c>
      <c r="K47" s="61" t="str">
        <f>IFERROR(__xludf.DUMMYFUNCTION("""COMPUTED_VALUE"""),"200g")</f>
        <v>200g</v>
      </c>
      <c r="L47" s="64">
        <f>IFERROR(__xludf.DUMMYFUNCTION("""COMPUTED_VALUE"""),200.0)</f>
        <v>200</v>
      </c>
      <c r="M47" s="65" t="str">
        <f>IFERROR(__xludf.DUMMYFUNCTION("""COMPUTED_VALUE"""),"90g")</f>
        <v>90g</v>
      </c>
      <c r="N47" s="65" t="str">
        <f>IFERROR(__xludf.DUMMYFUNCTION("""COMPUTED_VALUE"""),"95g")</f>
        <v>95g</v>
      </c>
      <c r="O47" s="65" t="str">
        <f>IFERROR(__xludf.DUMMYFUNCTION("""COMPUTED_VALUE"""),"105g")</f>
        <v>105g</v>
      </c>
      <c r="P47" s="64">
        <f>IFERROR(__xludf.DUMMYFUNCTION("""COMPUTED_VALUE"""),105.0)</f>
        <v>105</v>
      </c>
      <c r="Q47" s="65" t="str">
        <f>IFERROR(__xludf.DUMMYFUNCTION("""COMPUTED_VALUE"""),"250g")</f>
        <v>250g</v>
      </c>
      <c r="R47" s="65" t="str">
        <f>IFERROR(__xludf.DUMMYFUNCTION("""COMPUTED_VALUE"""),"260g")</f>
        <v>260g</v>
      </c>
      <c r="S47" s="65" t="str">
        <f>IFERROR(__xludf.DUMMYFUNCTION("""COMPUTED_VALUE"""),"270g")</f>
        <v>270g</v>
      </c>
      <c r="T47" s="64">
        <f>IFERROR(__xludf.DUMMYFUNCTION("""COMPUTED_VALUE"""),270.0)</f>
        <v>270</v>
      </c>
      <c r="U47" s="66">
        <f>IFERROR(__xludf.DUMMYFUNCTION("""COMPUTED_VALUE"""),575.0)</f>
        <v>575</v>
      </c>
      <c r="V47" s="78">
        <f>IFERROR(__xludf.DUMMYFUNCTION("""COMPUTED_VALUE"""),4.488680718188915)</f>
        <v>4.488680718</v>
      </c>
    </row>
    <row r="48">
      <c r="B48" s="59" t="s">
        <v>122</v>
      </c>
      <c r="C48" s="59">
        <f>if(countif(F46:F47,F48)&gt;1,0,8)</f>
        <v>8</v>
      </c>
      <c r="D48" s="59" t="str">
        <f>IFERROR(__xludf.DUMMYFUNCTION("""COMPUTED_VALUE"""),"132 WJV")</f>
        <v>132 WJV</v>
      </c>
      <c r="E48" s="61" t="str">
        <f>IFERROR(__xludf.DUMMYFUNCTION("""COMPUTED_VALUE"""),"WJV")</f>
        <v>WJV</v>
      </c>
      <c r="F48" s="62" t="str">
        <f>IFERROR(__xludf.DUMMYFUNCTION("""COMPUTED_VALUE"""),"Central Montcalm")</f>
        <v>Central Montcalm</v>
      </c>
      <c r="G48" s="61">
        <f>IFERROR(__xludf.DUMMYFUNCTION("""COMPUTED_VALUE"""),124.7)</f>
        <v>124.7</v>
      </c>
      <c r="H48" s="62" t="str">
        <f>IFERROR(__xludf.DUMMYFUNCTION("""COMPUTED_VALUE"""),"Scott, Azlynn")</f>
        <v>Scott, Azlynn</v>
      </c>
      <c r="I48" s="63" t="str">
        <f>IFERROR(__xludf.DUMMYFUNCTION("""COMPUTED_VALUE"""),"175g")</f>
        <v>175g</v>
      </c>
      <c r="J48" s="61" t="str">
        <f>IFERROR(__xludf.DUMMYFUNCTION("""COMPUTED_VALUE"""),"185g")</f>
        <v>185g</v>
      </c>
      <c r="K48" s="61" t="str">
        <f>IFERROR(__xludf.DUMMYFUNCTION("""COMPUTED_VALUE"""),"190g")</f>
        <v>190g</v>
      </c>
      <c r="L48" s="64">
        <f>IFERROR(__xludf.DUMMYFUNCTION("""COMPUTED_VALUE"""),190.0)</f>
        <v>190</v>
      </c>
      <c r="M48" s="65" t="str">
        <f>IFERROR(__xludf.DUMMYFUNCTION("""COMPUTED_VALUE"""),"105g")</f>
        <v>105g</v>
      </c>
      <c r="N48" s="65" t="str">
        <f>IFERROR(__xludf.DUMMYFUNCTION("""COMPUTED_VALUE"""),"115g")</f>
        <v>115g</v>
      </c>
      <c r="O48" s="65" t="str">
        <f>IFERROR(__xludf.DUMMYFUNCTION("""COMPUTED_VALUE"""),"120x")</f>
        <v>120x</v>
      </c>
      <c r="P48" s="64">
        <f>IFERROR(__xludf.DUMMYFUNCTION("""COMPUTED_VALUE"""),115.0)</f>
        <v>115</v>
      </c>
      <c r="Q48" s="65" t="str">
        <f>IFERROR(__xludf.DUMMYFUNCTION("""COMPUTED_VALUE"""),"215g")</f>
        <v>215g</v>
      </c>
      <c r="R48" s="65" t="str">
        <f>IFERROR(__xludf.DUMMYFUNCTION("""COMPUTED_VALUE"""),"235g")</f>
        <v>235g</v>
      </c>
      <c r="S48" s="65" t="str">
        <f>IFERROR(__xludf.DUMMYFUNCTION("""COMPUTED_VALUE"""),"250g")</f>
        <v>250g</v>
      </c>
      <c r="T48" s="64">
        <f>IFERROR(__xludf.DUMMYFUNCTION("""COMPUTED_VALUE"""),250.0)</f>
        <v>250</v>
      </c>
      <c r="U48" s="66">
        <f>IFERROR(__xludf.DUMMYFUNCTION("""COMPUTED_VALUE"""),555.0)</f>
        <v>555</v>
      </c>
      <c r="V48" s="78">
        <f>IFERROR(__xludf.DUMMYFUNCTION("""COMPUTED_VALUE"""),4.450681635926223)</f>
        <v>4.450681636</v>
      </c>
    </row>
    <row r="49">
      <c r="B49" s="59" t="s">
        <v>123</v>
      </c>
      <c r="C49" s="59">
        <f>if(countif(F46:F48,F49)&gt;1,0,7)</f>
        <v>7</v>
      </c>
      <c r="D49" s="59" t="str">
        <f>IFERROR(__xludf.DUMMYFUNCTION("""COMPUTED_VALUE"""),"132 WJV")</f>
        <v>132 WJV</v>
      </c>
      <c r="E49" s="61" t="str">
        <f>IFERROR(__xludf.DUMMYFUNCTION("""COMPUTED_VALUE"""),"WJV")</f>
        <v>WJV</v>
      </c>
      <c r="F49" s="62" t="str">
        <f>IFERROR(__xludf.DUMMYFUNCTION("""COMPUTED_VALUE"""),"Lake Orion")</f>
        <v>Lake Orion</v>
      </c>
      <c r="G49" s="61">
        <f>IFERROR(__xludf.DUMMYFUNCTION("""COMPUTED_VALUE"""),127.3)</f>
        <v>127.3</v>
      </c>
      <c r="H49" s="62" t="str">
        <f>IFERROR(__xludf.DUMMYFUNCTION("""COMPUTED_VALUE"""),"McVety, Kylee")</f>
        <v>McVety, Kylee</v>
      </c>
      <c r="I49" s="63" t="str">
        <f>IFERROR(__xludf.DUMMYFUNCTION("""COMPUTED_VALUE"""),"180g")</f>
        <v>180g</v>
      </c>
      <c r="J49" s="61" t="str">
        <f>IFERROR(__xludf.DUMMYFUNCTION("""COMPUTED_VALUE"""),"190g")</f>
        <v>190g</v>
      </c>
      <c r="K49" s="61" t="str">
        <f>IFERROR(__xludf.DUMMYFUNCTION("""COMPUTED_VALUE"""),"200x")</f>
        <v>200x</v>
      </c>
      <c r="L49" s="64">
        <f>IFERROR(__xludf.DUMMYFUNCTION("""COMPUTED_VALUE"""),190.0)</f>
        <v>190</v>
      </c>
      <c r="M49" s="65" t="str">
        <f>IFERROR(__xludf.DUMMYFUNCTION("""COMPUTED_VALUE"""),"120g")</f>
        <v>120g</v>
      </c>
      <c r="N49" s="65" t="str">
        <f>IFERROR(__xludf.DUMMYFUNCTION("""COMPUTED_VALUE"""),"125x")</f>
        <v>125x</v>
      </c>
      <c r="O49" s="65" t="str">
        <f>IFERROR(__xludf.DUMMYFUNCTION("""COMPUTED_VALUE"""),"125x")</f>
        <v>125x</v>
      </c>
      <c r="P49" s="64">
        <f>IFERROR(__xludf.DUMMYFUNCTION("""COMPUTED_VALUE"""),120.0)</f>
        <v>120</v>
      </c>
      <c r="Q49" s="65" t="str">
        <f>IFERROR(__xludf.DUMMYFUNCTION("""COMPUTED_VALUE"""),"240g")</f>
        <v>240g</v>
      </c>
      <c r="R49" s="65" t="str">
        <f>IFERROR(__xludf.DUMMYFUNCTION("""COMPUTED_VALUE"""),"260x")</f>
        <v>260x</v>
      </c>
      <c r="S49" s="65" t="str">
        <f>IFERROR(__xludf.DUMMYFUNCTION("""COMPUTED_VALUE"""),"260x")</f>
        <v>260x</v>
      </c>
      <c r="T49" s="64">
        <f>IFERROR(__xludf.DUMMYFUNCTION("""COMPUTED_VALUE"""),240.0)</f>
        <v>240</v>
      </c>
      <c r="U49" s="66">
        <f>IFERROR(__xludf.DUMMYFUNCTION("""COMPUTED_VALUE"""),550.0)</f>
        <v>550</v>
      </c>
      <c r="V49" s="78">
        <f>IFERROR(__xludf.DUMMYFUNCTION("""COMPUTED_VALUE"""),4.32050274941084)</f>
        <v>4.320502749</v>
      </c>
    </row>
    <row r="50">
      <c r="B50" s="59" t="s">
        <v>124</v>
      </c>
      <c r="C50" s="59">
        <f>if(countif(F46:F49,F50)&gt;1,0,6)</f>
        <v>6</v>
      </c>
      <c r="D50" s="59" t="str">
        <f>IFERROR(__xludf.DUMMYFUNCTION("""COMPUTED_VALUE"""),"132 WJV")</f>
        <v>132 WJV</v>
      </c>
      <c r="E50" s="61" t="str">
        <f>IFERROR(__xludf.DUMMYFUNCTION("""COMPUTED_VALUE"""),"WJV")</f>
        <v>WJV</v>
      </c>
      <c r="F50" s="62" t="str">
        <f>IFERROR(__xludf.DUMMYFUNCTION("""COMPUTED_VALUE"""),"Almont")</f>
        <v>Almont</v>
      </c>
      <c r="G50" s="61">
        <f>IFERROR(__xludf.DUMMYFUNCTION("""COMPUTED_VALUE"""),130.4)</f>
        <v>130.4</v>
      </c>
      <c r="H50" s="62" t="str">
        <f>IFERROR(__xludf.DUMMYFUNCTION("""COMPUTED_VALUE"""),"Burchi, Brianna")</f>
        <v>Burchi, Brianna</v>
      </c>
      <c r="I50" s="63" t="str">
        <f>IFERROR(__xludf.DUMMYFUNCTION("""COMPUTED_VALUE"""),"180g")</f>
        <v>180g</v>
      </c>
      <c r="J50" s="61" t="str">
        <f>IFERROR(__xludf.DUMMYFUNCTION("""COMPUTED_VALUE"""),"200g")</f>
        <v>200g</v>
      </c>
      <c r="K50" s="61" t="str">
        <f>IFERROR(__xludf.DUMMYFUNCTION("""COMPUTED_VALUE"""),"215x")</f>
        <v>215x</v>
      </c>
      <c r="L50" s="64">
        <f>IFERROR(__xludf.DUMMYFUNCTION("""COMPUTED_VALUE"""),200.0)</f>
        <v>200</v>
      </c>
      <c r="M50" s="65" t="str">
        <f>IFERROR(__xludf.DUMMYFUNCTION("""COMPUTED_VALUE"""),"85g")</f>
        <v>85g</v>
      </c>
      <c r="N50" s="65" t="str">
        <f>IFERROR(__xludf.DUMMYFUNCTION("""COMPUTED_VALUE"""),"95g")</f>
        <v>95g</v>
      </c>
      <c r="O50" s="65" t="str">
        <f>IFERROR(__xludf.DUMMYFUNCTION("""COMPUTED_VALUE"""),"100g")</f>
        <v>100g</v>
      </c>
      <c r="P50" s="64">
        <f>IFERROR(__xludf.DUMMYFUNCTION("""COMPUTED_VALUE"""),100.0)</f>
        <v>100</v>
      </c>
      <c r="Q50" s="65" t="str">
        <f>IFERROR(__xludf.DUMMYFUNCTION("""COMPUTED_VALUE"""),"200g")</f>
        <v>200g</v>
      </c>
      <c r="R50" s="65" t="str">
        <f>IFERROR(__xludf.DUMMYFUNCTION("""COMPUTED_VALUE"""),"220g")</f>
        <v>220g</v>
      </c>
      <c r="S50" s="65" t="str">
        <f>IFERROR(__xludf.DUMMYFUNCTION("""COMPUTED_VALUE"""),"235g")</f>
        <v>235g</v>
      </c>
      <c r="T50" s="64">
        <f>IFERROR(__xludf.DUMMYFUNCTION("""COMPUTED_VALUE"""),235.0)</f>
        <v>235</v>
      </c>
      <c r="U50" s="66">
        <f>IFERROR(__xludf.DUMMYFUNCTION("""COMPUTED_VALUE"""),535.0)</f>
        <v>535</v>
      </c>
      <c r="V50" s="78">
        <f>IFERROR(__xludf.DUMMYFUNCTION("""COMPUTED_VALUE"""),4.102760736196319)</f>
        <v>4.102760736</v>
      </c>
    </row>
    <row r="51">
      <c r="B51" s="59" t="s">
        <v>125</v>
      </c>
      <c r="C51" s="59">
        <f>if(countif(F46:F50,F51)&gt;1,0,5)</f>
        <v>5</v>
      </c>
      <c r="D51" s="59" t="str">
        <f>IFERROR(__xludf.DUMMYFUNCTION("""COMPUTED_VALUE"""),"132 WJV")</f>
        <v>132 WJV</v>
      </c>
      <c r="E51" s="61" t="str">
        <f>IFERROR(__xludf.DUMMYFUNCTION("""COMPUTED_VALUE"""),"WJV")</f>
        <v>WJV</v>
      </c>
      <c r="F51" s="62" t="str">
        <f>IFERROR(__xludf.DUMMYFUNCTION("""COMPUTED_VALUE"""),"Port Huron")</f>
        <v>Port Huron</v>
      </c>
      <c r="G51" s="61">
        <f>IFERROR(__xludf.DUMMYFUNCTION("""COMPUTED_VALUE"""),131.3)</f>
        <v>131.3</v>
      </c>
      <c r="H51" s="62" t="str">
        <f>IFERROR(__xludf.DUMMYFUNCTION("""COMPUTED_VALUE"""),"Reid, Ariana")</f>
        <v>Reid, Ariana</v>
      </c>
      <c r="I51" s="63" t="str">
        <f>IFERROR(__xludf.DUMMYFUNCTION("""COMPUTED_VALUE"""),"140g")</f>
        <v>140g</v>
      </c>
      <c r="J51" s="61" t="str">
        <f>IFERROR(__xludf.DUMMYFUNCTION("""COMPUTED_VALUE"""),"150g")</f>
        <v>150g</v>
      </c>
      <c r="K51" s="61" t="str">
        <f>IFERROR(__xludf.DUMMYFUNCTION("""COMPUTED_VALUE"""),"160g")</f>
        <v>160g</v>
      </c>
      <c r="L51" s="64">
        <f>IFERROR(__xludf.DUMMYFUNCTION("""COMPUTED_VALUE"""),160.0)</f>
        <v>160</v>
      </c>
      <c r="M51" s="65" t="str">
        <f>IFERROR(__xludf.DUMMYFUNCTION("""COMPUTED_VALUE"""),"95g")</f>
        <v>95g</v>
      </c>
      <c r="N51" s="65" t="str">
        <f>IFERROR(__xludf.DUMMYFUNCTION("""COMPUTED_VALUE"""),"100g")</f>
        <v>100g</v>
      </c>
      <c r="O51" s="65" t="str">
        <f>IFERROR(__xludf.DUMMYFUNCTION("""COMPUTED_VALUE"""),"105x")</f>
        <v>105x</v>
      </c>
      <c r="P51" s="64">
        <f>IFERROR(__xludf.DUMMYFUNCTION("""COMPUTED_VALUE"""),100.0)</f>
        <v>100</v>
      </c>
      <c r="Q51" s="65" t="str">
        <f>IFERROR(__xludf.DUMMYFUNCTION("""COMPUTED_VALUE"""),"260g")</f>
        <v>260g</v>
      </c>
      <c r="R51" s="65" t="str">
        <f>IFERROR(__xludf.DUMMYFUNCTION("""COMPUTED_VALUE"""),"280x")</f>
        <v>280x</v>
      </c>
      <c r="S51" s="65" t="str">
        <f>IFERROR(__xludf.DUMMYFUNCTION("""COMPUTED_VALUE"""),"280x")</f>
        <v>280x</v>
      </c>
      <c r="T51" s="64">
        <f>IFERROR(__xludf.DUMMYFUNCTION("""COMPUTED_VALUE"""),260.0)</f>
        <v>260</v>
      </c>
      <c r="U51" s="66">
        <f>IFERROR(__xludf.DUMMYFUNCTION("""COMPUTED_VALUE"""),520.0)</f>
        <v>520</v>
      </c>
      <c r="V51" s="78">
        <f>IFERROR(__xludf.DUMMYFUNCTION("""COMPUTED_VALUE"""),3.96039603960396)</f>
        <v>3.96039604</v>
      </c>
    </row>
    <row r="52">
      <c r="B52" s="59" t="s">
        <v>126</v>
      </c>
      <c r="C52" s="59">
        <f>if(countif(F46:F51,F52)&gt;1,0,4)</f>
        <v>4</v>
      </c>
      <c r="D52" s="59" t="str">
        <f>IFERROR(__xludf.DUMMYFUNCTION("""COMPUTED_VALUE"""),"132 WJV")</f>
        <v>132 WJV</v>
      </c>
      <c r="E52" s="61" t="str">
        <f>IFERROR(__xludf.DUMMYFUNCTION("""COMPUTED_VALUE"""),"WJV")</f>
        <v>WJV</v>
      </c>
      <c r="F52" s="62" t="str">
        <f>IFERROR(__xludf.DUMMYFUNCTION("""COMPUTED_VALUE"""),"Martin")</f>
        <v>Martin</v>
      </c>
      <c r="G52" s="61">
        <f>IFERROR(__xludf.DUMMYFUNCTION("""COMPUTED_VALUE"""),126.6)</f>
        <v>126.6</v>
      </c>
      <c r="H52" s="62" t="str">
        <f>IFERROR(__xludf.DUMMYFUNCTION("""COMPUTED_VALUE"""),"Reinke, Elizabeth")</f>
        <v>Reinke, Elizabeth</v>
      </c>
      <c r="I52" s="63" t="str">
        <f>IFERROR(__xludf.DUMMYFUNCTION("""COMPUTED_VALUE"""),"140g")</f>
        <v>140g</v>
      </c>
      <c r="J52" s="61" t="str">
        <f>IFERROR(__xludf.DUMMYFUNCTION("""COMPUTED_VALUE"""),"165g")</f>
        <v>165g</v>
      </c>
      <c r="K52" s="61" t="str">
        <f>IFERROR(__xludf.DUMMYFUNCTION("""COMPUTED_VALUE"""),"180x")</f>
        <v>180x</v>
      </c>
      <c r="L52" s="64">
        <f>IFERROR(__xludf.DUMMYFUNCTION("""COMPUTED_VALUE"""),165.0)</f>
        <v>165</v>
      </c>
      <c r="M52" s="65" t="str">
        <f>IFERROR(__xludf.DUMMYFUNCTION("""COMPUTED_VALUE"""),"80g")</f>
        <v>80g</v>
      </c>
      <c r="N52" s="65" t="str">
        <f>IFERROR(__xludf.DUMMYFUNCTION("""COMPUTED_VALUE"""),"90g")</f>
        <v>90g</v>
      </c>
      <c r="O52" s="65" t="str">
        <f>IFERROR(__xludf.DUMMYFUNCTION("""COMPUTED_VALUE"""),"95g")</f>
        <v>95g</v>
      </c>
      <c r="P52" s="64">
        <f>IFERROR(__xludf.DUMMYFUNCTION("""COMPUTED_VALUE"""),95.0)</f>
        <v>95</v>
      </c>
      <c r="Q52" s="65" t="str">
        <f>IFERROR(__xludf.DUMMYFUNCTION("""COMPUTED_VALUE"""),"215g")</f>
        <v>215g</v>
      </c>
      <c r="R52" s="65" t="str">
        <f>IFERROR(__xludf.DUMMYFUNCTION("""COMPUTED_VALUE"""),"235g")</f>
        <v>235g</v>
      </c>
      <c r="S52" s="65" t="str">
        <f>IFERROR(__xludf.DUMMYFUNCTION("""COMPUTED_VALUE"""),"250g")</f>
        <v>250g</v>
      </c>
      <c r="T52" s="64">
        <f>IFERROR(__xludf.DUMMYFUNCTION("""COMPUTED_VALUE"""),250.0)</f>
        <v>250</v>
      </c>
      <c r="U52" s="66">
        <f>IFERROR(__xludf.DUMMYFUNCTION("""COMPUTED_VALUE"""),510.0)</f>
        <v>510</v>
      </c>
      <c r="V52" s="78">
        <f>IFERROR(__xludf.DUMMYFUNCTION("""COMPUTED_VALUE"""),4.028436018957346)</f>
        <v>4.028436019</v>
      </c>
    </row>
    <row r="53">
      <c r="B53" s="59" t="s">
        <v>127</v>
      </c>
      <c r="C53" s="59">
        <f>if(countif(F46:F52,F53)&gt;1,0,3)</f>
        <v>3</v>
      </c>
      <c r="D53" s="59" t="str">
        <f>IFERROR(__xludf.DUMMYFUNCTION("""COMPUTED_VALUE"""),"132 WJV")</f>
        <v>132 WJV</v>
      </c>
      <c r="E53" s="61" t="str">
        <f>IFERROR(__xludf.DUMMYFUNCTION("""COMPUTED_VALUE"""),"WJV")</f>
        <v>WJV</v>
      </c>
      <c r="F53" s="62" t="str">
        <f>IFERROR(__xludf.DUMMYFUNCTION("""COMPUTED_VALUE"""),"Port Huron")</f>
        <v>Port Huron</v>
      </c>
      <c r="G53" s="61">
        <f>IFERROR(__xludf.DUMMYFUNCTION("""COMPUTED_VALUE"""),127.2)</f>
        <v>127.2</v>
      </c>
      <c r="H53" s="62" t="str">
        <f>IFERROR(__xludf.DUMMYFUNCTION("""COMPUTED_VALUE"""),"Hunger, Hope")</f>
        <v>Hunger, Hope</v>
      </c>
      <c r="I53" s="63" t="str">
        <f>IFERROR(__xludf.DUMMYFUNCTION("""COMPUTED_VALUE"""),"135x")</f>
        <v>135x</v>
      </c>
      <c r="J53" s="61" t="str">
        <f>IFERROR(__xludf.DUMMYFUNCTION("""COMPUTED_VALUE"""),"135g")</f>
        <v>135g</v>
      </c>
      <c r="K53" s="61" t="str">
        <f>IFERROR(__xludf.DUMMYFUNCTION("""COMPUTED_VALUE"""),"155g")</f>
        <v>155g</v>
      </c>
      <c r="L53" s="64">
        <f>IFERROR(__xludf.DUMMYFUNCTION("""COMPUTED_VALUE"""),155.0)</f>
        <v>155</v>
      </c>
      <c r="M53" s="65" t="str">
        <f>IFERROR(__xludf.DUMMYFUNCTION("""COMPUTED_VALUE"""),"85g")</f>
        <v>85g</v>
      </c>
      <c r="N53" s="65" t="str">
        <f>IFERROR(__xludf.DUMMYFUNCTION("""COMPUTED_VALUE"""),"90g")</f>
        <v>90g</v>
      </c>
      <c r="O53" s="65" t="str">
        <f>IFERROR(__xludf.DUMMYFUNCTION("""COMPUTED_VALUE"""),"95g")</f>
        <v>95g</v>
      </c>
      <c r="P53" s="64">
        <f>IFERROR(__xludf.DUMMYFUNCTION("""COMPUTED_VALUE"""),95.0)</f>
        <v>95</v>
      </c>
      <c r="Q53" s="65" t="str">
        <f>IFERROR(__xludf.DUMMYFUNCTION("""COMPUTED_VALUE"""),"225g")</f>
        <v>225g</v>
      </c>
      <c r="R53" s="65" t="str">
        <f>IFERROR(__xludf.DUMMYFUNCTION("""COMPUTED_VALUE"""),"240g")</f>
        <v>240g</v>
      </c>
      <c r="S53" s="65" t="str">
        <f>IFERROR(__xludf.DUMMYFUNCTION("""COMPUTED_VALUE"""),"255g")</f>
        <v>255g</v>
      </c>
      <c r="T53" s="64">
        <f>IFERROR(__xludf.DUMMYFUNCTION("""COMPUTED_VALUE"""),255.0)</f>
        <v>255</v>
      </c>
      <c r="U53" s="66">
        <f>IFERROR(__xludf.DUMMYFUNCTION("""COMPUTED_VALUE"""),505.0)</f>
        <v>505</v>
      </c>
      <c r="V53" s="78">
        <f>IFERROR(__xludf.DUMMYFUNCTION("""COMPUTED_VALUE"""),3.9701257861635217)</f>
        <v>3.970125786</v>
      </c>
    </row>
    <row r="54">
      <c r="B54" s="59" t="s">
        <v>128</v>
      </c>
      <c r="C54" s="59">
        <f>if(countif(F46:F53,F54)&gt;1,0,2)</f>
        <v>2</v>
      </c>
      <c r="D54" s="59" t="str">
        <f>IFERROR(__xludf.DUMMYFUNCTION("""COMPUTED_VALUE"""),"132 WJV")</f>
        <v>132 WJV</v>
      </c>
      <c r="E54" s="61" t="str">
        <f>IFERROR(__xludf.DUMMYFUNCTION("""COMPUTED_VALUE"""),"WJV")</f>
        <v>WJV</v>
      </c>
      <c r="F54" s="62" t="str">
        <f>IFERROR(__xludf.DUMMYFUNCTION("""COMPUTED_VALUE"""),"Mona Shores")</f>
        <v>Mona Shores</v>
      </c>
      <c r="G54" s="61">
        <f>IFERROR(__xludf.DUMMYFUNCTION("""COMPUTED_VALUE"""),130.9)</f>
        <v>130.9</v>
      </c>
      <c r="H54" s="62" t="str">
        <f>IFERROR(__xludf.DUMMYFUNCTION("""COMPUTED_VALUE"""),"Savacool, Elizabeth")</f>
        <v>Savacool, Elizabeth</v>
      </c>
      <c r="I54" s="63" t="str">
        <f>IFERROR(__xludf.DUMMYFUNCTION("""COMPUTED_VALUE"""),"185g")</f>
        <v>185g</v>
      </c>
      <c r="J54" s="61" t="str">
        <f>IFERROR(__xludf.DUMMYFUNCTION("""COMPUTED_VALUE"""),"210x")</f>
        <v>210x</v>
      </c>
      <c r="K54" s="61" t="str">
        <f>IFERROR(__xludf.DUMMYFUNCTION("""COMPUTED_VALUE"""),"210x")</f>
        <v>210x</v>
      </c>
      <c r="L54" s="64">
        <f>IFERROR(__xludf.DUMMYFUNCTION("""COMPUTED_VALUE"""),185.0)</f>
        <v>185</v>
      </c>
      <c r="M54" s="65" t="str">
        <f>IFERROR(__xludf.DUMMYFUNCTION("""COMPUTED_VALUE"""),"75g")</f>
        <v>75g</v>
      </c>
      <c r="N54" s="65" t="str">
        <f>IFERROR(__xludf.DUMMYFUNCTION("""COMPUTED_VALUE"""),"85g")</f>
        <v>85g</v>
      </c>
      <c r="O54" s="65" t="str">
        <f>IFERROR(__xludf.DUMMYFUNCTION("""COMPUTED_VALUE"""),"95g")</f>
        <v>95g</v>
      </c>
      <c r="P54" s="64">
        <f>IFERROR(__xludf.DUMMYFUNCTION("""COMPUTED_VALUE"""),95.0)</f>
        <v>95</v>
      </c>
      <c r="Q54" s="65" t="str">
        <f>IFERROR(__xludf.DUMMYFUNCTION("""COMPUTED_VALUE"""),"205g")</f>
        <v>205g</v>
      </c>
      <c r="R54" s="65" t="str">
        <f>IFERROR(__xludf.DUMMYFUNCTION("""COMPUTED_VALUE"""),"225g")</f>
        <v>225g</v>
      </c>
      <c r="S54" s="65" t="str">
        <f>IFERROR(__xludf.DUMMYFUNCTION("""COMPUTED_VALUE"""),"240x")</f>
        <v>240x</v>
      </c>
      <c r="T54" s="64">
        <f>IFERROR(__xludf.DUMMYFUNCTION("""COMPUTED_VALUE"""),225.0)</f>
        <v>225</v>
      </c>
      <c r="U54" s="66">
        <f>IFERROR(__xludf.DUMMYFUNCTION("""COMPUTED_VALUE"""),505.0)</f>
        <v>505</v>
      </c>
      <c r="V54" s="78">
        <f>IFERROR(__xludf.DUMMYFUNCTION("""COMPUTED_VALUE"""),3.8579067990832696)</f>
        <v>3.857906799</v>
      </c>
    </row>
    <row r="55">
      <c r="B55" s="59" t="s">
        <v>129</v>
      </c>
      <c r="C55" s="59">
        <f>if(countif(F46:F54,F55)&gt;1,0,1)</f>
        <v>1</v>
      </c>
      <c r="D55" s="59" t="str">
        <f>IFERROR(__xludf.DUMMYFUNCTION("""COMPUTED_VALUE"""),"132 WJV")</f>
        <v>132 WJV</v>
      </c>
      <c r="E55" s="61" t="str">
        <f>IFERROR(__xludf.DUMMYFUNCTION("""COMPUTED_VALUE"""),"WJV")</f>
        <v>WJV</v>
      </c>
      <c r="F55" s="62" t="str">
        <f>IFERROR(__xludf.DUMMYFUNCTION("""COMPUTED_VALUE"""),"Flushing")</f>
        <v>Flushing</v>
      </c>
      <c r="G55" s="61">
        <f>IFERROR(__xludf.DUMMYFUNCTION("""COMPUTED_VALUE"""),128.2)</f>
        <v>128.2</v>
      </c>
      <c r="H55" s="62" t="str">
        <f>IFERROR(__xludf.DUMMYFUNCTION("""COMPUTED_VALUE"""),"Lipe, Audrey")</f>
        <v>Lipe, Audrey</v>
      </c>
      <c r="I55" s="63" t="str">
        <f>IFERROR(__xludf.DUMMYFUNCTION("""COMPUTED_VALUE"""),"175g")</f>
        <v>175g</v>
      </c>
      <c r="J55" s="61" t="str">
        <f>IFERROR(__xludf.DUMMYFUNCTION("""COMPUTED_VALUE"""),"185g")</f>
        <v>185g</v>
      </c>
      <c r="K55" s="61" t="str">
        <f>IFERROR(__xludf.DUMMYFUNCTION("""COMPUTED_VALUE"""),"195g")</f>
        <v>195g</v>
      </c>
      <c r="L55" s="64">
        <f>IFERROR(__xludf.DUMMYFUNCTION("""COMPUTED_VALUE"""),195.0)</f>
        <v>195</v>
      </c>
      <c r="M55" s="65" t="str">
        <f>IFERROR(__xludf.DUMMYFUNCTION("""COMPUTED_VALUE"""),"80g")</f>
        <v>80g</v>
      </c>
      <c r="N55" s="65" t="str">
        <f>IFERROR(__xludf.DUMMYFUNCTION("""COMPUTED_VALUE"""),"95g")</f>
        <v>95g</v>
      </c>
      <c r="O55" s="65" t="str">
        <f>IFERROR(__xludf.DUMMYFUNCTION("""COMPUTED_VALUE"""),"105x")</f>
        <v>105x</v>
      </c>
      <c r="P55" s="64">
        <f>IFERROR(__xludf.DUMMYFUNCTION("""COMPUTED_VALUE"""),95.0)</f>
        <v>95</v>
      </c>
      <c r="Q55" s="65" t="str">
        <f>IFERROR(__xludf.DUMMYFUNCTION("""COMPUTED_VALUE"""),"185g")</f>
        <v>185g</v>
      </c>
      <c r="R55" s="65" t="str">
        <f>IFERROR(__xludf.DUMMYFUNCTION("""COMPUTED_VALUE"""),"190g")</f>
        <v>190g</v>
      </c>
      <c r="S55" s="65" t="str">
        <f>IFERROR(__xludf.DUMMYFUNCTION("""COMPUTED_VALUE"""),"205g")</f>
        <v>205g</v>
      </c>
      <c r="T55" s="64">
        <f>IFERROR(__xludf.DUMMYFUNCTION("""COMPUTED_VALUE"""),205.0)</f>
        <v>205</v>
      </c>
      <c r="U55" s="66">
        <f>IFERROR(__xludf.DUMMYFUNCTION("""COMPUTED_VALUE"""),495.0)</f>
        <v>495</v>
      </c>
      <c r="V55" s="78">
        <f>IFERROR(__xludf.DUMMYFUNCTION("""COMPUTED_VALUE"""),3.8611544461778475)</f>
        <v>3.861154446</v>
      </c>
    </row>
    <row r="56">
      <c r="A56" s="73">
        <v>145.0</v>
      </c>
      <c r="B56" s="68" t="s">
        <v>120</v>
      </c>
      <c r="C56" s="68">
        <v>12.0</v>
      </c>
      <c r="D56" s="68" t="str">
        <f>IFERROR(__xludf.DUMMYFUNCTION("ARRAY_CONSTRAIN(sort(filter(WJV_Tie_Breaker!D6:X285,WJV_Tie_Breaker!D6:D285=""145 WJV""),18,false,4,true,20,false,21,true),10,19)"),"145 WJV")</f>
        <v>145 WJV</v>
      </c>
      <c r="E56" s="69" t="str">
        <f>IFERROR(__xludf.DUMMYFUNCTION("""COMPUTED_VALUE"""),"WJV")</f>
        <v>WJV</v>
      </c>
      <c r="F56" s="70" t="str">
        <f>IFERROR(__xludf.DUMMYFUNCTION("""COMPUTED_VALUE"""),"Montague")</f>
        <v>Montague</v>
      </c>
      <c r="G56" s="69">
        <f>IFERROR(__xludf.DUMMYFUNCTION("""COMPUTED_VALUE"""),138.0)</f>
        <v>138</v>
      </c>
      <c r="H56" s="70" t="str">
        <f>IFERROR(__xludf.DUMMYFUNCTION("""COMPUTED_VALUE"""),"Diamond, Madison")</f>
        <v>Diamond, Madison</v>
      </c>
      <c r="I56" s="71" t="str">
        <f>IFERROR(__xludf.DUMMYFUNCTION("""COMPUTED_VALUE"""),"205x")</f>
        <v>205x</v>
      </c>
      <c r="J56" s="69" t="str">
        <f>IFERROR(__xludf.DUMMYFUNCTION("""COMPUTED_VALUE"""),"205g")</f>
        <v>205g</v>
      </c>
      <c r="K56" s="69" t="str">
        <f>IFERROR(__xludf.DUMMYFUNCTION("""COMPUTED_VALUE"""),"230g")</f>
        <v>230g</v>
      </c>
      <c r="L56" s="64">
        <f>IFERROR(__xludf.DUMMYFUNCTION("""COMPUTED_VALUE"""),230.0)</f>
        <v>230</v>
      </c>
      <c r="M56" s="72" t="str">
        <f>IFERROR(__xludf.DUMMYFUNCTION("""COMPUTED_VALUE"""),"115g")</f>
        <v>115g</v>
      </c>
      <c r="N56" s="72" t="str">
        <f>IFERROR(__xludf.DUMMYFUNCTION("""COMPUTED_VALUE"""),"125g")</f>
        <v>125g</v>
      </c>
      <c r="O56" s="72" t="str">
        <f>IFERROR(__xludf.DUMMYFUNCTION("""COMPUTED_VALUE"""),"135x")</f>
        <v>135x</v>
      </c>
      <c r="P56" s="64">
        <f>IFERROR(__xludf.DUMMYFUNCTION("""COMPUTED_VALUE"""),125.0)</f>
        <v>125</v>
      </c>
      <c r="Q56" s="72" t="str">
        <f>IFERROR(__xludf.DUMMYFUNCTION("""COMPUTED_VALUE"""),"320g")</f>
        <v>320g</v>
      </c>
      <c r="R56" s="72" t="str">
        <f>IFERROR(__xludf.DUMMYFUNCTION("""COMPUTED_VALUE"""),"345g")</f>
        <v>345g</v>
      </c>
      <c r="S56" s="72" t="str">
        <f>IFERROR(__xludf.DUMMYFUNCTION("""COMPUTED_VALUE"""),"355g")</f>
        <v>355g</v>
      </c>
      <c r="T56" s="64">
        <f>IFERROR(__xludf.DUMMYFUNCTION("""COMPUTED_VALUE"""),355.0)</f>
        <v>355</v>
      </c>
      <c r="U56" s="66">
        <f>IFERROR(__xludf.DUMMYFUNCTION("""COMPUTED_VALUE"""),710.0)</f>
        <v>710</v>
      </c>
      <c r="V56" s="79">
        <f>IFERROR(__xludf.DUMMYFUNCTION("""COMPUTED_VALUE"""),5.144927536231884)</f>
        <v>5.144927536</v>
      </c>
    </row>
    <row r="57">
      <c r="B57" s="68" t="s">
        <v>121</v>
      </c>
      <c r="C57" s="68">
        <v>9.0</v>
      </c>
      <c r="D57" s="68" t="str">
        <f>IFERROR(__xludf.DUMMYFUNCTION("""COMPUTED_VALUE"""),"145 WJV")</f>
        <v>145 WJV</v>
      </c>
      <c r="E57" s="69" t="str">
        <f>IFERROR(__xludf.DUMMYFUNCTION("""COMPUTED_VALUE"""),"WJV")</f>
        <v>WJV</v>
      </c>
      <c r="F57" s="70" t="str">
        <f>IFERROR(__xludf.DUMMYFUNCTION("""COMPUTED_VALUE"""),"Climax-Scotts")</f>
        <v>Climax-Scotts</v>
      </c>
      <c r="G57" s="69">
        <f>IFERROR(__xludf.DUMMYFUNCTION("""COMPUTED_VALUE"""),134.8)</f>
        <v>134.8</v>
      </c>
      <c r="H57" s="70" t="str">
        <f>IFERROR(__xludf.DUMMYFUNCTION("""COMPUTED_VALUE"""),"Haynes, Jenna")</f>
        <v>Haynes, Jenna</v>
      </c>
      <c r="I57" s="71" t="str">
        <f>IFERROR(__xludf.DUMMYFUNCTION("""COMPUTED_VALUE"""),"225g")</f>
        <v>225g</v>
      </c>
      <c r="J57" s="69" t="str">
        <f>IFERROR(__xludf.DUMMYFUNCTION("""COMPUTED_VALUE"""),"235g")</f>
        <v>235g</v>
      </c>
      <c r="K57" s="69" t="str">
        <f>IFERROR(__xludf.DUMMYFUNCTION("""COMPUTED_VALUE"""),"250x")</f>
        <v>250x</v>
      </c>
      <c r="L57" s="64">
        <f>IFERROR(__xludf.DUMMYFUNCTION("""COMPUTED_VALUE"""),235.0)</f>
        <v>235</v>
      </c>
      <c r="M57" s="72" t="str">
        <f>IFERROR(__xludf.DUMMYFUNCTION("""COMPUTED_VALUE"""),"100g")</f>
        <v>100g</v>
      </c>
      <c r="N57" s="72" t="str">
        <f>IFERROR(__xludf.DUMMYFUNCTION("""COMPUTED_VALUE"""),"110g")</f>
        <v>110g</v>
      </c>
      <c r="O57" s="72" t="str">
        <f>IFERROR(__xludf.DUMMYFUNCTION("""COMPUTED_VALUE"""),"115g")</f>
        <v>115g</v>
      </c>
      <c r="P57" s="64">
        <f>IFERROR(__xludf.DUMMYFUNCTION("""COMPUTED_VALUE"""),115.0)</f>
        <v>115</v>
      </c>
      <c r="Q57" s="72" t="str">
        <f>IFERROR(__xludf.DUMMYFUNCTION("""COMPUTED_VALUE"""),"275g")</f>
        <v>275g</v>
      </c>
      <c r="R57" s="72" t="str">
        <f>IFERROR(__xludf.DUMMYFUNCTION("""COMPUTED_VALUE"""),"300g")</f>
        <v>300g</v>
      </c>
      <c r="S57" s="72" t="str">
        <f>IFERROR(__xludf.DUMMYFUNCTION("""COMPUTED_VALUE"""),"315g")</f>
        <v>315g</v>
      </c>
      <c r="T57" s="64">
        <f>IFERROR(__xludf.DUMMYFUNCTION("""COMPUTED_VALUE"""),315.0)</f>
        <v>315</v>
      </c>
      <c r="U57" s="66">
        <f>IFERROR(__xludf.DUMMYFUNCTION("""COMPUTED_VALUE"""),665.0)</f>
        <v>665</v>
      </c>
      <c r="V57" s="79">
        <f>IFERROR(__xludf.DUMMYFUNCTION("""COMPUTED_VALUE"""),4.933234421364984)</f>
        <v>4.933234421</v>
      </c>
    </row>
    <row r="58">
      <c r="B58" s="68" t="s">
        <v>122</v>
      </c>
      <c r="C58" s="68">
        <f>if(countif(F56:F57,F58)&gt;1,0,8)</f>
        <v>8</v>
      </c>
      <c r="D58" s="68" t="str">
        <f>IFERROR(__xludf.DUMMYFUNCTION("""COMPUTED_VALUE"""),"145 WJV")</f>
        <v>145 WJV</v>
      </c>
      <c r="E58" s="69" t="str">
        <f>IFERROR(__xludf.DUMMYFUNCTION("""COMPUTED_VALUE"""),"")</f>
        <v/>
      </c>
      <c r="F58" s="70" t="str">
        <f>IFERROR(__xludf.DUMMYFUNCTION("""COMPUTED_VALUE"""),"Cros-Lex")</f>
        <v>Cros-Lex</v>
      </c>
      <c r="G58" s="69">
        <f>IFERROR(__xludf.DUMMYFUNCTION("""COMPUTED_VALUE"""),137.2)</f>
        <v>137.2</v>
      </c>
      <c r="H58" s="70" t="str">
        <f>IFERROR(__xludf.DUMMYFUNCTION("""COMPUTED_VALUE"""),"Radtke, Ryen")</f>
        <v>Radtke, Ryen</v>
      </c>
      <c r="I58" s="71" t="str">
        <f>IFERROR(__xludf.DUMMYFUNCTION("""COMPUTED_VALUE"""),"200g")</f>
        <v>200g</v>
      </c>
      <c r="J58" s="69" t="str">
        <f>IFERROR(__xludf.DUMMYFUNCTION("""COMPUTED_VALUE"""),"215g")</f>
        <v>215g</v>
      </c>
      <c r="K58" s="69" t="str">
        <f>IFERROR(__xludf.DUMMYFUNCTION("""COMPUTED_VALUE"""),"225g")</f>
        <v>225g</v>
      </c>
      <c r="L58" s="64">
        <f>IFERROR(__xludf.DUMMYFUNCTION("""COMPUTED_VALUE"""),225.0)</f>
        <v>225</v>
      </c>
      <c r="M58" s="72" t="str">
        <f>IFERROR(__xludf.DUMMYFUNCTION("""COMPUTED_VALUE"""),"90g")</f>
        <v>90g</v>
      </c>
      <c r="N58" s="72" t="str">
        <f>IFERROR(__xludf.DUMMYFUNCTION("""COMPUTED_VALUE"""),"95g")</f>
        <v>95g</v>
      </c>
      <c r="O58" s="72" t="str">
        <f>IFERROR(__xludf.DUMMYFUNCTION("""COMPUTED_VALUE"""),"100g")</f>
        <v>100g</v>
      </c>
      <c r="P58" s="64">
        <f>IFERROR(__xludf.DUMMYFUNCTION("""COMPUTED_VALUE"""),100.0)</f>
        <v>100</v>
      </c>
      <c r="Q58" s="72" t="str">
        <f>IFERROR(__xludf.DUMMYFUNCTION("""COMPUTED_VALUE"""),"230g")</f>
        <v>230g</v>
      </c>
      <c r="R58" s="72" t="str">
        <f>IFERROR(__xludf.DUMMYFUNCTION("""COMPUTED_VALUE"""),"255g")</f>
        <v>255g</v>
      </c>
      <c r="S58" s="72" t="str">
        <f>IFERROR(__xludf.DUMMYFUNCTION("""COMPUTED_VALUE"""),"275g")</f>
        <v>275g</v>
      </c>
      <c r="T58" s="64">
        <f>IFERROR(__xludf.DUMMYFUNCTION("""COMPUTED_VALUE"""),275.0)</f>
        <v>275</v>
      </c>
      <c r="U58" s="66">
        <f>IFERROR(__xludf.DUMMYFUNCTION("""COMPUTED_VALUE"""),600.0)</f>
        <v>600</v>
      </c>
      <c r="V58" s="79">
        <f>IFERROR(__xludf.DUMMYFUNCTION("""COMPUTED_VALUE"""),4.373177842565598)</f>
        <v>4.373177843</v>
      </c>
    </row>
    <row r="59">
      <c r="B59" s="68" t="s">
        <v>123</v>
      </c>
      <c r="C59" s="68">
        <f>if(countif(F56:F58,F59)&gt;1,0,7)</f>
        <v>7</v>
      </c>
      <c r="D59" s="68" t="str">
        <f>IFERROR(__xludf.DUMMYFUNCTION("""COMPUTED_VALUE"""),"145 WJV")</f>
        <v>145 WJV</v>
      </c>
      <c r="E59" s="69" t="str">
        <f>IFERROR(__xludf.DUMMYFUNCTION("""COMPUTED_VALUE"""),"WJV")</f>
        <v>WJV</v>
      </c>
      <c r="F59" s="70" t="str">
        <f>IFERROR(__xludf.DUMMYFUNCTION("""COMPUTED_VALUE"""),"Port Huron")</f>
        <v>Port Huron</v>
      </c>
      <c r="G59" s="69">
        <f>IFERROR(__xludf.DUMMYFUNCTION("""COMPUTED_VALUE"""),137.2)</f>
        <v>137.2</v>
      </c>
      <c r="H59" s="70" t="str">
        <f>IFERROR(__xludf.DUMMYFUNCTION("""COMPUTED_VALUE"""),"Szczepkowski, Kacey")</f>
        <v>Szczepkowski, Kacey</v>
      </c>
      <c r="I59" s="71" t="str">
        <f>IFERROR(__xludf.DUMMYFUNCTION("""COMPUTED_VALUE"""),"175g")</f>
        <v>175g</v>
      </c>
      <c r="J59" s="69" t="str">
        <f>IFERROR(__xludf.DUMMYFUNCTION("""COMPUTED_VALUE"""),"200g")</f>
        <v>200g</v>
      </c>
      <c r="K59" s="69" t="str">
        <f>IFERROR(__xludf.DUMMYFUNCTION("""COMPUTED_VALUE"""),"220g")</f>
        <v>220g</v>
      </c>
      <c r="L59" s="64">
        <f>IFERROR(__xludf.DUMMYFUNCTION("""COMPUTED_VALUE"""),220.0)</f>
        <v>220</v>
      </c>
      <c r="M59" s="72" t="str">
        <f>IFERROR(__xludf.DUMMYFUNCTION("""COMPUTED_VALUE"""),"85g")</f>
        <v>85g</v>
      </c>
      <c r="N59" s="72" t="str">
        <f>IFERROR(__xludf.DUMMYFUNCTION("""COMPUTED_VALUE"""),"90g")</f>
        <v>90g</v>
      </c>
      <c r="O59" s="72" t="str">
        <f>IFERROR(__xludf.DUMMYFUNCTION("""COMPUTED_VALUE"""),"100x")</f>
        <v>100x</v>
      </c>
      <c r="P59" s="64">
        <f>IFERROR(__xludf.DUMMYFUNCTION("""COMPUTED_VALUE"""),90.0)</f>
        <v>90</v>
      </c>
      <c r="Q59" s="72" t="str">
        <f>IFERROR(__xludf.DUMMYFUNCTION("""COMPUTED_VALUE"""),"255g")</f>
        <v>255g</v>
      </c>
      <c r="R59" s="72" t="str">
        <f>IFERROR(__xludf.DUMMYFUNCTION("""COMPUTED_VALUE"""),"275g")</f>
        <v>275g</v>
      </c>
      <c r="S59" s="72" t="str">
        <f>IFERROR(__xludf.DUMMYFUNCTION("""COMPUTED_VALUE"""),"285g")</f>
        <v>285g</v>
      </c>
      <c r="T59" s="64">
        <f>IFERROR(__xludf.DUMMYFUNCTION("""COMPUTED_VALUE"""),285.0)</f>
        <v>285</v>
      </c>
      <c r="U59" s="66">
        <f>IFERROR(__xludf.DUMMYFUNCTION("""COMPUTED_VALUE"""),595.0)</f>
        <v>595</v>
      </c>
      <c r="V59" s="79">
        <f>IFERROR(__xludf.DUMMYFUNCTION("""COMPUTED_VALUE"""),4.336734693877552)</f>
        <v>4.336734694</v>
      </c>
    </row>
    <row r="60">
      <c r="B60" s="68" t="s">
        <v>124</v>
      </c>
      <c r="C60" s="68">
        <f>if(countif(F56:F59,F60)&gt;1,0,6)</f>
        <v>6</v>
      </c>
      <c r="D60" s="68" t="str">
        <f>IFERROR(__xludf.DUMMYFUNCTION("""COMPUTED_VALUE"""),"145 WJV")</f>
        <v>145 WJV</v>
      </c>
      <c r="E60" s="69" t="str">
        <f>IFERROR(__xludf.DUMMYFUNCTION("""COMPUTED_VALUE"""),"WJV")</f>
        <v>WJV</v>
      </c>
      <c r="F60" s="70" t="str">
        <f>IFERROR(__xludf.DUMMYFUNCTION("""COMPUTED_VALUE"""),"Brighton")</f>
        <v>Brighton</v>
      </c>
      <c r="G60" s="69">
        <f>IFERROR(__xludf.DUMMYFUNCTION("""COMPUTED_VALUE"""),137.8)</f>
        <v>137.8</v>
      </c>
      <c r="H60" s="70" t="str">
        <f>IFERROR(__xludf.DUMMYFUNCTION("""COMPUTED_VALUE"""),"Dunkley, Katie")</f>
        <v>Dunkley, Katie</v>
      </c>
      <c r="I60" s="71" t="str">
        <f>IFERROR(__xludf.DUMMYFUNCTION("""COMPUTED_VALUE"""),"205g")</f>
        <v>205g</v>
      </c>
      <c r="J60" s="69" t="str">
        <f>IFERROR(__xludf.DUMMYFUNCTION("""COMPUTED_VALUE"""),"220x")</f>
        <v>220x</v>
      </c>
      <c r="K60" s="69" t="str">
        <f>IFERROR(__xludf.DUMMYFUNCTION("""COMPUTED_VALUE"""),"220g")</f>
        <v>220g</v>
      </c>
      <c r="L60" s="64">
        <f>IFERROR(__xludf.DUMMYFUNCTION("""COMPUTED_VALUE"""),220.0)</f>
        <v>220</v>
      </c>
      <c r="M60" s="72" t="str">
        <f>IFERROR(__xludf.DUMMYFUNCTION("""COMPUTED_VALUE"""),"95g")</f>
        <v>95g</v>
      </c>
      <c r="N60" s="72" t="str">
        <f>IFERROR(__xludf.DUMMYFUNCTION("""COMPUTED_VALUE"""),"105g")</f>
        <v>105g</v>
      </c>
      <c r="O60" s="72" t="str">
        <f>IFERROR(__xludf.DUMMYFUNCTION("""COMPUTED_VALUE"""),"110x")</f>
        <v>110x</v>
      </c>
      <c r="P60" s="64">
        <f>IFERROR(__xludf.DUMMYFUNCTION("""COMPUTED_VALUE"""),105.0)</f>
        <v>105</v>
      </c>
      <c r="Q60" s="72" t="str">
        <f>IFERROR(__xludf.DUMMYFUNCTION("""COMPUTED_VALUE"""),"225g")</f>
        <v>225g</v>
      </c>
      <c r="R60" s="72" t="str">
        <f>IFERROR(__xludf.DUMMYFUNCTION("""COMPUTED_VALUE"""),"240g")</f>
        <v>240g</v>
      </c>
      <c r="S60" s="72" t="str">
        <f>IFERROR(__xludf.DUMMYFUNCTION("""COMPUTED_VALUE"""),"250x")</f>
        <v>250x</v>
      </c>
      <c r="T60" s="64">
        <f>IFERROR(__xludf.DUMMYFUNCTION("""COMPUTED_VALUE"""),240.0)</f>
        <v>240</v>
      </c>
      <c r="U60" s="66">
        <f>IFERROR(__xludf.DUMMYFUNCTION("""COMPUTED_VALUE"""),565.0)</f>
        <v>565</v>
      </c>
      <c r="V60" s="79">
        <f>IFERROR(__xludf.DUMMYFUNCTION("""COMPUTED_VALUE"""),4.100145137880987)</f>
        <v>4.100145138</v>
      </c>
    </row>
    <row r="61">
      <c r="B61" s="68" t="s">
        <v>125</v>
      </c>
      <c r="C61" s="68">
        <f>if(countif(F56:F60,F61)&gt;1,0,5)</f>
        <v>5</v>
      </c>
      <c r="D61" s="68" t="str">
        <f>IFERROR(__xludf.DUMMYFUNCTION("""COMPUTED_VALUE"""),"145 WJV")</f>
        <v>145 WJV</v>
      </c>
      <c r="E61" s="69" t="str">
        <f>IFERROR(__xludf.DUMMYFUNCTION("""COMPUTED_VALUE"""),"WJV")</f>
        <v>WJV</v>
      </c>
      <c r="F61" s="70" t="str">
        <f>IFERROR(__xludf.DUMMYFUNCTION("""COMPUTED_VALUE"""),"Lake Orion")</f>
        <v>Lake Orion</v>
      </c>
      <c r="G61" s="69">
        <f>IFERROR(__xludf.DUMMYFUNCTION("""COMPUTED_VALUE"""),144.8)</f>
        <v>144.8</v>
      </c>
      <c r="H61" s="70" t="str">
        <f>IFERROR(__xludf.DUMMYFUNCTION("""COMPUTED_VALUE"""),"Guldi, Dakota")</f>
        <v>Guldi, Dakota</v>
      </c>
      <c r="I61" s="71" t="str">
        <f>IFERROR(__xludf.DUMMYFUNCTION("""COMPUTED_VALUE"""),"185g")</f>
        <v>185g</v>
      </c>
      <c r="J61" s="69" t="str">
        <f>IFERROR(__xludf.DUMMYFUNCTION("""COMPUTED_VALUE"""),"195g")</f>
        <v>195g</v>
      </c>
      <c r="K61" s="69" t="str">
        <f>IFERROR(__xludf.DUMMYFUNCTION("""COMPUTED_VALUE"""),"210g")</f>
        <v>210g</v>
      </c>
      <c r="L61" s="64">
        <f>IFERROR(__xludf.DUMMYFUNCTION("""COMPUTED_VALUE"""),210.0)</f>
        <v>210</v>
      </c>
      <c r="M61" s="72" t="str">
        <f>IFERROR(__xludf.DUMMYFUNCTION("""COMPUTED_VALUE"""),"85g")</f>
        <v>85g</v>
      </c>
      <c r="N61" s="72" t="str">
        <f>IFERROR(__xludf.DUMMYFUNCTION("""COMPUTED_VALUE"""),"90g")</f>
        <v>90g</v>
      </c>
      <c r="O61" s="72" t="str">
        <f>IFERROR(__xludf.DUMMYFUNCTION("""COMPUTED_VALUE"""),"95x")</f>
        <v>95x</v>
      </c>
      <c r="P61" s="64">
        <f>IFERROR(__xludf.DUMMYFUNCTION("""COMPUTED_VALUE"""),90.0)</f>
        <v>90</v>
      </c>
      <c r="Q61" s="72" t="str">
        <f>IFERROR(__xludf.DUMMYFUNCTION("""COMPUTED_VALUE"""),"235g")</f>
        <v>235g</v>
      </c>
      <c r="R61" s="72" t="str">
        <f>IFERROR(__xludf.DUMMYFUNCTION("""COMPUTED_VALUE"""),"250g")</f>
        <v>250g</v>
      </c>
      <c r="S61" s="72" t="str">
        <f>IFERROR(__xludf.DUMMYFUNCTION("""COMPUTED_VALUE"""),"265g")</f>
        <v>265g</v>
      </c>
      <c r="T61" s="64">
        <f>IFERROR(__xludf.DUMMYFUNCTION("""COMPUTED_VALUE"""),265.0)</f>
        <v>265</v>
      </c>
      <c r="U61" s="66">
        <f>IFERROR(__xludf.DUMMYFUNCTION("""COMPUTED_VALUE"""),565.0)</f>
        <v>565</v>
      </c>
      <c r="V61" s="79">
        <f>IFERROR(__xludf.DUMMYFUNCTION("""COMPUTED_VALUE"""),3.9019337016574585)</f>
        <v>3.901933702</v>
      </c>
    </row>
    <row r="62">
      <c r="B62" s="68" t="s">
        <v>126</v>
      </c>
      <c r="C62" s="68">
        <f>if(countif(F56:F61,F62)&gt;1,0,4)</f>
        <v>4</v>
      </c>
      <c r="D62" s="68" t="str">
        <f>IFERROR(__xludf.DUMMYFUNCTION("""COMPUTED_VALUE"""),"145 WJV")</f>
        <v>145 WJV</v>
      </c>
      <c r="E62" s="69" t="str">
        <f>IFERROR(__xludf.DUMMYFUNCTION("""COMPUTED_VALUE"""),"WJV")</f>
        <v>WJV</v>
      </c>
      <c r="F62" s="70" t="str">
        <f>IFERROR(__xludf.DUMMYFUNCTION("""COMPUTED_VALUE"""),"Kearsley")</f>
        <v>Kearsley</v>
      </c>
      <c r="G62" s="69">
        <f>IFERROR(__xludf.DUMMYFUNCTION("""COMPUTED_VALUE"""),143.2)</f>
        <v>143.2</v>
      </c>
      <c r="H62" s="70" t="str">
        <f>IFERROR(__xludf.DUMMYFUNCTION("""COMPUTED_VALUE"""),"Clarambeau, Karlee")</f>
        <v>Clarambeau, Karlee</v>
      </c>
      <c r="I62" s="71" t="str">
        <f>IFERROR(__xludf.DUMMYFUNCTION("""COMPUTED_VALUE"""),"215g")</f>
        <v>215g</v>
      </c>
      <c r="J62" s="69" t="str">
        <f>IFERROR(__xludf.DUMMYFUNCTION("""COMPUTED_VALUE"""),"225x")</f>
        <v>225x</v>
      </c>
      <c r="K62" s="69" t="str">
        <f>IFERROR(__xludf.DUMMYFUNCTION("""COMPUTED_VALUE"""),"230g")</f>
        <v>230g</v>
      </c>
      <c r="L62" s="64">
        <f>IFERROR(__xludf.DUMMYFUNCTION("""COMPUTED_VALUE"""),230.0)</f>
        <v>230</v>
      </c>
      <c r="M62" s="72" t="str">
        <f>IFERROR(__xludf.DUMMYFUNCTION("""COMPUTED_VALUE"""),"80g")</f>
        <v>80g</v>
      </c>
      <c r="N62" s="72" t="str">
        <f>IFERROR(__xludf.DUMMYFUNCTION("""COMPUTED_VALUE"""),"90g")</f>
        <v>90g</v>
      </c>
      <c r="O62" s="72" t="str">
        <f>IFERROR(__xludf.DUMMYFUNCTION("""COMPUTED_VALUE"""),"95x")</f>
        <v>95x</v>
      </c>
      <c r="P62" s="64">
        <f>IFERROR(__xludf.DUMMYFUNCTION("""COMPUTED_VALUE"""),90.0)</f>
        <v>90</v>
      </c>
      <c r="Q62" s="72" t="str">
        <f>IFERROR(__xludf.DUMMYFUNCTION("""COMPUTED_VALUE"""),"225g")</f>
        <v>225g</v>
      </c>
      <c r="R62" s="72" t="str">
        <f>IFERROR(__xludf.DUMMYFUNCTION("""COMPUTED_VALUE"""),"240g")</f>
        <v>240g</v>
      </c>
      <c r="S62" s="72" t="str">
        <f>IFERROR(__xludf.DUMMYFUNCTION("""COMPUTED_VALUE"""),"250x")</f>
        <v>250x</v>
      </c>
      <c r="T62" s="64">
        <f>IFERROR(__xludf.DUMMYFUNCTION("""COMPUTED_VALUE"""),240.0)</f>
        <v>240</v>
      </c>
      <c r="U62" s="66">
        <f>IFERROR(__xludf.DUMMYFUNCTION("""COMPUTED_VALUE"""),560.0)</f>
        <v>560</v>
      </c>
      <c r="V62" s="79">
        <f>IFERROR(__xludf.DUMMYFUNCTION("""COMPUTED_VALUE"""),3.910614525139665)</f>
        <v>3.910614525</v>
      </c>
    </row>
    <row r="63">
      <c r="B63" s="68" t="s">
        <v>127</v>
      </c>
      <c r="C63" s="68">
        <f>if(countif(F56:F62,F63)&gt;1,0,3)</f>
        <v>3</v>
      </c>
      <c r="D63" s="68" t="str">
        <f>IFERROR(__xludf.DUMMYFUNCTION("""COMPUTED_VALUE"""),"145 WJV")</f>
        <v>145 WJV</v>
      </c>
      <c r="E63" s="69" t="str">
        <f>IFERROR(__xludf.DUMMYFUNCTION("""COMPUTED_VALUE"""),"WJV")</f>
        <v>WJV</v>
      </c>
      <c r="F63" s="70" t="str">
        <f>IFERROR(__xludf.DUMMYFUNCTION("""COMPUTED_VALUE"""),"Davison")</f>
        <v>Davison</v>
      </c>
      <c r="G63" s="69">
        <f>IFERROR(__xludf.DUMMYFUNCTION("""COMPUTED_VALUE"""),140.8)</f>
        <v>140.8</v>
      </c>
      <c r="H63" s="70" t="str">
        <f>IFERROR(__xludf.DUMMYFUNCTION("""COMPUTED_VALUE"""),"Pringle, Makayla")</f>
        <v>Pringle, Makayla</v>
      </c>
      <c r="I63" s="71" t="str">
        <f>IFERROR(__xludf.DUMMYFUNCTION("""COMPUTED_VALUE"""),"195g")</f>
        <v>195g</v>
      </c>
      <c r="J63" s="69" t="str">
        <f>IFERROR(__xludf.DUMMYFUNCTION("""COMPUTED_VALUE"""),"210x")</f>
        <v>210x</v>
      </c>
      <c r="K63" s="69" t="str">
        <f>IFERROR(__xludf.DUMMYFUNCTION("""COMPUTED_VALUE"""),"210g")</f>
        <v>210g</v>
      </c>
      <c r="L63" s="64">
        <f>IFERROR(__xludf.DUMMYFUNCTION("""COMPUTED_VALUE"""),210.0)</f>
        <v>210</v>
      </c>
      <c r="M63" s="72" t="str">
        <f>IFERROR(__xludf.DUMMYFUNCTION("""COMPUTED_VALUE"""),"85g")</f>
        <v>85g</v>
      </c>
      <c r="N63" s="72" t="str">
        <f>IFERROR(__xludf.DUMMYFUNCTION("""COMPUTED_VALUE"""),"95g")</f>
        <v>95g</v>
      </c>
      <c r="O63" s="72" t="str">
        <f>IFERROR(__xludf.DUMMYFUNCTION("""COMPUTED_VALUE"""),"105x")</f>
        <v>105x</v>
      </c>
      <c r="P63" s="64">
        <f>IFERROR(__xludf.DUMMYFUNCTION("""COMPUTED_VALUE"""),95.0)</f>
        <v>95</v>
      </c>
      <c r="Q63" s="72" t="str">
        <f>IFERROR(__xludf.DUMMYFUNCTION("""COMPUTED_VALUE"""),"215g")</f>
        <v>215g</v>
      </c>
      <c r="R63" s="72" t="str">
        <f>IFERROR(__xludf.DUMMYFUNCTION("""COMPUTED_VALUE"""),"235g")</f>
        <v>235g</v>
      </c>
      <c r="S63" s="72" t="str">
        <f>IFERROR(__xludf.DUMMYFUNCTION("""COMPUTED_VALUE"""),"250g")</f>
        <v>250g</v>
      </c>
      <c r="T63" s="64">
        <f>IFERROR(__xludf.DUMMYFUNCTION("""COMPUTED_VALUE"""),250.0)</f>
        <v>250</v>
      </c>
      <c r="U63" s="66">
        <f>IFERROR(__xludf.DUMMYFUNCTION("""COMPUTED_VALUE"""),555.0)</f>
        <v>555</v>
      </c>
      <c r="V63" s="79">
        <f>IFERROR(__xludf.DUMMYFUNCTION("""COMPUTED_VALUE"""),3.9417613636363633)</f>
        <v>3.941761364</v>
      </c>
    </row>
    <row r="64">
      <c r="B64" s="68" t="s">
        <v>128</v>
      </c>
      <c r="C64" s="68">
        <f>if(countif(F56:F63,F64)&gt;1,0,2)</f>
        <v>2</v>
      </c>
      <c r="D64" s="68" t="str">
        <f>IFERROR(__xludf.DUMMYFUNCTION("""COMPUTED_VALUE"""),"145 WJV")</f>
        <v>145 WJV</v>
      </c>
      <c r="E64" s="69" t="str">
        <f>IFERROR(__xludf.DUMMYFUNCTION("""COMPUTED_VALUE"""),"WJV")</f>
        <v>WJV</v>
      </c>
      <c r="F64" s="70" t="str">
        <f>IFERROR(__xludf.DUMMYFUNCTION("""COMPUTED_VALUE"""),"Brighton")</f>
        <v>Brighton</v>
      </c>
      <c r="G64" s="69">
        <f>IFERROR(__xludf.DUMMYFUNCTION("""COMPUTED_VALUE"""),142.2)</f>
        <v>142.2</v>
      </c>
      <c r="H64" s="70" t="str">
        <f>IFERROR(__xludf.DUMMYFUNCTION("""COMPUTED_VALUE"""),"Lemons, Evelynn")</f>
        <v>Lemons, Evelynn</v>
      </c>
      <c r="I64" s="71" t="str">
        <f>IFERROR(__xludf.DUMMYFUNCTION("""COMPUTED_VALUE"""),"185g")</f>
        <v>185g</v>
      </c>
      <c r="J64" s="69" t="str">
        <f>IFERROR(__xludf.DUMMYFUNCTION("""COMPUTED_VALUE"""),"195g")</f>
        <v>195g</v>
      </c>
      <c r="K64" s="69" t="str">
        <f>IFERROR(__xludf.DUMMYFUNCTION("""COMPUTED_VALUE"""),"205g")</f>
        <v>205g</v>
      </c>
      <c r="L64" s="64">
        <f>IFERROR(__xludf.DUMMYFUNCTION("""COMPUTED_VALUE"""),205.0)</f>
        <v>205</v>
      </c>
      <c r="M64" s="72" t="str">
        <f>IFERROR(__xludf.DUMMYFUNCTION("""COMPUTED_VALUE"""),"75g")</f>
        <v>75g</v>
      </c>
      <c r="N64" s="72" t="str">
        <f>IFERROR(__xludf.DUMMYFUNCTION("""COMPUTED_VALUE"""),"85x")</f>
        <v>85x</v>
      </c>
      <c r="O64" s="72" t="str">
        <f>IFERROR(__xludf.DUMMYFUNCTION("""COMPUTED_VALUE"""),"85x")</f>
        <v>85x</v>
      </c>
      <c r="P64" s="64">
        <f>IFERROR(__xludf.DUMMYFUNCTION("""COMPUTED_VALUE"""),75.0)</f>
        <v>75</v>
      </c>
      <c r="Q64" s="72" t="str">
        <f>IFERROR(__xludf.DUMMYFUNCTION("""COMPUTED_VALUE"""),"225g")</f>
        <v>225g</v>
      </c>
      <c r="R64" s="72" t="str">
        <f>IFERROR(__xludf.DUMMYFUNCTION("""COMPUTED_VALUE"""),"250g")</f>
        <v>250g</v>
      </c>
      <c r="S64" s="72" t="str">
        <f>IFERROR(__xludf.DUMMYFUNCTION("""COMPUTED_VALUE"""),"270g")</f>
        <v>270g</v>
      </c>
      <c r="T64" s="64">
        <f>IFERROR(__xludf.DUMMYFUNCTION("""COMPUTED_VALUE"""),270.0)</f>
        <v>270</v>
      </c>
      <c r="U64" s="66">
        <f>IFERROR(__xludf.DUMMYFUNCTION("""COMPUTED_VALUE"""),550.0)</f>
        <v>550</v>
      </c>
      <c r="V64" s="79">
        <f>IFERROR(__xludf.DUMMYFUNCTION("""COMPUTED_VALUE"""),3.867791842475387)</f>
        <v>3.867791842</v>
      </c>
    </row>
    <row r="65">
      <c r="B65" s="68" t="s">
        <v>129</v>
      </c>
      <c r="C65" s="68">
        <f>if(countif(F56:F64,F65)&gt;1,0,1)</f>
        <v>1</v>
      </c>
      <c r="D65" s="68" t="str">
        <f>IFERROR(__xludf.DUMMYFUNCTION("""COMPUTED_VALUE"""),"145 WJV")</f>
        <v>145 WJV</v>
      </c>
      <c r="E65" s="69" t="str">
        <f>IFERROR(__xludf.DUMMYFUNCTION("""COMPUTED_VALUE"""),"WJV")</f>
        <v>WJV</v>
      </c>
      <c r="F65" s="70" t="str">
        <f>IFERROR(__xludf.DUMMYFUNCTION("""COMPUTED_VALUE"""),"Morenci")</f>
        <v>Morenci</v>
      </c>
      <c r="G65" s="69">
        <f>IFERROR(__xludf.DUMMYFUNCTION("""COMPUTED_VALUE"""),136.2)</f>
        <v>136.2</v>
      </c>
      <c r="H65" s="70" t="str">
        <f>IFERROR(__xludf.DUMMYFUNCTION("""COMPUTED_VALUE"""),"Hanawalt, Dawson")</f>
        <v>Hanawalt, Dawson</v>
      </c>
      <c r="I65" s="71" t="str">
        <f>IFERROR(__xludf.DUMMYFUNCTION("""COMPUTED_VALUE"""),"155g")</f>
        <v>155g</v>
      </c>
      <c r="J65" s="69" t="str">
        <f>IFERROR(__xludf.DUMMYFUNCTION("""COMPUTED_VALUE"""),"180g")</f>
        <v>180g</v>
      </c>
      <c r="K65" s="69" t="str">
        <f>IFERROR(__xludf.DUMMYFUNCTION("""COMPUTED_VALUE"""),"195g")</f>
        <v>195g</v>
      </c>
      <c r="L65" s="64">
        <f>IFERROR(__xludf.DUMMYFUNCTION("""COMPUTED_VALUE"""),195.0)</f>
        <v>195</v>
      </c>
      <c r="M65" s="72" t="str">
        <f>IFERROR(__xludf.DUMMYFUNCTION("""COMPUTED_VALUE"""),"95g")</f>
        <v>95g</v>
      </c>
      <c r="N65" s="72" t="str">
        <f>IFERROR(__xludf.DUMMYFUNCTION("""COMPUTED_VALUE"""),"105g")</f>
        <v>105g</v>
      </c>
      <c r="O65" s="72" t="str">
        <f>IFERROR(__xludf.DUMMYFUNCTION("""COMPUTED_VALUE"""),"115x")</f>
        <v>115x</v>
      </c>
      <c r="P65" s="64">
        <f>IFERROR(__xludf.DUMMYFUNCTION("""COMPUTED_VALUE"""),105.0)</f>
        <v>105</v>
      </c>
      <c r="Q65" s="72" t="str">
        <f>IFERROR(__xludf.DUMMYFUNCTION("""COMPUTED_VALUE"""),"200g")</f>
        <v>200g</v>
      </c>
      <c r="R65" s="72" t="str">
        <f>IFERROR(__xludf.DUMMYFUNCTION("""COMPUTED_VALUE"""),"225g")</f>
        <v>225g</v>
      </c>
      <c r="S65" s="72" t="str">
        <f>IFERROR(__xludf.DUMMYFUNCTION("""COMPUTED_VALUE"""),"245g")</f>
        <v>245g</v>
      </c>
      <c r="T65" s="64">
        <f>IFERROR(__xludf.DUMMYFUNCTION("""COMPUTED_VALUE"""),245.0)</f>
        <v>245</v>
      </c>
      <c r="U65" s="66">
        <f>IFERROR(__xludf.DUMMYFUNCTION("""COMPUTED_VALUE"""),545.0)</f>
        <v>545</v>
      </c>
      <c r="V65" s="79">
        <f>IFERROR(__xludf.DUMMYFUNCTION("""COMPUTED_VALUE"""),4.001468428781204)</f>
        <v>4.001468429</v>
      </c>
    </row>
    <row r="66">
      <c r="A66" s="58">
        <v>155.0</v>
      </c>
      <c r="B66" s="59" t="s">
        <v>120</v>
      </c>
      <c r="C66" s="59">
        <v>12.0</v>
      </c>
      <c r="D66" s="59" t="str">
        <f>IFERROR(__xludf.DUMMYFUNCTION("ARRAY_CONSTRAIN(sort(filter(WJV_Tie_Breaker!D6:X285,WJV_Tie_Breaker!D6:D285=""155 WJV""),18,false,4,true,20,false,21,true),10,19)"),"155 WJV")</f>
        <v>155 WJV</v>
      </c>
      <c r="E66" s="60" t="str">
        <f>IFERROR(__xludf.DUMMYFUNCTION("""COMPUTED_VALUE"""),"WJV")</f>
        <v>WJV</v>
      </c>
      <c r="F66" s="62" t="str">
        <f>IFERROR(__xludf.DUMMYFUNCTION("""COMPUTED_VALUE"""),"Royal Oak")</f>
        <v>Royal Oak</v>
      </c>
      <c r="G66" s="61">
        <f>IFERROR(__xludf.DUMMYFUNCTION("""COMPUTED_VALUE"""),148.2)</f>
        <v>148.2</v>
      </c>
      <c r="H66" s="62" t="str">
        <f>IFERROR(__xludf.DUMMYFUNCTION("""COMPUTED_VALUE"""),"Fields, Caprice")</f>
        <v>Fields, Caprice</v>
      </c>
      <c r="I66" s="63" t="str">
        <f>IFERROR(__xludf.DUMMYFUNCTION("""COMPUTED_VALUE"""),"220g")</f>
        <v>220g</v>
      </c>
      <c r="J66" s="61" t="str">
        <f>IFERROR(__xludf.DUMMYFUNCTION("""COMPUTED_VALUE"""),"245g")</f>
        <v>245g</v>
      </c>
      <c r="K66" s="61" t="str">
        <f>IFERROR(__xludf.DUMMYFUNCTION("""COMPUTED_VALUE"""),"250x")</f>
        <v>250x</v>
      </c>
      <c r="L66" s="64">
        <f>IFERROR(__xludf.DUMMYFUNCTION("""COMPUTED_VALUE"""),245.0)</f>
        <v>245</v>
      </c>
      <c r="M66" s="65" t="str">
        <f>IFERROR(__xludf.DUMMYFUNCTION("""COMPUTED_VALUE"""),"105g")</f>
        <v>105g</v>
      </c>
      <c r="N66" s="65" t="str">
        <f>IFERROR(__xludf.DUMMYFUNCTION("""COMPUTED_VALUE"""),"120g")</f>
        <v>120g</v>
      </c>
      <c r="O66" s="65" t="str">
        <f>IFERROR(__xludf.DUMMYFUNCTION("""COMPUTED_VALUE"""),"125g")</f>
        <v>125g</v>
      </c>
      <c r="P66" s="64">
        <f>IFERROR(__xludf.DUMMYFUNCTION("""COMPUTED_VALUE"""),125.0)</f>
        <v>125</v>
      </c>
      <c r="Q66" s="65" t="str">
        <f>IFERROR(__xludf.DUMMYFUNCTION("""COMPUTED_VALUE"""),"275x")</f>
        <v>275x</v>
      </c>
      <c r="R66" s="65" t="str">
        <f>IFERROR(__xludf.DUMMYFUNCTION("""COMPUTED_VALUE"""),"300g")</f>
        <v>300g</v>
      </c>
      <c r="S66" s="65" t="str">
        <f>IFERROR(__xludf.DUMMYFUNCTION("""COMPUTED_VALUE"""),"315g")</f>
        <v>315g</v>
      </c>
      <c r="T66" s="64">
        <f>IFERROR(__xludf.DUMMYFUNCTION("""COMPUTED_VALUE"""),315.0)</f>
        <v>315</v>
      </c>
      <c r="U66" s="66">
        <f>IFERROR(__xludf.DUMMYFUNCTION("""COMPUTED_VALUE"""),685.0)</f>
        <v>685</v>
      </c>
      <c r="V66" s="78">
        <f>IFERROR(__xludf.DUMMYFUNCTION("""COMPUTED_VALUE"""),4.622132253711201)</f>
        <v>4.622132254</v>
      </c>
    </row>
    <row r="67">
      <c r="B67" s="59" t="s">
        <v>121</v>
      </c>
      <c r="C67" s="59">
        <v>9.0</v>
      </c>
      <c r="D67" s="59" t="str">
        <f>IFERROR(__xludf.DUMMYFUNCTION("""COMPUTED_VALUE"""),"155 WJV")</f>
        <v>155 WJV</v>
      </c>
      <c r="E67" s="61" t="str">
        <f>IFERROR(__xludf.DUMMYFUNCTION("""COMPUTED_VALUE"""),"WJV")</f>
        <v>WJV</v>
      </c>
      <c r="F67" s="62" t="str">
        <f>IFERROR(__xludf.DUMMYFUNCTION("""COMPUTED_VALUE"""),"Edwardsburg")</f>
        <v>Edwardsburg</v>
      </c>
      <c r="G67" s="61">
        <f>IFERROR(__xludf.DUMMYFUNCTION("""COMPUTED_VALUE"""),151.4)</f>
        <v>151.4</v>
      </c>
      <c r="H67" s="62" t="str">
        <f>IFERROR(__xludf.DUMMYFUNCTION("""COMPUTED_VALUE"""),"Gearhart, Alyssa")</f>
        <v>Gearhart, Alyssa</v>
      </c>
      <c r="I67" s="63" t="str">
        <f>IFERROR(__xludf.DUMMYFUNCTION("""COMPUTED_VALUE"""),"185g")</f>
        <v>185g</v>
      </c>
      <c r="J67" s="61" t="str">
        <f>IFERROR(__xludf.DUMMYFUNCTION("""COMPUTED_VALUE"""),"205x")</f>
        <v>205x</v>
      </c>
      <c r="K67" s="61" t="str">
        <f>IFERROR(__xludf.DUMMYFUNCTION("""COMPUTED_VALUE"""),"205x")</f>
        <v>205x</v>
      </c>
      <c r="L67" s="64">
        <f>IFERROR(__xludf.DUMMYFUNCTION("""COMPUTED_VALUE"""),185.0)</f>
        <v>185</v>
      </c>
      <c r="M67" s="65" t="str">
        <f>IFERROR(__xludf.DUMMYFUNCTION("""COMPUTED_VALUE"""),"115g")</f>
        <v>115g</v>
      </c>
      <c r="N67" s="65" t="str">
        <f>IFERROR(__xludf.DUMMYFUNCTION("""COMPUTED_VALUE"""),"125g")</f>
        <v>125g</v>
      </c>
      <c r="O67" s="65" t="str">
        <f>IFERROR(__xludf.DUMMYFUNCTION("""COMPUTED_VALUE"""),"135g")</f>
        <v>135g</v>
      </c>
      <c r="P67" s="64">
        <f>IFERROR(__xludf.DUMMYFUNCTION("""COMPUTED_VALUE"""),135.0)</f>
        <v>135</v>
      </c>
      <c r="Q67" s="65" t="str">
        <f>IFERROR(__xludf.DUMMYFUNCTION("""COMPUTED_VALUE"""),"225g")</f>
        <v>225g</v>
      </c>
      <c r="R67" s="65" t="str">
        <f>IFERROR(__xludf.DUMMYFUNCTION("""COMPUTED_VALUE"""),"255g")</f>
        <v>255g</v>
      </c>
      <c r="S67" s="65" t="str">
        <f>IFERROR(__xludf.DUMMYFUNCTION("""COMPUTED_VALUE"""),"285g")</f>
        <v>285g</v>
      </c>
      <c r="T67" s="64">
        <f>IFERROR(__xludf.DUMMYFUNCTION("""COMPUTED_VALUE"""),285.0)</f>
        <v>285</v>
      </c>
      <c r="U67" s="66">
        <f>IFERROR(__xludf.DUMMYFUNCTION("""COMPUTED_VALUE"""),605.0)</f>
        <v>605</v>
      </c>
      <c r="V67" s="78">
        <f>IFERROR(__xludf.DUMMYFUNCTION("""COMPUTED_VALUE"""),3.9960369881109643)</f>
        <v>3.996036988</v>
      </c>
    </row>
    <row r="68">
      <c r="B68" s="59" t="s">
        <v>122</v>
      </c>
      <c r="C68" s="59">
        <f>if(countif(F66:F67,F68)&gt;1,0,8)</f>
        <v>8</v>
      </c>
      <c r="D68" s="59" t="str">
        <f>IFERROR(__xludf.DUMMYFUNCTION("""COMPUTED_VALUE"""),"155 WJV")</f>
        <v>155 WJV</v>
      </c>
      <c r="E68" s="61" t="str">
        <f>IFERROR(__xludf.DUMMYFUNCTION("""COMPUTED_VALUE"""),"WJV")</f>
        <v>WJV</v>
      </c>
      <c r="F68" s="62" t="str">
        <f>IFERROR(__xludf.DUMMYFUNCTION("""COMPUTED_VALUE"""),"Standish-Sterling")</f>
        <v>Standish-Sterling</v>
      </c>
      <c r="G68" s="61">
        <f>IFERROR(__xludf.DUMMYFUNCTION("""COMPUTED_VALUE"""),153.6)</f>
        <v>153.6</v>
      </c>
      <c r="H68" s="62" t="str">
        <f>IFERROR(__xludf.DUMMYFUNCTION("""COMPUTED_VALUE"""),"Hilborn, Paige")</f>
        <v>Hilborn, Paige</v>
      </c>
      <c r="I68" s="63" t="str">
        <f>IFERROR(__xludf.DUMMYFUNCTION("""COMPUTED_VALUE"""),"185g")</f>
        <v>185g</v>
      </c>
      <c r="J68" s="61" t="str">
        <f>IFERROR(__xludf.DUMMYFUNCTION("""COMPUTED_VALUE"""),"195g")</f>
        <v>195g</v>
      </c>
      <c r="K68" s="61" t="str">
        <f>IFERROR(__xludf.DUMMYFUNCTION("""COMPUTED_VALUE"""),"210g")</f>
        <v>210g</v>
      </c>
      <c r="L68" s="64">
        <f>IFERROR(__xludf.DUMMYFUNCTION("""COMPUTED_VALUE"""),210.0)</f>
        <v>210</v>
      </c>
      <c r="M68" s="65" t="str">
        <f>IFERROR(__xludf.DUMMYFUNCTION("""COMPUTED_VALUE"""),"85g")</f>
        <v>85g</v>
      </c>
      <c r="N68" s="65" t="str">
        <f>IFERROR(__xludf.DUMMYFUNCTION("""COMPUTED_VALUE"""),"100g")</f>
        <v>100g</v>
      </c>
      <c r="O68" s="65" t="str">
        <f>IFERROR(__xludf.DUMMYFUNCTION("""COMPUTED_VALUE"""),"110g")</f>
        <v>110g</v>
      </c>
      <c r="P68" s="64">
        <f>IFERROR(__xludf.DUMMYFUNCTION("""COMPUTED_VALUE"""),110.0)</f>
        <v>110</v>
      </c>
      <c r="Q68" s="65" t="str">
        <f>IFERROR(__xludf.DUMMYFUNCTION("""COMPUTED_VALUE"""),"255g")</f>
        <v>255g</v>
      </c>
      <c r="R68" s="65" t="str">
        <f>IFERROR(__xludf.DUMMYFUNCTION("""COMPUTED_VALUE"""),"265g")</f>
        <v>265g</v>
      </c>
      <c r="S68" s="65" t="str">
        <f>IFERROR(__xludf.DUMMYFUNCTION("""COMPUTED_VALUE"""),"285g")</f>
        <v>285g</v>
      </c>
      <c r="T68" s="64">
        <f>IFERROR(__xludf.DUMMYFUNCTION("""COMPUTED_VALUE"""),285.0)</f>
        <v>285</v>
      </c>
      <c r="U68" s="66">
        <f>IFERROR(__xludf.DUMMYFUNCTION("""COMPUTED_VALUE"""),605.0)</f>
        <v>605</v>
      </c>
      <c r="V68" s="78">
        <f>IFERROR(__xludf.DUMMYFUNCTION("""COMPUTED_VALUE"""),3.9388020833333335)</f>
        <v>3.938802083</v>
      </c>
    </row>
    <row r="69">
      <c r="B69" s="59" t="s">
        <v>123</v>
      </c>
      <c r="C69" s="59">
        <f>if(countif(F66:F68,F69)&gt;1,0,7)</f>
        <v>7</v>
      </c>
      <c r="D69" s="59" t="str">
        <f>IFERROR(__xludf.DUMMYFUNCTION("""COMPUTED_VALUE"""),"155 WJV")</f>
        <v>155 WJV</v>
      </c>
      <c r="E69" s="61" t="str">
        <f>IFERROR(__xludf.DUMMYFUNCTION("""COMPUTED_VALUE"""),"WJV")</f>
        <v>WJV</v>
      </c>
      <c r="F69" s="62" t="str">
        <f>IFERROR(__xludf.DUMMYFUNCTION("""COMPUTED_VALUE"""),"Standish-Sterling")</f>
        <v>Standish-Sterling</v>
      </c>
      <c r="G69" s="61">
        <f>IFERROR(__xludf.DUMMYFUNCTION("""COMPUTED_VALUE"""),154.4)</f>
        <v>154.4</v>
      </c>
      <c r="H69" s="62" t="str">
        <f>IFERROR(__xludf.DUMMYFUNCTION("""COMPUTED_VALUE"""),"Krzyzaniak, Taylor")</f>
        <v>Krzyzaniak, Taylor</v>
      </c>
      <c r="I69" s="63" t="str">
        <f>IFERROR(__xludf.DUMMYFUNCTION("""COMPUTED_VALUE"""),"185g")</f>
        <v>185g</v>
      </c>
      <c r="J69" s="61" t="str">
        <f>IFERROR(__xludf.DUMMYFUNCTION("""COMPUTED_VALUE"""),"195g")</f>
        <v>195g</v>
      </c>
      <c r="K69" s="61" t="str">
        <f>IFERROR(__xludf.DUMMYFUNCTION("""COMPUTED_VALUE"""),"210g")</f>
        <v>210g</v>
      </c>
      <c r="L69" s="64">
        <f>IFERROR(__xludf.DUMMYFUNCTION("""COMPUTED_VALUE"""),210.0)</f>
        <v>210</v>
      </c>
      <c r="M69" s="65" t="str">
        <f>IFERROR(__xludf.DUMMYFUNCTION("""COMPUTED_VALUE"""),"105g")</f>
        <v>105g</v>
      </c>
      <c r="N69" s="65" t="str">
        <f>IFERROR(__xludf.DUMMYFUNCTION("""COMPUTED_VALUE"""),"115g")</f>
        <v>115g</v>
      </c>
      <c r="O69" s="65" t="str">
        <f>IFERROR(__xludf.DUMMYFUNCTION("""COMPUTED_VALUE"""),"120g")</f>
        <v>120g</v>
      </c>
      <c r="P69" s="64">
        <f>IFERROR(__xludf.DUMMYFUNCTION("""COMPUTED_VALUE"""),120.0)</f>
        <v>120</v>
      </c>
      <c r="Q69" s="65" t="str">
        <f>IFERROR(__xludf.DUMMYFUNCTION("""COMPUTED_VALUE"""),"235g")</f>
        <v>235g</v>
      </c>
      <c r="R69" s="65" t="str">
        <f>IFERROR(__xludf.DUMMYFUNCTION("""COMPUTED_VALUE"""),"255g")</f>
        <v>255g</v>
      </c>
      <c r="S69" s="65" t="str">
        <f>IFERROR(__xludf.DUMMYFUNCTION("""COMPUTED_VALUE"""),"265g")</f>
        <v>265g</v>
      </c>
      <c r="T69" s="64">
        <f>IFERROR(__xludf.DUMMYFUNCTION("""COMPUTED_VALUE"""),265.0)</f>
        <v>265</v>
      </c>
      <c r="U69" s="66">
        <f>IFERROR(__xludf.DUMMYFUNCTION("""COMPUTED_VALUE"""),595.0)</f>
        <v>595</v>
      </c>
      <c r="V69" s="78">
        <f>IFERROR(__xludf.DUMMYFUNCTION("""COMPUTED_VALUE"""),3.8536269430051813)</f>
        <v>3.853626943</v>
      </c>
    </row>
    <row r="70">
      <c r="B70" s="59" t="s">
        <v>124</v>
      </c>
      <c r="C70" s="59">
        <f>if(countif(F66:F69,F70)&gt;1,0,6)</f>
        <v>6</v>
      </c>
      <c r="D70" s="59" t="str">
        <f>IFERROR(__xludf.DUMMYFUNCTION("""COMPUTED_VALUE"""),"155 WJV")</f>
        <v>155 WJV</v>
      </c>
      <c r="E70" s="61" t="str">
        <f>IFERROR(__xludf.DUMMYFUNCTION("""COMPUTED_VALUE"""),"WJV")</f>
        <v>WJV</v>
      </c>
      <c r="F70" s="62" t="str">
        <f>IFERROR(__xludf.DUMMYFUNCTION("""COMPUTED_VALUE"""),"Kingsley")</f>
        <v>Kingsley</v>
      </c>
      <c r="G70" s="61">
        <f>IFERROR(__xludf.DUMMYFUNCTION("""COMPUTED_VALUE"""),152.2)</f>
        <v>152.2</v>
      </c>
      <c r="H70" s="62" t="str">
        <f>IFERROR(__xludf.DUMMYFUNCTION("""COMPUTED_VALUE"""),"McIntosh, Victoria")</f>
        <v>McIntosh, Victoria</v>
      </c>
      <c r="I70" s="63" t="str">
        <f>IFERROR(__xludf.DUMMYFUNCTION("""COMPUTED_VALUE"""),"195g")</f>
        <v>195g</v>
      </c>
      <c r="J70" s="61" t="str">
        <f>IFERROR(__xludf.DUMMYFUNCTION("""COMPUTED_VALUE"""),"225g")</f>
        <v>225g</v>
      </c>
      <c r="K70" s="61" t="str">
        <f>IFERROR(__xludf.DUMMYFUNCTION("""COMPUTED_VALUE"""),"250x")</f>
        <v>250x</v>
      </c>
      <c r="L70" s="64">
        <f>IFERROR(__xludf.DUMMYFUNCTION("""COMPUTED_VALUE"""),225.0)</f>
        <v>225</v>
      </c>
      <c r="M70" s="65" t="str">
        <f>IFERROR(__xludf.DUMMYFUNCTION("""COMPUTED_VALUE"""),"105g")</f>
        <v>105g</v>
      </c>
      <c r="N70" s="65" t="str">
        <f>IFERROR(__xludf.DUMMYFUNCTION("""COMPUTED_VALUE"""),"110g")</f>
        <v>110g</v>
      </c>
      <c r="O70" s="65" t="str">
        <f>IFERROR(__xludf.DUMMYFUNCTION("""COMPUTED_VALUE"""),"115g")</f>
        <v>115g</v>
      </c>
      <c r="P70" s="64">
        <f>IFERROR(__xludf.DUMMYFUNCTION("""COMPUTED_VALUE"""),115.0)</f>
        <v>115</v>
      </c>
      <c r="Q70" s="65" t="str">
        <f>IFERROR(__xludf.DUMMYFUNCTION("""COMPUTED_VALUE"""),"205g")</f>
        <v>205g</v>
      </c>
      <c r="R70" s="65" t="str">
        <f>IFERROR(__xludf.DUMMYFUNCTION("""COMPUTED_VALUE"""),"225g")</f>
        <v>225g</v>
      </c>
      <c r="S70" s="65" t="str">
        <f>IFERROR(__xludf.DUMMYFUNCTION("""COMPUTED_VALUE"""),"240g")</f>
        <v>240g</v>
      </c>
      <c r="T70" s="64">
        <f>IFERROR(__xludf.DUMMYFUNCTION("""COMPUTED_VALUE"""),240.0)</f>
        <v>240</v>
      </c>
      <c r="U70" s="66">
        <f>IFERROR(__xludf.DUMMYFUNCTION("""COMPUTED_VALUE"""),580.0)</f>
        <v>580</v>
      </c>
      <c r="V70" s="78">
        <f>IFERROR(__xludf.DUMMYFUNCTION("""COMPUTED_VALUE"""),3.8107752956636007)</f>
        <v>3.810775296</v>
      </c>
    </row>
    <row r="71">
      <c r="B71" s="59" t="s">
        <v>125</v>
      </c>
      <c r="C71" s="59">
        <f>if(countif(F66:F70,F71)&gt;1,0,5)</f>
        <v>5</v>
      </c>
      <c r="D71" s="59" t="str">
        <f>IFERROR(__xludf.DUMMYFUNCTION("""COMPUTED_VALUE"""),"155 WJV")</f>
        <v>155 WJV</v>
      </c>
      <c r="E71" s="61" t="str">
        <f>IFERROR(__xludf.DUMMYFUNCTION("""COMPUTED_VALUE"""),"WJV")</f>
        <v>WJV</v>
      </c>
      <c r="F71" s="62" t="str">
        <f>IFERROR(__xludf.DUMMYFUNCTION("""COMPUTED_VALUE"""),"Flushing")</f>
        <v>Flushing</v>
      </c>
      <c r="G71" s="61">
        <f>IFERROR(__xludf.DUMMYFUNCTION("""COMPUTED_VALUE"""),152.4)</f>
        <v>152.4</v>
      </c>
      <c r="H71" s="62" t="str">
        <f>IFERROR(__xludf.DUMMYFUNCTION("""COMPUTED_VALUE"""),"Campbell, Maddie")</f>
        <v>Campbell, Maddie</v>
      </c>
      <c r="I71" s="63" t="str">
        <f>IFERROR(__xludf.DUMMYFUNCTION("""COMPUTED_VALUE"""),"210g")</f>
        <v>210g</v>
      </c>
      <c r="J71" s="61" t="str">
        <f>IFERROR(__xludf.DUMMYFUNCTION("""COMPUTED_VALUE"""),"220g")</f>
        <v>220g</v>
      </c>
      <c r="K71" s="61" t="str">
        <f>IFERROR(__xludf.DUMMYFUNCTION("""COMPUTED_VALUE"""),"225g")</f>
        <v>225g</v>
      </c>
      <c r="L71" s="64">
        <f>IFERROR(__xludf.DUMMYFUNCTION("""COMPUTED_VALUE"""),225.0)</f>
        <v>225</v>
      </c>
      <c r="M71" s="65" t="str">
        <f>IFERROR(__xludf.DUMMYFUNCTION("""COMPUTED_VALUE"""),"100g")</f>
        <v>100g</v>
      </c>
      <c r="N71" s="65" t="str">
        <f>IFERROR(__xludf.DUMMYFUNCTION("""COMPUTED_VALUE"""),"105g")</f>
        <v>105g</v>
      </c>
      <c r="O71" s="65" t="str">
        <f>IFERROR(__xludf.DUMMYFUNCTION("""COMPUTED_VALUE"""),"115x")</f>
        <v>115x</v>
      </c>
      <c r="P71" s="64">
        <f>IFERROR(__xludf.DUMMYFUNCTION("""COMPUTED_VALUE"""),105.0)</f>
        <v>105</v>
      </c>
      <c r="Q71" s="65" t="str">
        <f>IFERROR(__xludf.DUMMYFUNCTION("""COMPUTED_VALUE"""),"225g")</f>
        <v>225g</v>
      </c>
      <c r="R71" s="65" t="str">
        <f>IFERROR(__xludf.DUMMYFUNCTION("""COMPUTED_VALUE"""),"235x")</f>
        <v>235x</v>
      </c>
      <c r="S71" s="65" t="str">
        <f>IFERROR(__xludf.DUMMYFUNCTION("""COMPUTED_VALUE"""),"235x")</f>
        <v>235x</v>
      </c>
      <c r="T71" s="64">
        <f>IFERROR(__xludf.DUMMYFUNCTION("""COMPUTED_VALUE"""),225.0)</f>
        <v>225</v>
      </c>
      <c r="U71" s="66">
        <f>IFERROR(__xludf.DUMMYFUNCTION("""COMPUTED_VALUE"""),555.0)</f>
        <v>555</v>
      </c>
      <c r="V71" s="78">
        <f>IFERROR(__xludf.DUMMYFUNCTION("""COMPUTED_VALUE"""),3.6417322834645667)</f>
        <v>3.641732283</v>
      </c>
    </row>
    <row r="72">
      <c r="B72" s="59" t="s">
        <v>126</v>
      </c>
      <c r="C72" s="59">
        <f>if(countif(F66:F71,F72)&gt;1,0,4)</f>
        <v>4</v>
      </c>
      <c r="D72" s="59" t="str">
        <f>IFERROR(__xludf.DUMMYFUNCTION("""COMPUTED_VALUE"""),"155 WJV")</f>
        <v>155 WJV</v>
      </c>
      <c r="E72" s="61" t="str">
        <f>IFERROR(__xludf.DUMMYFUNCTION("""COMPUTED_VALUE"""),"WJV")</f>
        <v>WJV</v>
      </c>
      <c r="F72" s="62" t="str">
        <f>IFERROR(__xludf.DUMMYFUNCTION("""COMPUTED_VALUE"""),"Kelloggsville")</f>
        <v>Kelloggsville</v>
      </c>
      <c r="G72" s="61">
        <f>IFERROR(__xludf.DUMMYFUNCTION("""COMPUTED_VALUE"""),154.8)</f>
        <v>154.8</v>
      </c>
      <c r="H72" s="62" t="str">
        <f>IFERROR(__xludf.DUMMYFUNCTION("""COMPUTED_VALUE"""),"Marasigan, Rhea")</f>
        <v>Marasigan, Rhea</v>
      </c>
      <c r="I72" s="63" t="str">
        <f>IFERROR(__xludf.DUMMYFUNCTION("""COMPUTED_VALUE"""),"155g")</f>
        <v>155g</v>
      </c>
      <c r="J72" s="61" t="str">
        <f>IFERROR(__xludf.DUMMYFUNCTION("""COMPUTED_VALUE"""),"165g")</f>
        <v>165g</v>
      </c>
      <c r="K72" s="61" t="str">
        <f>IFERROR(__xludf.DUMMYFUNCTION("""COMPUTED_VALUE"""),"180g")</f>
        <v>180g</v>
      </c>
      <c r="L72" s="64">
        <f>IFERROR(__xludf.DUMMYFUNCTION("""COMPUTED_VALUE"""),180.0)</f>
        <v>180</v>
      </c>
      <c r="M72" s="65" t="str">
        <f>IFERROR(__xludf.DUMMYFUNCTION("""COMPUTED_VALUE"""),"85g")</f>
        <v>85g</v>
      </c>
      <c r="N72" s="65" t="str">
        <f>IFERROR(__xludf.DUMMYFUNCTION("""COMPUTED_VALUE"""),"95g")</f>
        <v>95g</v>
      </c>
      <c r="O72" s="65" t="str">
        <f>IFERROR(__xludf.DUMMYFUNCTION("""COMPUTED_VALUE"""),"100x")</f>
        <v>100x</v>
      </c>
      <c r="P72" s="64">
        <f>IFERROR(__xludf.DUMMYFUNCTION("""COMPUTED_VALUE"""),95.0)</f>
        <v>95</v>
      </c>
      <c r="Q72" s="65" t="str">
        <f>IFERROR(__xludf.DUMMYFUNCTION("""COMPUTED_VALUE"""),"225g")</f>
        <v>225g</v>
      </c>
      <c r="R72" s="65" t="str">
        <f>IFERROR(__xludf.DUMMYFUNCTION("""COMPUTED_VALUE"""),"250g")</f>
        <v>250g</v>
      </c>
      <c r="S72" s="65" t="str">
        <f>IFERROR(__xludf.DUMMYFUNCTION("""COMPUTED_VALUE"""),"265g")</f>
        <v>265g</v>
      </c>
      <c r="T72" s="64">
        <f>IFERROR(__xludf.DUMMYFUNCTION("""COMPUTED_VALUE"""),265.0)</f>
        <v>265</v>
      </c>
      <c r="U72" s="66">
        <f>IFERROR(__xludf.DUMMYFUNCTION("""COMPUTED_VALUE"""),540.0)</f>
        <v>540</v>
      </c>
      <c r="V72" s="78">
        <f>IFERROR(__xludf.DUMMYFUNCTION("""COMPUTED_VALUE"""),3.4883720930232553)</f>
        <v>3.488372093</v>
      </c>
    </row>
    <row r="73">
      <c r="B73" s="59" t="s">
        <v>127</v>
      </c>
      <c r="C73" s="59">
        <f>if(countif(F66:F72,F73)&gt;1,0,3)</f>
        <v>3</v>
      </c>
      <c r="D73" s="59" t="str">
        <f>IFERROR(__xludf.DUMMYFUNCTION("""COMPUTED_VALUE"""),"155 WJV")</f>
        <v>155 WJV</v>
      </c>
      <c r="E73" s="61" t="str">
        <f>IFERROR(__xludf.DUMMYFUNCTION("""COMPUTED_VALUE"""),"WJV")</f>
        <v>WJV</v>
      </c>
      <c r="F73" s="62" t="str">
        <f>IFERROR(__xludf.DUMMYFUNCTION("""COMPUTED_VALUE"""),"Adrian")</f>
        <v>Adrian</v>
      </c>
      <c r="G73" s="61">
        <f>IFERROR(__xludf.DUMMYFUNCTION("""COMPUTED_VALUE"""),149.4)</f>
        <v>149.4</v>
      </c>
      <c r="H73" s="62" t="str">
        <f>IFERROR(__xludf.DUMMYFUNCTION("""COMPUTED_VALUE"""),"Brown, Paris")</f>
        <v>Brown, Paris</v>
      </c>
      <c r="I73" s="63" t="str">
        <f>IFERROR(__xludf.DUMMYFUNCTION("""COMPUTED_VALUE"""),"155g")</f>
        <v>155g</v>
      </c>
      <c r="J73" s="61" t="str">
        <f>IFERROR(__xludf.DUMMYFUNCTION("""COMPUTED_VALUE"""),"165g")</f>
        <v>165g</v>
      </c>
      <c r="K73" s="61" t="str">
        <f>IFERROR(__xludf.DUMMYFUNCTION("""COMPUTED_VALUE"""),"180g")</f>
        <v>180g</v>
      </c>
      <c r="L73" s="64">
        <f>IFERROR(__xludf.DUMMYFUNCTION("""COMPUTED_VALUE"""),180.0)</f>
        <v>180</v>
      </c>
      <c r="M73" s="65" t="str">
        <f>IFERROR(__xludf.DUMMYFUNCTION("""COMPUTED_VALUE"""),"105g")</f>
        <v>105g</v>
      </c>
      <c r="N73" s="65" t="str">
        <f>IFERROR(__xludf.DUMMYFUNCTION("""COMPUTED_VALUE"""),"110x")</f>
        <v>110x</v>
      </c>
      <c r="O73" s="65" t="str">
        <f>IFERROR(__xludf.DUMMYFUNCTION("""COMPUTED_VALUE"""),"110x")</f>
        <v>110x</v>
      </c>
      <c r="P73" s="64">
        <f>IFERROR(__xludf.DUMMYFUNCTION("""COMPUTED_VALUE"""),105.0)</f>
        <v>105</v>
      </c>
      <c r="Q73" s="65" t="str">
        <f>IFERROR(__xludf.DUMMYFUNCTION("""COMPUTED_VALUE"""),"250x")</f>
        <v>250x</v>
      </c>
      <c r="R73" s="65" t="str">
        <f>IFERROR(__xludf.DUMMYFUNCTION("""COMPUTED_VALUE"""),"250g")</f>
        <v>250g</v>
      </c>
      <c r="S73" s="65" t="str">
        <f>IFERROR(__xludf.DUMMYFUNCTION("""COMPUTED_VALUE"""),"260x")</f>
        <v>260x</v>
      </c>
      <c r="T73" s="64">
        <f>IFERROR(__xludf.DUMMYFUNCTION("""COMPUTED_VALUE"""),250.0)</f>
        <v>250</v>
      </c>
      <c r="U73" s="66">
        <f>IFERROR(__xludf.DUMMYFUNCTION("""COMPUTED_VALUE"""),535.0)</f>
        <v>535</v>
      </c>
      <c r="V73" s="78">
        <f>IFERROR(__xludf.DUMMYFUNCTION("""COMPUTED_VALUE"""),3.5809906291834)</f>
        <v>3.580990629</v>
      </c>
    </row>
    <row r="74">
      <c r="B74" s="59" t="s">
        <v>128</v>
      </c>
      <c r="C74" s="59">
        <f>if(countif(F66:F73,F74)&gt;1,0,2)</f>
        <v>2</v>
      </c>
      <c r="D74" s="59" t="str">
        <f>IFERROR(__xludf.DUMMYFUNCTION("""COMPUTED_VALUE"""),"155 WJV")</f>
        <v>155 WJV</v>
      </c>
      <c r="E74" s="61" t="str">
        <f>IFERROR(__xludf.DUMMYFUNCTION("""COMPUTED_VALUE"""),"WJV")</f>
        <v>WJV</v>
      </c>
      <c r="F74" s="62" t="str">
        <f>IFERROR(__xludf.DUMMYFUNCTION("""COMPUTED_VALUE"""),"Cros-Lex")</f>
        <v>Cros-Lex</v>
      </c>
      <c r="G74" s="61">
        <f>IFERROR(__xludf.DUMMYFUNCTION("""COMPUTED_VALUE"""),150.6)</f>
        <v>150.6</v>
      </c>
      <c r="H74" s="62" t="str">
        <f>IFERROR(__xludf.DUMMYFUNCTION("""COMPUTED_VALUE"""),"Wright, Alyssa")</f>
        <v>Wright, Alyssa</v>
      </c>
      <c r="I74" s="63" t="str">
        <f>IFERROR(__xludf.DUMMYFUNCTION("""COMPUTED_VALUE"""),"185g")</f>
        <v>185g</v>
      </c>
      <c r="J74" s="61" t="str">
        <f>IFERROR(__xludf.DUMMYFUNCTION("""COMPUTED_VALUE"""),"200g")</f>
        <v>200g</v>
      </c>
      <c r="K74" s="61" t="str">
        <f>IFERROR(__xludf.DUMMYFUNCTION("""COMPUTED_VALUE"""),"215x")</f>
        <v>215x</v>
      </c>
      <c r="L74" s="64">
        <f>IFERROR(__xludf.DUMMYFUNCTION("""COMPUTED_VALUE"""),200.0)</f>
        <v>200</v>
      </c>
      <c r="M74" s="65" t="str">
        <f>IFERROR(__xludf.DUMMYFUNCTION("""COMPUTED_VALUE"""),"105g")</f>
        <v>105g</v>
      </c>
      <c r="N74" s="65" t="str">
        <f>IFERROR(__xludf.DUMMYFUNCTION("""COMPUTED_VALUE"""),"110x")</f>
        <v>110x</v>
      </c>
      <c r="O74" s="65" t="str">
        <f>IFERROR(__xludf.DUMMYFUNCTION("""COMPUTED_VALUE"""),"110x")</f>
        <v>110x</v>
      </c>
      <c r="P74" s="64">
        <f>IFERROR(__xludf.DUMMYFUNCTION("""COMPUTED_VALUE"""),105.0)</f>
        <v>105</v>
      </c>
      <c r="Q74" s="65" t="str">
        <f>IFERROR(__xludf.DUMMYFUNCTION("""COMPUTED_VALUE"""),"210g")</f>
        <v>210g</v>
      </c>
      <c r="R74" s="65" t="str">
        <f>IFERROR(__xludf.DUMMYFUNCTION("""COMPUTED_VALUE"""),"230g")</f>
        <v>230g</v>
      </c>
      <c r="S74" s="65" t="str">
        <f>IFERROR(__xludf.DUMMYFUNCTION("""COMPUTED_VALUE"""),"240x")</f>
        <v>240x</v>
      </c>
      <c r="T74" s="64">
        <f>IFERROR(__xludf.DUMMYFUNCTION("""COMPUTED_VALUE"""),230.0)</f>
        <v>230</v>
      </c>
      <c r="U74" s="66">
        <f>IFERROR(__xludf.DUMMYFUNCTION("""COMPUTED_VALUE"""),535.0)</f>
        <v>535</v>
      </c>
      <c r="V74" s="78">
        <f>IFERROR(__xludf.DUMMYFUNCTION("""COMPUTED_VALUE"""),3.552456839309429)</f>
        <v>3.552456839</v>
      </c>
    </row>
    <row r="75">
      <c r="B75" s="59" t="s">
        <v>129</v>
      </c>
      <c r="C75" s="59">
        <f>if(countif(F66:F74,F75)&gt;1,0,1)</f>
        <v>1</v>
      </c>
      <c r="D75" s="59" t="str">
        <f>IFERROR(__xludf.DUMMYFUNCTION("""COMPUTED_VALUE"""),"155 WJV")</f>
        <v>155 WJV</v>
      </c>
      <c r="E75" s="61" t="str">
        <f>IFERROR(__xludf.DUMMYFUNCTION("""COMPUTED_VALUE"""),"WJV")</f>
        <v>WJV</v>
      </c>
      <c r="F75" s="62" t="str">
        <f>IFERROR(__xludf.DUMMYFUNCTION("""COMPUTED_VALUE"""),"Goodrich")</f>
        <v>Goodrich</v>
      </c>
      <c r="G75" s="61">
        <f>IFERROR(__xludf.DUMMYFUNCTION("""COMPUTED_VALUE"""),149.0)</f>
        <v>149</v>
      </c>
      <c r="H75" s="62" t="str">
        <f>IFERROR(__xludf.DUMMYFUNCTION("""COMPUTED_VALUE"""),"Edenburn, Evelyn")</f>
        <v>Edenburn, Evelyn</v>
      </c>
      <c r="I75" s="63" t="str">
        <f>IFERROR(__xludf.DUMMYFUNCTION("""COMPUTED_VALUE"""),"185g")</f>
        <v>185g</v>
      </c>
      <c r="J75" s="61" t="str">
        <f>IFERROR(__xludf.DUMMYFUNCTION("""COMPUTED_VALUE"""),"205x")</f>
        <v>205x</v>
      </c>
      <c r="K75" s="61" t="str">
        <f>IFERROR(__xludf.DUMMYFUNCTION("""COMPUTED_VALUE"""),"205g")</f>
        <v>205g</v>
      </c>
      <c r="L75" s="64">
        <f>IFERROR(__xludf.DUMMYFUNCTION("""COMPUTED_VALUE"""),205.0)</f>
        <v>205</v>
      </c>
      <c r="M75" s="65" t="str">
        <f>IFERROR(__xludf.DUMMYFUNCTION("""COMPUTED_VALUE"""),"85g")</f>
        <v>85g</v>
      </c>
      <c r="N75" s="65" t="str">
        <f>IFERROR(__xludf.DUMMYFUNCTION("""COMPUTED_VALUE"""),"95x")</f>
        <v>95x</v>
      </c>
      <c r="O75" s="65" t="str">
        <f>IFERROR(__xludf.DUMMYFUNCTION("""COMPUTED_VALUE"""),"95x")</f>
        <v>95x</v>
      </c>
      <c r="P75" s="64">
        <f>IFERROR(__xludf.DUMMYFUNCTION("""COMPUTED_VALUE"""),85.0)</f>
        <v>85</v>
      </c>
      <c r="Q75" s="65" t="str">
        <f>IFERROR(__xludf.DUMMYFUNCTION("""COMPUTED_VALUE"""),"225g")</f>
        <v>225g</v>
      </c>
      <c r="R75" s="65" t="str">
        <f>IFERROR(__xludf.DUMMYFUNCTION("""COMPUTED_VALUE"""),"240x")</f>
        <v>240x</v>
      </c>
      <c r="S75" s="65" t="str">
        <f>IFERROR(__xludf.DUMMYFUNCTION("""COMPUTED_VALUE"""),"240g")</f>
        <v>240g</v>
      </c>
      <c r="T75" s="64">
        <f>IFERROR(__xludf.DUMMYFUNCTION("""COMPUTED_VALUE"""),240.0)</f>
        <v>240</v>
      </c>
      <c r="U75" s="66">
        <f>IFERROR(__xludf.DUMMYFUNCTION("""COMPUTED_VALUE"""),530.0)</f>
        <v>530</v>
      </c>
      <c r="V75" s="78">
        <f>IFERROR(__xludf.DUMMYFUNCTION("""COMPUTED_VALUE"""),3.557046979865772)</f>
        <v>3.55704698</v>
      </c>
    </row>
    <row r="76">
      <c r="A76" s="73">
        <v>165.0</v>
      </c>
      <c r="B76" s="68" t="s">
        <v>120</v>
      </c>
      <c r="C76" s="68">
        <v>12.0</v>
      </c>
      <c r="D76" s="68" t="str">
        <f>IFERROR(__xludf.DUMMYFUNCTION("ARRAY_CONSTRAIN(sort(filter(WJV_Tie_Breaker!D6:X285,WJV_Tie_Breaker!D6:D285=""165 WJV""),18,false,4,true,20,false,21,true),10,19)"),"165 WJV")</f>
        <v>165 WJV</v>
      </c>
      <c r="E76" s="69" t="str">
        <f>IFERROR(__xludf.DUMMYFUNCTION("""COMPUTED_VALUE"""),"WJV")</f>
        <v>WJV</v>
      </c>
      <c r="F76" s="70" t="str">
        <f>IFERROR(__xludf.DUMMYFUNCTION("""COMPUTED_VALUE"""),"Grand Blanc")</f>
        <v>Grand Blanc</v>
      </c>
      <c r="G76" s="69">
        <f>IFERROR(__xludf.DUMMYFUNCTION("""COMPUTED_VALUE"""),163.9)</f>
        <v>163.9</v>
      </c>
      <c r="H76" s="70" t="str">
        <f>IFERROR(__xludf.DUMMYFUNCTION("""COMPUTED_VALUE"""),"Petiprin, Annie")</f>
        <v>Petiprin, Annie</v>
      </c>
      <c r="I76" s="71" t="str">
        <f>IFERROR(__xludf.DUMMYFUNCTION("""COMPUTED_VALUE"""),"205g")</f>
        <v>205g</v>
      </c>
      <c r="J76" s="69" t="str">
        <f>IFERROR(__xludf.DUMMYFUNCTION("""COMPUTED_VALUE"""),"225g")</f>
        <v>225g</v>
      </c>
      <c r="K76" s="69" t="str">
        <f>IFERROR(__xludf.DUMMYFUNCTION("""COMPUTED_VALUE"""),"245g")</f>
        <v>245g</v>
      </c>
      <c r="L76" s="64">
        <f>IFERROR(__xludf.DUMMYFUNCTION("""COMPUTED_VALUE"""),245.0)</f>
        <v>245</v>
      </c>
      <c r="M76" s="72" t="str">
        <f>IFERROR(__xludf.DUMMYFUNCTION("""COMPUTED_VALUE"""),"85g")</f>
        <v>85g</v>
      </c>
      <c r="N76" s="72" t="str">
        <f>IFERROR(__xludf.DUMMYFUNCTION("""COMPUTED_VALUE"""),"105g")</f>
        <v>105g</v>
      </c>
      <c r="O76" s="72" t="str">
        <f>IFERROR(__xludf.DUMMYFUNCTION("""COMPUTED_VALUE"""),"125x")</f>
        <v>125x</v>
      </c>
      <c r="P76" s="64">
        <f>IFERROR(__xludf.DUMMYFUNCTION("""COMPUTED_VALUE"""),105.0)</f>
        <v>105</v>
      </c>
      <c r="Q76" s="72" t="str">
        <f>IFERROR(__xludf.DUMMYFUNCTION("""COMPUTED_VALUE"""),"225g")</f>
        <v>225g</v>
      </c>
      <c r="R76" s="72" t="str">
        <f>IFERROR(__xludf.DUMMYFUNCTION("""COMPUTED_VALUE"""),"250g")</f>
        <v>250g</v>
      </c>
      <c r="S76" s="72" t="str">
        <f>IFERROR(__xludf.DUMMYFUNCTION("""COMPUTED_VALUE"""),"290g")</f>
        <v>290g</v>
      </c>
      <c r="T76" s="64">
        <f>IFERROR(__xludf.DUMMYFUNCTION("""COMPUTED_VALUE"""),290.0)</f>
        <v>290</v>
      </c>
      <c r="U76" s="66">
        <f>IFERROR(__xludf.DUMMYFUNCTION("""COMPUTED_VALUE"""),640.0)</f>
        <v>640</v>
      </c>
      <c r="V76" s="79">
        <f>IFERROR(__xludf.DUMMYFUNCTION("""COMPUTED_VALUE"""),3.9048200122025625)</f>
        <v>3.904820012</v>
      </c>
    </row>
    <row r="77">
      <c r="B77" s="68" t="s">
        <v>121</v>
      </c>
      <c r="C77" s="68">
        <v>9.0</v>
      </c>
      <c r="D77" s="68" t="str">
        <f>IFERROR(__xludf.DUMMYFUNCTION("""COMPUTED_VALUE"""),"165 WJV")</f>
        <v>165 WJV</v>
      </c>
      <c r="E77" s="69" t="str">
        <f>IFERROR(__xludf.DUMMYFUNCTION("""COMPUTED_VALUE"""),"WJV")</f>
        <v>WJV</v>
      </c>
      <c r="F77" s="70" t="str">
        <f>IFERROR(__xludf.DUMMYFUNCTION("""COMPUTED_VALUE"""),"Central Lake")</f>
        <v>Central Lake</v>
      </c>
      <c r="G77" s="69">
        <f>IFERROR(__xludf.DUMMYFUNCTION("""COMPUTED_VALUE"""),163.4)</f>
        <v>163.4</v>
      </c>
      <c r="H77" s="70" t="str">
        <f>IFERROR(__xludf.DUMMYFUNCTION("""COMPUTED_VALUE"""),"Shaw, Angel")</f>
        <v>Shaw, Angel</v>
      </c>
      <c r="I77" s="71" t="str">
        <f>IFERROR(__xludf.DUMMYFUNCTION("""COMPUTED_VALUE"""),"195g")</f>
        <v>195g</v>
      </c>
      <c r="J77" s="69" t="str">
        <f>IFERROR(__xludf.DUMMYFUNCTION("""COMPUTED_VALUE"""),"210g")</f>
        <v>210g</v>
      </c>
      <c r="K77" s="69" t="str">
        <f>IFERROR(__xludf.DUMMYFUNCTION("""COMPUTED_VALUE"""),"220x")</f>
        <v>220x</v>
      </c>
      <c r="L77" s="64">
        <f>IFERROR(__xludf.DUMMYFUNCTION("""COMPUTED_VALUE"""),210.0)</f>
        <v>210</v>
      </c>
      <c r="M77" s="72" t="str">
        <f>IFERROR(__xludf.DUMMYFUNCTION("""COMPUTED_VALUE"""),"115g")</f>
        <v>115g</v>
      </c>
      <c r="N77" s="72" t="str">
        <f>IFERROR(__xludf.DUMMYFUNCTION("""COMPUTED_VALUE"""),"125g")</f>
        <v>125g</v>
      </c>
      <c r="O77" s="72" t="str">
        <f>IFERROR(__xludf.DUMMYFUNCTION("""COMPUTED_VALUE"""),"130x")</f>
        <v>130x</v>
      </c>
      <c r="P77" s="64">
        <f>IFERROR(__xludf.DUMMYFUNCTION("""COMPUTED_VALUE"""),125.0)</f>
        <v>125</v>
      </c>
      <c r="Q77" s="72" t="str">
        <f>IFERROR(__xludf.DUMMYFUNCTION("""COMPUTED_VALUE"""),"250g")</f>
        <v>250g</v>
      </c>
      <c r="R77" s="72" t="str">
        <f>IFERROR(__xludf.DUMMYFUNCTION("""COMPUTED_VALUE"""),"270g")</f>
        <v>270g</v>
      </c>
      <c r="S77" s="72" t="str">
        <f>IFERROR(__xludf.DUMMYFUNCTION("""COMPUTED_VALUE"""),"285g")</f>
        <v>285g</v>
      </c>
      <c r="T77" s="64">
        <f>IFERROR(__xludf.DUMMYFUNCTION("""COMPUTED_VALUE"""),285.0)</f>
        <v>285</v>
      </c>
      <c r="U77" s="66">
        <f>IFERROR(__xludf.DUMMYFUNCTION("""COMPUTED_VALUE"""),620.0)</f>
        <v>620</v>
      </c>
      <c r="V77" s="79">
        <f>IFERROR(__xludf.DUMMYFUNCTION("""COMPUTED_VALUE"""),3.7943696450428397)</f>
        <v>3.794369645</v>
      </c>
    </row>
    <row r="78">
      <c r="B78" s="68" t="s">
        <v>122</v>
      </c>
      <c r="C78" s="68">
        <f>if(countif(F76:F77,F78)&gt;1,0,8)</f>
        <v>8</v>
      </c>
      <c r="D78" s="68" t="str">
        <f>IFERROR(__xludf.DUMMYFUNCTION("""COMPUTED_VALUE"""),"165 WJV")</f>
        <v>165 WJV</v>
      </c>
      <c r="E78" s="69" t="str">
        <f>IFERROR(__xludf.DUMMYFUNCTION("""COMPUTED_VALUE"""),"WJV")</f>
        <v>WJV</v>
      </c>
      <c r="F78" s="70" t="str">
        <f>IFERROR(__xludf.DUMMYFUNCTION("""COMPUTED_VALUE"""),"Davison")</f>
        <v>Davison</v>
      </c>
      <c r="G78" s="69">
        <f>IFERROR(__xludf.DUMMYFUNCTION("""COMPUTED_VALUE"""),155.6)</f>
        <v>155.6</v>
      </c>
      <c r="H78" s="70" t="str">
        <f>IFERROR(__xludf.DUMMYFUNCTION("""COMPUTED_VALUE"""),"Schmidt, Jessica")</f>
        <v>Schmidt, Jessica</v>
      </c>
      <c r="I78" s="71" t="str">
        <f>IFERROR(__xludf.DUMMYFUNCTION("""COMPUTED_VALUE"""),"215g")</f>
        <v>215g</v>
      </c>
      <c r="J78" s="69" t="str">
        <f>IFERROR(__xludf.DUMMYFUNCTION("""COMPUTED_VALUE"""),"225g")</f>
        <v>225g</v>
      </c>
      <c r="K78" s="69" t="str">
        <f>IFERROR(__xludf.DUMMYFUNCTION("""COMPUTED_VALUE"""),"235x")</f>
        <v>235x</v>
      </c>
      <c r="L78" s="64">
        <f>IFERROR(__xludf.DUMMYFUNCTION("""COMPUTED_VALUE"""),225.0)</f>
        <v>225</v>
      </c>
      <c r="M78" s="72" t="str">
        <f>IFERROR(__xludf.DUMMYFUNCTION("""COMPUTED_VALUE"""),"115g")</f>
        <v>115g</v>
      </c>
      <c r="N78" s="72" t="str">
        <f>IFERROR(__xludf.DUMMYFUNCTION("""COMPUTED_VALUE"""),"125g")</f>
        <v>125g</v>
      </c>
      <c r="O78" s="72" t="str">
        <f>IFERROR(__xludf.DUMMYFUNCTION("""COMPUTED_VALUE"""),"135x")</f>
        <v>135x</v>
      </c>
      <c r="P78" s="64">
        <f>IFERROR(__xludf.DUMMYFUNCTION("""COMPUTED_VALUE"""),125.0)</f>
        <v>125</v>
      </c>
      <c r="Q78" s="72" t="str">
        <f>IFERROR(__xludf.DUMMYFUNCTION("""COMPUTED_VALUE"""),"225g")</f>
        <v>225g</v>
      </c>
      <c r="R78" s="72" t="str">
        <f>IFERROR(__xludf.DUMMYFUNCTION("""COMPUTED_VALUE"""),"250g")</f>
        <v>250g</v>
      </c>
      <c r="S78" s="72" t="str">
        <f>IFERROR(__xludf.DUMMYFUNCTION("""COMPUTED_VALUE"""),"280x")</f>
        <v>280x</v>
      </c>
      <c r="T78" s="64">
        <f>IFERROR(__xludf.DUMMYFUNCTION("""COMPUTED_VALUE"""),250.0)</f>
        <v>250</v>
      </c>
      <c r="U78" s="66">
        <f>IFERROR(__xludf.DUMMYFUNCTION("""COMPUTED_VALUE"""),600.0)</f>
        <v>600</v>
      </c>
      <c r="V78" s="79">
        <f>IFERROR(__xludf.DUMMYFUNCTION("""COMPUTED_VALUE"""),3.856041131105399)</f>
        <v>3.856041131</v>
      </c>
    </row>
    <row r="79">
      <c r="B79" s="68" t="s">
        <v>123</v>
      </c>
      <c r="C79" s="68">
        <f>if(countif(F76:F78,F79)&gt;1,0,7)</f>
        <v>7</v>
      </c>
      <c r="D79" s="68" t="str">
        <f>IFERROR(__xludf.DUMMYFUNCTION("""COMPUTED_VALUE"""),"165 WJV")</f>
        <v>165 WJV</v>
      </c>
      <c r="E79" s="69" t="str">
        <f>IFERROR(__xludf.DUMMYFUNCTION("""COMPUTED_VALUE"""),"WJV")</f>
        <v>WJV</v>
      </c>
      <c r="F79" s="70" t="str">
        <f>IFERROR(__xludf.DUMMYFUNCTION("""COMPUTED_VALUE"""),"Cros-Lex")</f>
        <v>Cros-Lex</v>
      </c>
      <c r="G79" s="69">
        <f>IFERROR(__xludf.DUMMYFUNCTION("""COMPUTED_VALUE"""),161.8)</f>
        <v>161.8</v>
      </c>
      <c r="H79" s="70" t="str">
        <f>IFERROR(__xludf.DUMMYFUNCTION("""COMPUTED_VALUE"""),"VanCamp, Julie")</f>
        <v>VanCamp, Julie</v>
      </c>
      <c r="I79" s="71" t="str">
        <f>IFERROR(__xludf.DUMMYFUNCTION("""COMPUTED_VALUE"""),"230g")</f>
        <v>230g</v>
      </c>
      <c r="J79" s="69" t="str">
        <f>IFERROR(__xludf.DUMMYFUNCTION("""COMPUTED_VALUE"""),"245g")</f>
        <v>245g</v>
      </c>
      <c r="K79" s="69" t="str">
        <f>IFERROR(__xludf.DUMMYFUNCTION("""COMPUTED_VALUE"""),"260x")</f>
        <v>260x</v>
      </c>
      <c r="L79" s="64">
        <f>IFERROR(__xludf.DUMMYFUNCTION("""COMPUTED_VALUE"""),245.0)</f>
        <v>245</v>
      </c>
      <c r="M79" s="72" t="str">
        <f>IFERROR(__xludf.DUMMYFUNCTION("""COMPUTED_VALUE"""),"100g")</f>
        <v>100g</v>
      </c>
      <c r="N79" s="72" t="str">
        <f>IFERROR(__xludf.DUMMYFUNCTION("""COMPUTED_VALUE"""),"110x")</f>
        <v>110x</v>
      </c>
      <c r="O79" s="72" t="str">
        <f>IFERROR(__xludf.DUMMYFUNCTION("""COMPUTED_VALUE"""),"110x")</f>
        <v>110x</v>
      </c>
      <c r="P79" s="64">
        <f>IFERROR(__xludf.DUMMYFUNCTION("""COMPUTED_VALUE"""),100.0)</f>
        <v>100</v>
      </c>
      <c r="Q79" s="72" t="str">
        <f>IFERROR(__xludf.DUMMYFUNCTION("""COMPUTED_VALUE"""),"220g")</f>
        <v>220g</v>
      </c>
      <c r="R79" s="72" t="str">
        <f>IFERROR(__xludf.DUMMYFUNCTION("""COMPUTED_VALUE"""),"235x")</f>
        <v>235x</v>
      </c>
      <c r="S79" s="72" t="str">
        <f>IFERROR(__xludf.DUMMYFUNCTION("""COMPUTED_VALUE"""),"235g")</f>
        <v>235g</v>
      </c>
      <c r="T79" s="64">
        <f>IFERROR(__xludf.DUMMYFUNCTION("""COMPUTED_VALUE"""),235.0)</f>
        <v>235</v>
      </c>
      <c r="U79" s="66">
        <f>IFERROR(__xludf.DUMMYFUNCTION("""COMPUTED_VALUE"""),580.0)</f>
        <v>580</v>
      </c>
      <c r="V79" s="79">
        <f>IFERROR(__xludf.DUMMYFUNCTION("""COMPUTED_VALUE"""),3.584672435105068)</f>
        <v>3.584672435</v>
      </c>
    </row>
    <row r="80">
      <c r="B80" s="68" t="s">
        <v>124</v>
      </c>
      <c r="C80" s="68">
        <f>if(countif(F76:F79,F80)&gt;1,0,6)</f>
        <v>6</v>
      </c>
      <c r="D80" s="68" t="str">
        <f>IFERROR(__xludf.DUMMYFUNCTION("""COMPUTED_VALUE"""),"165 WJV")</f>
        <v>165 WJV</v>
      </c>
      <c r="E80" s="69" t="str">
        <f>IFERROR(__xludf.DUMMYFUNCTION("""COMPUTED_VALUE"""),"WJV")</f>
        <v>WJV</v>
      </c>
      <c r="F80" s="70" t="str">
        <f>IFERROR(__xludf.DUMMYFUNCTION("""COMPUTED_VALUE"""),"Central Montcalm")</f>
        <v>Central Montcalm</v>
      </c>
      <c r="G80" s="69">
        <f>IFERROR(__xludf.DUMMYFUNCTION("""COMPUTED_VALUE"""),162.8)</f>
        <v>162.8</v>
      </c>
      <c r="H80" s="70" t="str">
        <f>IFERROR(__xludf.DUMMYFUNCTION("""COMPUTED_VALUE"""),"Hoover, Lauren")</f>
        <v>Hoover, Lauren</v>
      </c>
      <c r="I80" s="71" t="str">
        <f>IFERROR(__xludf.DUMMYFUNCTION("""COMPUTED_VALUE"""),"215x")</f>
        <v>215x</v>
      </c>
      <c r="J80" s="69" t="str">
        <f>IFERROR(__xludf.DUMMYFUNCTION("""COMPUTED_VALUE"""),"225g")</f>
        <v>225g</v>
      </c>
      <c r="K80" s="69" t="str">
        <f>IFERROR(__xludf.DUMMYFUNCTION("""COMPUTED_VALUE"""),"230g")</f>
        <v>230g</v>
      </c>
      <c r="L80" s="64">
        <f>IFERROR(__xludf.DUMMYFUNCTION("""COMPUTED_VALUE"""),230.0)</f>
        <v>230</v>
      </c>
      <c r="M80" s="72" t="str">
        <f>IFERROR(__xludf.DUMMYFUNCTION("""COMPUTED_VALUE"""),"85g")</f>
        <v>85g</v>
      </c>
      <c r="N80" s="72" t="str">
        <f>IFERROR(__xludf.DUMMYFUNCTION("""COMPUTED_VALUE"""),"90g")</f>
        <v>90g</v>
      </c>
      <c r="O80" s="72" t="str">
        <f>IFERROR(__xludf.DUMMYFUNCTION("""COMPUTED_VALUE"""),"95g")</f>
        <v>95g</v>
      </c>
      <c r="P80" s="64">
        <f>IFERROR(__xludf.DUMMYFUNCTION("""COMPUTED_VALUE"""),95.0)</f>
        <v>95</v>
      </c>
      <c r="Q80" s="72" t="str">
        <f>IFERROR(__xludf.DUMMYFUNCTION("""COMPUTED_VALUE"""),"215g")</f>
        <v>215g</v>
      </c>
      <c r="R80" s="72" t="str">
        <f>IFERROR(__xludf.DUMMYFUNCTION("""COMPUTED_VALUE"""),"235g")</f>
        <v>235g</v>
      </c>
      <c r="S80" s="72" t="str">
        <f>IFERROR(__xludf.DUMMYFUNCTION("""COMPUTED_VALUE"""),"255g")</f>
        <v>255g</v>
      </c>
      <c r="T80" s="64">
        <f>IFERROR(__xludf.DUMMYFUNCTION("""COMPUTED_VALUE"""),255.0)</f>
        <v>255</v>
      </c>
      <c r="U80" s="66">
        <f>IFERROR(__xludf.DUMMYFUNCTION("""COMPUTED_VALUE"""),580.0)</f>
        <v>580</v>
      </c>
      <c r="V80" s="79">
        <f>IFERROR(__xludf.DUMMYFUNCTION("""COMPUTED_VALUE"""),3.5626535626535625)</f>
        <v>3.562653563</v>
      </c>
    </row>
    <row r="81">
      <c r="B81" s="68" t="s">
        <v>125</v>
      </c>
      <c r="C81" s="68">
        <f>if(countif(F76:F80,F81)&gt;1,0,5)</f>
        <v>5</v>
      </c>
      <c r="D81" s="68" t="str">
        <f>IFERROR(__xludf.DUMMYFUNCTION("""COMPUTED_VALUE"""),"165 WJV")</f>
        <v>165 WJV</v>
      </c>
      <c r="E81" s="69" t="str">
        <f>IFERROR(__xludf.DUMMYFUNCTION("""COMPUTED_VALUE"""),"WJV")</f>
        <v>WJV</v>
      </c>
      <c r="F81" s="70" t="str">
        <f>IFERROR(__xludf.DUMMYFUNCTION("""COMPUTED_VALUE"""),"Lake Orion")</f>
        <v>Lake Orion</v>
      </c>
      <c r="G81" s="69">
        <f>IFERROR(__xludf.DUMMYFUNCTION("""COMPUTED_VALUE"""),158.0)</f>
        <v>158</v>
      </c>
      <c r="H81" s="70" t="str">
        <f>IFERROR(__xludf.DUMMYFUNCTION("""COMPUTED_VALUE"""),"Hoffman, Elizabeth")</f>
        <v>Hoffman, Elizabeth</v>
      </c>
      <c r="I81" s="71" t="str">
        <f>IFERROR(__xludf.DUMMYFUNCTION("""COMPUTED_VALUE"""),"180g")</f>
        <v>180g</v>
      </c>
      <c r="J81" s="69" t="str">
        <f>IFERROR(__xludf.DUMMYFUNCTION("""COMPUTED_VALUE"""),"190g")</f>
        <v>190g</v>
      </c>
      <c r="K81" s="69" t="str">
        <f>IFERROR(__xludf.DUMMYFUNCTION("""COMPUTED_VALUE"""),"200g")</f>
        <v>200g</v>
      </c>
      <c r="L81" s="64">
        <f>IFERROR(__xludf.DUMMYFUNCTION("""COMPUTED_VALUE"""),200.0)</f>
        <v>200</v>
      </c>
      <c r="M81" s="72" t="str">
        <f>IFERROR(__xludf.DUMMYFUNCTION("""COMPUTED_VALUE"""),"105x")</f>
        <v>105x</v>
      </c>
      <c r="N81" s="72" t="str">
        <f>IFERROR(__xludf.DUMMYFUNCTION("""COMPUTED_VALUE"""),"105g")</f>
        <v>105g</v>
      </c>
      <c r="O81" s="72" t="str">
        <f>IFERROR(__xludf.DUMMYFUNCTION("""COMPUTED_VALUE"""),"110g")</f>
        <v>110g</v>
      </c>
      <c r="P81" s="64">
        <f>IFERROR(__xludf.DUMMYFUNCTION("""COMPUTED_VALUE"""),110.0)</f>
        <v>110</v>
      </c>
      <c r="Q81" s="72" t="str">
        <f>IFERROR(__xludf.DUMMYFUNCTION("""COMPUTED_VALUE"""),"240g")</f>
        <v>240g</v>
      </c>
      <c r="R81" s="72" t="str">
        <f>IFERROR(__xludf.DUMMYFUNCTION("""COMPUTED_VALUE"""),"255g")</f>
        <v>255g</v>
      </c>
      <c r="S81" s="72" t="str">
        <f>IFERROR(__xludf.DUMMYFUNCTION("""COMPUTED_VALUE"""),"265g")</f>
        <v>265g</v>
      </c>
      <c r="T81" s="64">
        <f>IFERROR(__xludf.DUMMYFUNCTION("""COMPUTED_VALUE"""),265.0)</f>
        <v>265</v>
      </c>
      <c r="U81" s="66">
        <f>IFERROR(__xludf.DUMMYFUNCTION("""COMPUTED_VALUE"""),575.0)</f>
        <v>575</v>
      </c>
      <c r="V81" s="79">
        <f>IFERROR(__xludf.DUMMYFUNCTION("""COMPUTED_VALUE"""),3.6392405063291138)</f>
        <v>3.639240506</v>
      </c>
    </row>
    <row r="82">
      <c r="B82" s="68" t="s">
        <v>126</v>
      </c>
      <c r="C82" s="68">
        <f>if(countif(F76:F81,F82)&gt;1,0,4)</f>
        <v>4</v>
      </c>
      <c r="D82" s="68" t="str">
        <f>IFERROR(__xludf.DUMMYFUNCTION("""COMPUTED_VALUE"""),"165 WJV")</f>
        <v>165 WJV</v>
      </c>
      <c r="E82" s="69" t="str">
        <f>IFERROR(__xludf.DUMMYFUNCTION("""COMPUTED_VALUE"""),"WJV")</f>
        <v>WJV</v>
      </c>
      <c r="F82" s="70" t="str">
        <f>IFERROR(__xludf.DUMMYFUNCTION("""COMPUTED_VALUE"""),"Lake Orion")</f>
        <v>Lake Orion</v>
      </c>
      <c r="G82" s="69">
        <f>IFERROR(__xludf.DUMMYFUNCTION("""COMPUTED_VALUE"""),156.0)</f>
        <v>156</v>
      </c>
      <c r="H82" s="70" t="str">
        <f>IFERROR(__xludf.DUMMYFUNCTION("""COMPUTED_VALUE"""),"Nuss, Abby")</f>
        <v>Nuss, Abby</v>
      </c>
      <c r="I82" s="71" t="str">
        <f>IFERROR(__xludf.DUMMYFUNCTION("""COMPUTED_VALUE"""),"195g")</f>
        <v>195g</v>
      </c>
      <c r="J82" s="69" t="str">
        <f>IFERROR(__xludf.DUMMYFUNCTION("""COMPUTED_VALUE"""),"215g")</f>
        <v>215g</v>
      </c>
      <c r="K82" s="69" t="str">
        <f>IFERROR(__xludf.DUMMYFUNCTION("""COMPUTED_VALUE"""),"230x")</f>
        <v>230x</v>
      </c>
      <c r="L82" s="64">
        <f>IFERROR(__xludf.DUMMYFUNCTION("""COMPUTED_VALUE"""),215.0)</f>
        <v>215</v>
      </c>
      <c r="M82" s="72" t="str">
        <f>IFERROR(__xludf.DUMMYFUNCTION("""COMPUTED_VALUE"""),"85g")</f>
        <v>85g</v>
      </c>
      <c r="N82" s="72" t="str">
        <f>IFERROR(__xludf.DUMMYFUNCTION("""COMPUTED_VALUE"""),"90g")</f>
        <v>90g</v>
      </c>
      <c r="O82" s="72" t="str">
        <f>IFERROR(__xludf.DUMMYFUNCTION("""COMPUTED_VALUE"""),"95x")</f>
        <v>95x</v>
      </c>
      <c r="P82" s="64">
        <f>IFERROR(__xludf.DUMMYFUNCTION("""COMPUTED_VALUE"""),90.0)</f>
        <v>90</v>
      </c>
      <c r="Q82" s="72" t="str">
        <f>IFERROR(__xludf.DUMMYFUNCTION("""COMPUTED_VALUE"""),"225g")</f>
        <v>225g</v>
      </c>
      <c r="R82" s="72" t="str">
        <f>IFERROR(__xludf.DUMMYFUNCTION("""COMPUTED_VALUE"""),"250g")</f>
        <v>250g</v>
      </c>
      <c r="S82" s="72" t="str">
        <f>IFERROR(__xludf.DUMMYFUNCTION("""COMPUTED_VALUE"""),"260g")</f>
        <v>260g</v>
      </c>
      <c r="T82" s="64">
        <f>IFERROR(__xludf.DUMMYFUNCTION("""COMPUTED_VALUE"""),260.0)</f>
        <v>260</v>
      </c>
      <c r="U82" s="66">
        <f>IFERROR(__xludf.DUMMYFUNCTION("""COMPUTED_VALUE"""),565.0)</f>
        <v>565</v>
      </c>
      <c r="V82" s="79">
        <f>IFERROR(__xludf.DUMMYFUNCTION("""COMPUTED_VALUE"""),3.621794871794872)</f>
        <v>3.621794872</v>
      </c>
    </row>
    <row r="83">
      <c r="B83" s="68" t="s">
        <v>127</v>
      </c>
      <c r="C83" s="68">
        <f>if(countif(F76:F82,F83)&gt;1,0,3)</f>
        <v>3</v>
      </c>
      <c r="D83" s="68" t="str">
        <f>IFERROR(__xludf.DUMMYFUNCTION("""COMPUTED_VALUE"""),"165 WJV")</f>
        <v>165 WJV</v>
      </c>
      <c r="E83" s="69" t="str">
        <f>IFERROR(__xludf.DUMMYFUNCTION("""COMPUTED_VALUE"""),"WJV")</f>
        <v>WJV</v>
      </c>
      <c r="F83" s="70" t="str">
        <f>IFERROR(__xludf.DUMMYFUNCTION("""COMPUTED_VALUE"""),"Birch Run")</f>
        <v>Birch Run</v>
      </c>
      <c r="G83" s="69">
        <f>IFERROR(__xludf.DUMMYFUNCTION("""COMPUTED_VALUE"""),161.0)</f>
        <v>161</v>
      </c>
      <c r="H83" s="70" t="str">
        <f>IFERROR(__xludf.DUMMYFUNCTION("""COMPUTED_VALUE"""),"Konsdorf, Destiny")</f>
        <v>Konsdorf, Destiny</v>
      </c>
      <c r="I83" s="71" t="str">
        <f>IFERROR(__xludf.DUMMYFUNCTION("""COMPUTED_VALUE"""),"210g")</f>
        <v>210g</v>
      </c>
      <c r="J83" s="69" t="str">
        <f>IFERROR(__xludf.DUMMYFUNCTION("""COMPUTED_VALUE"""),"220x")</f>
        <v>220x</v>
      </c>
      <c r="K83" s="69" t="str">
        <f>IFERROR(__xludf.DUMMYFUNCTION("""COMPUTED_VALUE"""),"215g")</f>
        <v>215g</v>
      </c>
      <c r="L83" s="64">
        <f>IFERROR(__xludf.DUMMYFUNCTION("""COMPUTED_VALUE"""),215.0)</f>
        <v>215</v>
      </c>
      <c r="M83" s="72" t="str">
        <f>IFERROR(__xludf.DUMMYFUNCTION("""COMPUTED_VALUE"""),"95g")</f>
        <v>95g</v>
      </c>
      <c r="N83" s="72" t="str">
        <f>IFERROR(__xludf.DUMMYFUNCTION("""COMPUTED_VALUE"""),"105g")</f>
        <v>105g</v>
      </c>
      <c r="O83" s="72" t="str">
        <f>IFERROR(__xludf.DUMMYFUNCTION("""COMPUTED_VALUE"""),"115x")</f>
        <v>115x</v>
      </c>
      <c r="P83" s="64">
        <f>IFERROR(__xludf.DUMMYFUNCTION("""COMPUTED_VALUE"""),105.0)</f>
        <v>105</v>
      </c>
      <c r="Q83" s="72" t="str">
        <f>IFERROR(__xludf.DUMMYFUNCTION("""COMPUTED_VALUE"""),"195g")</f>
        <v>195g</v>
      </c>
      <c r="R83" s="72" t="str">
        <f>IFERROR(__xludf.DUMMYFUNCTION("""COMPUTED_VALUE"""),"215g")</f>
        <v>215g</v>
      </c>
      <c r="S83" s="72" t="str">
        <f>IFERROR(__xludf.DUMMYFUNCTION("""COMPUTED_VALUE"""),"235g")</f>
        <v>235g</v>
      </c>
      <c r="T83" s="64">
        <f>IFERROR(__xludf.DUMMYFUNCTION("""COMPUTED_VALUE"""),235.0)</f>
        <v>235</v>
      </c>
      <c r="U83" s="66">
        <f>IFERROR(__xludf.DUMMYFUNCTION("""COMPUTED_VALUE"""),555.0)</f>
        <v>555</v>
      </c>
      <c r="V83" s="79">
        <f>IFERROR(__xludf.DUMMYFUNCTION("""COMPUTED_VALUE"""),3.4472049689440993)</f>
        <v>3.447204969</v>
      </c>
    </row>
    <row r="84">
      <c r="B84" s="68" t="s">
        <v>128</v>
      </c>
      <c r="C84" s="68">
        <f>if(countif(F76:F83,F84)&gt;1,0,2)</f>
        <v>2</v>
      </c>
      <c r="D84" s="68" t="str">
        <f>IFERROR(__xludf.DUMMYFUNCTION("""COMPUTED_VALUE"""),"165 WJV")</f>
        <v>165 WJV</v>
      </c>
      <c r="E84" s="69" t="str">
        <f>IFERROR(__xludf.DUMMYFUNCTION("""COMPUTED_VALUE"""),"WJV")</f>
        <v>WJV</v>
      </c>
      <c r="F84" s="70" t="str">
        <f>IFERROR(__xludf.DUMMYFUNCTION("""COMPUTED_VALUE"""),"Royal Oak")</f>
        <v>Royal Oak</v>
      </c>
      <c r="G84" s="69">
        <f>IFERROR(__xludf.DUMMYFUNCTION("""COMPUTED_VALUE"""),162.8)</f>
        <v>162.8</v>
      </c>
      <c r="H84" s="70" t="str">
        <f>IFERROR(__xludf.DUMMYFUNCTION("""COMPUTED_VALUE"""),"Wardlaw, Alexa")</f>
        <v>Wardlaw, Alexa</v>
      </c>
      <c r="I84" s="71" t="str">
        <f>IFERROR(__xludf.DUMMYFUNCTION("""COMPUTED_VALUE"""),"185g")</f>
        <v>185g</v>
      </c>
      <c r="J84" s="69" t="str">
        <f>IFERROR(__xludf.DUMMYFUNCTION("""COMPUTED_VALUE"""),"200g")</f>
        <v>200g</v>
      </c>
      <c r="K84" s="69" t="str">
        <f>IFERROR(__xludf.DUMMYFUNCTION("""COMPUTED_VALUE"""),"210g")</f>
        <v>210g</v>
      </c>
      <c r="L84" s="64">
        <f>IFERROR(__xludf.DUMMYFUNCTION("""COMPUTED_VALUE"""),210.0)</f>
        <v>210</v>
      </c>
      <c r="M84" s="72" t="str">
        <f>IFERROR(__xludf.DUMMYFUNCTION("""COMPUTED_VALUE"""),"100g")</f>
        <v>100g</v>
      </c>
      <c r="N84" s="72" t="str">
        <f>IFERROR(__xludf.DUMMYFUNCTION("""COMPUTED_VALUE"""),"110g")</f>
        <v>110g</v>
      </c>
      <c r="O84" s="72" t="str">
        <f>IFERROR(__xludf.DUMMYFUNCTION("""COMPUTED_VALUE"""),"115x")</f>
        <v>115x</v>
      </c>
      <c r="P84" s="64">
        <f>IFERROR(__xludf.DUMMYFUNCTION("""COMPUTED_VALUE"""),110.0)</f>
        <v>110</v>
      </c>
      <c r="Q84" s="72" t="str">
        <f>IFERROR(__xludf.DUMMYFUNCTION("""COMPUTED_VALUE"""),"200g")</f>
        <v>200g</v>
      </c>
      <c r="R84" s="72" t="str">
        <f>IFERROR(__xludf.DUMMYFUNCTION("""COMPUTED_VALUE"""),"215g")</f>
        <v>215g</v>
      </c>
      <c r="S84" s="72" t="str">
        <f>IFERROR(__xludf.DUMMYFUNCTION("""COMPUTED_VALUE"""),"225g")</f>
        <v>225g</v>
      </c>
      <c r="T84" s="64">
        <f>IFERROR(__xludf.DUMMYFUNCTION("""COMPUTED_VALUE"""),225.0)</f>
        <v>225</v>
      </c>
      <c r="U84" s="66">
        <f>IFERROR(__xludf.DUMMYFUNCTION("""COMPUTED_VALUE"""),545.0)</f>
        <v>545</v>
      </c>
      <c r="V84" s="79">
        <f>IFERROR(__xludf.DUMMYFUNCTION("""COMPUTED_VALUE"""),3.3476658476658474)</f>
        <v>3.347665848</v>
      </c>
    </row>
    <row r="85">
      <c r="B85" s="68" t="s">
        <v>129</v>
      </c>
      <c r="C85" s="68">
        <f>if(countif(F76:F84,F85)&gt;1,0,1)</f>
        <v>1</v>
      </c>
      <c r="D85" s="68" t="str">
        <f>IFERROR(__xludf.DUMMYFUNCTION("""COMPUTED_VALUE"""),"165 WJV")</f>
        <v>165 WJV</v>
      </c>
      <c r="E85" s="69" t="str">
        <f>IFERROR(__xludf.DUMMYFUNCTION("""COMPUTED_VALUE"""),"WJV")</f>
        <v>WJV</v>
      </c>
      <c r="F85" s="70" t="str">
        <f>IFERROR(__xludf.DUMMYFUNCTION("""COMPUTED_VALUE"""),"Brighton")</f>
        <v>Brighton</v>
      </c>
      <c r="G85" s="69">
        <f>IFERROR(__xludf.DUMMYFUNCTION("""COMPUTED_VALUE"""),163.2)</f>
        <v>163.2</v>
      </c>
      <c r="H85" s="70" t="str">
        <f>IFERROR(__xludf.DUMMYFUNCTION("""COMPUTED_VALUE"""),"Cacicedo, Karly")</f>
        <v>Cacicedo, Karly</v>
      </c>
      <c r="I85" s="71" t="str">
        <f>IFERROR(__xludf.DUMMYFUNCTION("""COMPUTED_VALUE"""),"195g")</f>
        <v>195g</v>
      </c>
      <c r="J85" s="69" t="str">
        <f>IFERROR(__xludf.DUMMYFUNCTION("""COMPUTED_VALUE"""),"210x")</f>
        <v>210x</v>
      </c>
      <c r="K85" s="69" t="str">
        <f>IFERROR(__xludf.DUMMYFUNCTION("""COMPUTED_VALUE"""),"210g")</f>
        <v>210g</v>
      </c>
      <c r="L85" s="64">
        <f>IFERROR(__xludf.DUMMYFUNCTION("""COMPUTED_VALUE"""),210.0)</f>
        <v>210</v>
      </c>
      <c r="M85" s="72" t="str">
        <f>IFERROR(__xludf.DUMMYFUNCTION("""COMPUTED_VALUE"""),"95g")</f>
        <v>95g</v>
      </c>
      <c r="N85" s="72" t="str">
        <f>IFERROR(__xludf.DUMMYFUNCTION("""COMPUTED_VALUE"""),"105x")</f>
        <v>105x</v>
      </c>
      <c r="O85" s="72" t="str">
        <f>IFERROR(__xludf.DUMMYFUNCTION("""COMPUTED_VALUE"""),"105g")</f>
        <v>105g</v>
      </c>
      <c r="P85" s="64">
        <f>IFERROR(__xludf.DUMMYFUNCTION("""COMPUTED_VALUE"""),105.0)</f>
        <v>105</v>
      </c>
      <c r="Q85" s="72" t="str">
        <f>IFERROR(__xludf.DUMMYFUNCTION("""COMPUTED_VALUE"""),"210g")</f>
        <v>210g</v>
      </c>
      <c r="R85" s="72" t="str">
        <f>IFERROR(__xludf.DUMMYFUNCTION("""COMPUTED_VALUE"""),"230g")</f>
        <v>230g</v>
      </c>
      <c r="S85" s="72" t="str">
        <f>IFERROR(__xludf.DUMMYFUNCTION("""COMPUTED_VALUE"""),"240x")</f>
        <v>240x</v>
      </c>
      <c r="T85" s="64">
        <f>IFERROR(__xludf.DUMMYFUNCTION("""COMPUTED_VALUE"""),230.0)</f>
        <v>230</v>
      </c>
      <c r="U85" s="66">
        <f>IFERROR(__xludf.DUMMYFUNCTION("""COMPUTED_VALUE"""),545.0)</f>
        <v>545</v>
      </c>
      <c r="V85" s="79">
        <f>IFERROR(__xludf.DUMMYFUNCTION("""COMPUTED_VALUE"""),3.339460784313726)</f>
        <v>3.339460784</v>
      </c>
    </row>
    <row r="86">
      <c r="A86" s="58">
        <v>181.0</v>
      </c>
      <c r="B86" s="59" t="s">
        <v>120</v>
      </c>
      <c r="C86" s="59">
        <v>12.0</v>
      </c>
      <c r="D86" s="59" t="str">
        <f>IFERROR(__xludf.DUMMYFUNCTION("ARRAY_CONSTRAIN(sort(filter(WJV_Tie_Breaker!D6:X285,WJV_Tie_Breaker!D6:D285=""181 WJV""),18,false,4,true,20,false,21,true),10,19)"),"181 WJV")</f>
        <v>181 WJV</v>
      </c>
      <c r="E86" s="61" t="str">
        <f>IFERROR(__xludf.DUMMYFUNCTION("""COMPUTED_VALUE"""),"WJV")</f>
        <v>WJV</v>
      </c>
      <c r="F86" s="62" t="str">
        <f>IFERROR(__xludf.DUMMYFUNCTION("""COMPUTED_VALUE"""),"Central Lake")</f>
        <v>Central Lake</v>
      </c>
      <c r="G86" s="61">
        <f>IFERROR(__xludf.DUMMYFUNCTION("""COMPUTED_VALUE"""),179.6)</f>
        <v>179.6</v>
      </c>
      <c r="H86" s="62" t="str">
        <f>IFERROR(__xludf.DUMMYFUNCTION("""COMPUTED_VALUE"""),"Diller, Brooklynn")</f>
        <v>Diller, Brooklynn</v>
      </c>
      <c r="I86" s="63" t="str">
        <f>IFERROR(__xludf.DUMMYFUNCTION("""COMPUTED_VALUE"""),"270g")</f>
        <v>270g</v>
      </c>
      <c r="J86" s="61" t="str">
        <f>IFERROR(__xludf.DUMMYFUNCTION("""COMPUTED_VALUE"""),"290g")</f>
        <v>290g</v>
      </c>
      <c r="K86" s="61" t="str">
        <f>IFERROR(__xludf.DUMMYFUNCTION("""COMPUTED_VALUE"""),"300g")</f>
        <v>300g</v>
      </c>
      <c r="L86" s="64">
        <f>IFERROR(__xludf.DUMMYFUNCTION("""COMPUTED_VALUE"""),300.0)</f>
        <v>300</v>
      </c>
      <c r="M86" s="65" t="str">
        <f>IFERROR(__xludf.DUMMYFUNCTION("""COMPUTED_VALUE"""),"125g")</f>
        <v>125g</v>
      </c>
      <c r="N86" s="65" t="str">
        <f>IFERROR(__xludf.DUMMYFUNCTION("""COMPUTED_VALUE"""),"135g")</f>
        <v>135g</v>
      </c>
      <c r="O86" s="65" t="str">
        <f>IFERROR(__xludf.DUMMYFUNCTION("""COMPUTED_VALUE"""),"140g")</f>
        <v>140g</v>
      </c>
      <c r="P86" s="64">
        <f>IFERROR(__xludf.DUMMYFUNCTION("""COMPUTED_VALUE"""),140.0)</f>
        <v>140</v>
      </c>
      <c r="Q86" s="65" t="str">
        <f>IFERROR(__xludf.DUMMYFUNCTION("""COMPUTED_VALUE"""),"290g")</f>
        <v>290g</v>
      </c>
      <c r="R86" s="65" t="str">
        <f>IFERROR(__xludf.DUMMYFUNCTION("""COMPUTED_VALUE"""),"305g")</f>
        <v>305g</v>
      </c>
      <c r="S86" s="65" t="str">
        <f>IFERROR(__xludf.DUMMYFUNCTION("""COMPUTED_VALUE"""),"315g")</f>
        <v>315g</v>
      </c>
      <c r="T86" s="64">
        <f>IFERROR(__xludf.DUMMYFUNCTION("""COMPUTED_VALUE"""),315.0)</f>
        <v>315</v>
      </c>
      <c r="U86" s="66">
        <f>IFERROR(__xludf.DUMMYFUNCTION("""COMPUTED_VALUE"""),755.0)</f>
        <v>755</v>
      </c>
      <c r="V86" s="78">
        <f>IFERROR(__xludf.DUMMYFUNCTION("""COMPUTED_VALUE"""),4.203786191536748)</f>
        <v>4.203786192</v>
      </c>
    </row>
    <row r="87">
      <c r="B87" s="59" t="s">
        <v>121</v>
      </c>
      <c r="C87" s="59">
        <v>9.0</v>
      </c>
      <c r="D87" s="59" t="str">
        <f>IFERROR(__xludf.DUMMYFUNCTION("""COMPUTED_VALUE"""),"181 WJV")</f>
        <v>181 WJV</v>
      </c>
      <c r="E87" s="61" t="str">
        <f>IFERROR(__xludf.DUMMYFUNCTION("""COMPUTED_VALUE"""),"WJV")</f>
        <v>WJV</v>
      </c>
      <c r="F87" s="62" t="str">
        <f>IFERROR(__xludf.DUMMYFUNCTION("""COMPUTED_VALUE"""),"Paw Paw")</f>
        <v>Paw Paw</v>
      </c>
      <c r="G87" s="61">
        <f>IFERROR(__xludf.DUMMYFUNCTION("""COMPUTED_VALUE"""),166.0)</f>
        <v>166</v>
      </c>
      <c r="H87" s="62" t="str">
        <f>IFERROR(__xludf.DUMMYFUNCTION("""COMPUTED_VALUE"""),"Daspan, Penial")</f>
        <v>Daspan, Penial</v>
      </c>
      <c r="I87" s="63" t="str">
        <f>IFERROR(__xludf.DUMMYFUNCTION("""COMPUTED_VALUE"""),"215g")</f>
        <v>215g</v>
      </c>
      <c r="J87" s="61" t="str">
        <f>IFERROR(__xludf.DUMMYFUNCTION("""COMPUTED_VALUE"""),"235g")</f>
        <v>235g</v>
      </c>
      <c r="K87" s="61" t="str">
        <f>IFERROR(__xludf.DUMMYFUNCTION("""COMPUTED_VALUE"""),"260g")</f>
        <v>260g</v>
      </c>
      <c r="L87" s="64">
        <f>IFERROR(__xludf.DUMMYFUNCTION("""COMPUTED_VALUE"""),260.0)</f>
        <v>260</v>
      </c>
      <c r="M87" s="65" t="str">
        <f>IFERROR(__xludf.DUMMYFUNCTION("""COMPUTED_VALUE"""),"125g")</f>
        <v>125g</v>
      </c>
      <c r="N87" s="65" t="str">
        <f>IFERROR(__xludf.DUMMYFUNCTION("""COMPUTED_VALUE"""),"140g")</f>
        <v>140g</v>
      </c>
      <c r="O87" s="65" t="str">
        <f>IFERROR(__xludf.DUMMYFUNCTION("""COMPUTED_VALUE"""),"155x")</f>
        <v>155x</v>
      </c>
      <c r="P87" s="64">
        <f>IFERROR(__xludf.DUMMYFUNCTION("""COMPUTED_VALUE"""),140.0)</f>
        <v>140</v>
      </c>
      <c r="Q87" s="65" t="str">
        <f>IFERROR(__xludf.DUMMYFUNCTION("""COMPUTED_VALUE"""),"300g")</f>
        <v>300g</v>
      </c>
      <c r="R87" s="65" t="str">
        <f>IFERROR(__xludf.DUMMYFUNCTION("""COMPUTED_VALUE"""),"320g")</f>
        <v>320g</v>
      </c>
      <c r="S87" s="65" t="str">
        <f>IFERROR(__xludf.DUMMYFUNCTION("""COMPUTED_VALUE"""),"335g")</f>
        <v>335g</v>
      </c>
      <c r="T87" s="64">
        <f>IFERROR(__xludf.DUMMYFUNCTION("""COMPUTED_VALUE"""),335.0)</f>
        <v>335</v>
      </c>
      <c r="U87" s="66">
        <f>IFERROR(__xludf.DUMMYFUNCTION("""COMPUTED_VALUE"""),735.0)</f>
        <v>735</v>
      </c>
      <c r="V87" s="78">
        <f>IFERROR(__xludf.DUMMYFUNCTION("""COMPUTED_VALUE"""),4.427710843373494)</f>
        <v>4.427710843</v>
      </c>
    </row>
    <row r="88">
      <c r="B88" s="59" t="s">
        <v>122</v>
      </c>
      <c r="C88" s="59">
        <f>if(countif(F86:F87,F88)&gt;1,0,8)</f>
        <v>8</v>
      </c>
      <c r="D88" s="59" t="str">
        <f>IFERROR(__xludf.DUMMYFUNCTION("""COMPUTED_VALUE"""),"181 WJV")</f>
        <v>181 WJV</v>
      </c>
      <c r="E88" s="61" t="str">
        <f>IFERROR(__xludf.DUMMYFUNCTION("""COMPUTED_VALUE"""),"WJV")</f>
        <v>WJV</v>
      </c>
      <c r="F88" s="62" t="str">
        <f>IFERROR(__xludf.DUMMYFUNCTION("""COMPUTED_VALUE"""),"Port Huron")</f>
        <v>Port Huron</v>
      </c>
      <c r="G88" s="61">
        <f>IFERROR(__xludf.DUMMYFUNCTION("""COMPUTED_VALUE"""),168.6)</f>
        <v>168.6</v>
      </c>
      <c r="H88" s="62" t="str">
        <f>IFERROR(__xludf.DUMMYFUNCTION("""COMPUTED_VALUE"""),"Pretzer, Siera")</f>
        <v>Pretzer, Siera</v>
      </c>
      <c r="I88" s="63" t="str">
        <f>IFERROR(__xludf.DUMMYFUNCTION("""COMPUTED_VALUE"""),"195g")</f>
        <v>195g</v>
      </c>
      <c r="J88" s="61" t="str">
        <f>IFERROR(__xludf.DUMMYFUNCTION("""COMPUTED_VALUE"""),"205g")</f>
        <v>205g</v>
      </c>
      <c r="K88" s="61" t="str">
        <f>IFERROR(__xludf.DUMMYFUNCTION("""COMPUTED_VALUE"""),"225g")</f>
        <v>225g</v>
      </c>
      <c r="L88" s="64">
        <f>IFERROR(__xludf.DUMMYFUNCTION("""COMPUTED_VALUE"""),225.0)</f>
        <v>225</v>
      </c>
      <c r="M88" s="65" t="str">
        <f>IFERROR(__xludf.DUMMYFUNCTION("""COMPUTED_VALUE"""),"95g")</f>
        <v>95g</v>
      </c>
      <c r="N88" s="65" t="str">
        <f>IFERROR(__xludf.DUMMYFUNCTION("""COMPUTED_VALUE"""),"105g")</f>
        <v>105g</v>
      </c>
      <c r="O88" s="65" t="str">
        <f>IFERROR(__xludf.DUMMYFUNCTION("""COMPUTED_VALUE"""),"110g")</f>
        <v>110g</v>
      </c>
      <c r="P88" s="64">
        <f>IFERROR(__xludf.DUMMYFUNCTION("""COMPUTED_VALUE"""),110.0)</f>
        <v>110</v>
      </c>
      <c r="Q88" s="65" t="str">
        <f>IFERROR(__xludf.DUMMYFUNCTION("""COMPUTED_VALUE"""),"285g")</f>
        <v>285g</v>
      </c>
      <c r="R88" s="65" t="str">
        <f>IFERROR(__xludf.DUMMYFUNCTION("""COMPUTED_VALUE"""),"300g")</f>
        <v>300g</v>
      </c>
      <c r="S88" s="65" t="str">
        <f>IFERROR(__xludf.DUMMYFUNCTION("""COMPUTED_VALUE"""),"315x")</f>
        <v>315x</v>
      </c>
      <c r="T88" s="64">
        <f>IFERROR(__xludf.DUMMYFUNCTION("""COMPUTED_VALUE"""),300.0)</f>
        <v>300</v>
      </c>
      <c r="U88" s="66">
        <f>IFERROR(__xludf.DUMMYFUNCTION("""COMPUTED_VALUE"""),635.0)</f>
        <v>635</v>
      </c>
      <c r="V88" s="78">
        <f>IFERROR(__xludf.DUMMYFUNCTION("""COMPUTED_VALUE"""),3.7663107947805456)</f>
        <v>3.766310795</v>
      </c>
    </row>
    <row r="89">
      <c r="B89" s="59" t="s">
        <v>123</v>
      </c>
      <c r="C89" s="59">
        <f>if(countif(F86:F88,F89)&gt;1,0,7)</f>
        <v>7</v>
      </c>
      <c r="D89" s="59" t="str">
        <f>IFERROR(__xludf.DUMMYFUNCTION("""COMPUTED_VALUE"""),"181 WJV")</f>
        <v>181 WJV</v>
      </c>
      <c r="E89" s="61" t="str">
        <f>IFERROR(__xludf.DUMMYFUNCTION("""COMPUTED_VALUE"""),"WJV")</f>
        <v>WJV</v>
      </c>
      <c r="F89" s="62" t="str">
        <f>IFERROR(__xludf.DUMMYFUNCTION("""COMPUTED_VALUE"""),"Lakeville")</f>
        <v>Lakeville</v>
      </c>
      <c r="G89" s="61">
        <f>IFERROR(__xludf.DUMMYFUNCTION("""COMPUTED_VALUE"""),173.8)</f>
        <v>173.8</v>
      </c>
      <c r="H89" s="62" t="str">
        <f>IFERROR(__xludf.DUMMYFUNCTION("""COMPUTED_VALUE"""),"West, Bre")</f>
        <v>West, Bre</v>
      </c>
      <c r="I89" s="63" t="str">
        <f>IFERROR(__xludf.DUMMYFUNCTION("""COMPUTED_VALUE"""),"230g")</f>
        <v>230g</v>
      </c>
      <c r="J89" s="61" t="str">
        <f>IFERROR(__xludf.DUMMYFUNCTION("""COMPUTED_VALUE"""),"240x")</f>
        <v>240x</v>
      </c>
      <c r="K89" s="61" t="str">
        <f>IFERROR(__xludf.DUMMYFUNCTION("""COMPUTED_VALUE"""),"240x")</f>
        <v>240x</v>
      </c>
      <c r="L89" s="64">
        <f>IFERROR(__xludf.DUMMYFUNCTION("""COMPUTED_VALUE"""),230.0)</f>
        <v>230</v>
      </c>
      <c r="M89" s="65" t="str">
        <f>IFERROR(__xludf.DUMMYFUNCTION("""COMPUTED_VALUE"""),"75g")</f>
        <v>75g</v>
      </c>
      <c r="N89" s="65" t="str">
        <f>IFERROR(__xludf.DUMMYFUNCTION("""COMPUTED_VALUE"""),"85g")</f>
        <v>85g</v>
      </c>
      <c r="O89" s="65" t="str">
        <f>IFERROR(__xludf.DUMMYFUNCTION("""COMPUTED_VALUE"""),"90g")</f>
        <v>90g</v>
      </c>
      <c r="P89" s="64">
        <f>IFERROR(__xludf.DUMMYFUNCTION("""COMPUTED_VALUE"""),90.0)</f>
        <v>90</v>
      </c>
      <c r="Q89" s="65" t="str">
        <f>IFERROR(__xludf.DUMMYFUNCTION("""COMPUTED_VALUE"""),"290g")</f>
        <v>290g</v>
      </c>
      <c r="R89" s="65" t="str">
        <f>IFERROR(__xludf.DUMMYFUNCTION("""COMPUTED_VALUE"""),"305g")</f>
        <v>305g</v>
      </c>
      <c r="S89" s="65" t="str">
        <f>IFERROR(__xludf.DUMMYFUNCTION("""COMPUTED_VALUE"""),"315x")</f>
        <v>315x</v>
      </c>
      <c r="T89" s="64">
        <f>IFERROR(__xludf.DUMMYFUNCTION("""COMPUTED_VALUE"""),305.0)</f>
        <v>305</v>
      </c>
      <c r="U89" s="66">
        <f>IFERROR(__xludf.DUMMYFUNCTION("""COMPUTED_VALUE"""),625.0)</f>
        <v>625</v>
      </c>
      <c r="V89" s="78">
        <f>IFERROR(__xludf.DUMMYFUNCTION("""COMPUTED_VALUE"""),3.5960874568469503)</f>
        <v>3.596087457</v>
      </c>
    </row>
    <row r="90">
      <c r="B90" s="59" t="s">
        <v>124</v>
      </c>
      <c r="C90" s="59">
        <f>if(countif(F86:F89,F90)&gt;1,0,6)</f>
        <v>6</v>
      </c>
      <c r="D90" s="59" t="str">
        <f>IFERROR(__xludf.DUMMYFUNCTION("""COMPUTED_VALUE"""),"181 WJV")</f>
        <v>181 WJV</v>
      </c>
      <c r="E90" s="61" t="str">
        <f>IFERROR(__xludf.DUMMYFUNCTION("""COMPUTED_VALUE"""),"WJV")</f>
        <v>WJV</v>
      </c>
      <c r="F90" s="62" t="str">
        <f>IFERROR(__xludf.DUMMYFUNCTION("""COMPUTED_VALUE"""),"Lake Orion")</f>
        <v>Lake Orion</v>
      </c>
      <c r="G90" s="61">
        <f>IFERROR(__xludf.DUMMYFUNCTION("""COMPUTED_VALUE"""),167.1)</f>
        <v>167.1</v>
      </c>
      <c r="H90" s="62" t="str">
        <f>IFERROR(__xludf.DUMMYFUNCTION("""COMPUTED_VALUE"""),"Morgan, Taylor")</f>
        <v>Morgan, Taylor</v>
      </c>
      <c r="I90" s="63" t="str">
        <f>IFERROR(__xludf.DUMMYFUNCTION("""COMPUTED_VALUE"""),"170g")</f>
        <v>170g</v>
      </c>
      <c r="J90" s="61" t="str">
        <f>IFERROR(__xludf.DUMMYFUNCTION("""COMPUTED_VALUE"""),"180g")</f>
        <v>180g</v>
      </c>
      <c r="K90" s="61" t="str">
        <f>IFERROR(__xludf.DUMMYFUNCTION("""COMPUTED_VALUE"""),"215g")</f>
        <v>215g</v>
      </c>
      <c r="L90" s="64">
        <f>IFERROR(__xludf.DUMMYFUNCTION("""COMPUTED_VALUE"""),215.0)</f>
        <v>215</v>
      </c>
      <c r="M90" s="65" t="str">
        <f>IFERROR(__xludf.DUMMYFUNCTION("""COMPUTED_VALUE"""),"115g")</f>
        <v>115g</v>
      </c>
      <c r="N90" s="65" t="str">
        <f>IFERROR(__xludf.DUMMYFUNCTION("""COMPUTED_VALUE"""),"120g")</f>
        <v>120g</v>
      </c>
      <c r="O90" s="65" t="str">
        <f>IFERROR(__xludf.DUMMYFUNCTION("""COMPUTED_VALUE"""),"135g")</f>
        <v>135g</v>
      </c>
      <c r="P90" s="64">
        <f>IFERROR(__xludf.DUMMYFUNCTION("""COMPUTED_VALUE"""),135.0)</f>
        <v>135</v>
      </c>
      <c r="Q90" s="65" t="str">
        <f>IFERROR(__xludf.DUMMYFUNCTION("""COMPUTED_VALUE"""),"210g")</f>
        <v>210g</v>
      </c>
      <c r="R90" s="65" t="str">
        <f>IFERROR(__xludf.DUMMYFUNCTION("""COMPUTED_VALUE"""),"245g")</f>
        <v>245g</v>
      </c>
      <c r="S90" s="65" t="str">
        <f>IFERROR(__xludf.DUMMYFUNCTION("""COMPUTED_VALUE"""),"270g")</f>
        <v>270g</v>
      </c>
      <c r="T90" s="64">
        <f>IFERROR(__xludf.DUMMYFUNCTION("""COMPUTED_VALUE"""),270.0)</f>
        <v>270</v>
      </c>
      <c r="U90" s="66">
        <f>IFERROR(__xludf.DUMMYFUNCTION("""COMPUTED_VALUE"""),620.0)</f>
        <v>620</v>
      </c>
      <c r="V90" s="78">
        <f>IFERROR(__xludf.DUMMYFUNCTION("""COMPUTED_VALUE"""),3.7103530819868342)</f>
        <v>3.710353082</v>
      </c>
    </row>
    <row r="91">
      <c r="B91" s="59" t="s">
        <v>125</v>
      </c>
      <c r="C91" s="59">
        <f>if(countif(F86:F90,F91)&gt;1,0,5)</f>
        <v>5</v>
      </c>
      <c r="D91" s="59" t="str">
        <f>IFERROR(__xludf.DUMMYFUNCTION("""COMPUTED_VALUE"""),"181 WJV")</f>
        <v>181 WJV</v>
      </c>
      <c r="E91" s="61" t="str">
        <f>IFERROR(__xludf.DUMMYFUNCTION("""COMPUTED_VALUE"""),"WJV")</f>
        <v>WJV</v>
      </c>
      <c r="F91" s="62" t="str">
        <f>IFERROR(__xludf.DUMMYFUNCTION("""COMPUTED_VALUE"""),"Montague")</f>
        <v>Montague</v>
      </c>
      <c r="G91" s="61">
        <f>IFERROR(__xludf.DUMMYFUNCTION("""COMPUTED_VALUE"""),177.4)</f>
        <v>177.4</v>
      </c>
      <c r="H91" s="62" t="str">
        <f>IFERROR(__xludf.DUMMYFUNCTION("""COMPUTED_VALUE"""),"Burleson, Corrina")</f>
        <v>Burleson, Corrina</v>
      </c>
      <c r="I91" s="63" t="str">
        <f>IFERROR(__xludf.DUMMYFUNCTION("""COMPUTED_VALUE"""),"225g")</f>
        <v>225g</v>
      </c>
      <c r="J91" s="61" t="str">
        <f>IFERROR(__xludf.DUMMYFUNCTION("""COMPUTED_VALUE"""),"250g")</f>
        <v>250g</v>
      </c>
      <c r="K91" s="61" t="str">
        <f>IFERROR(__xludf.DUMMYFUNCTION("""COMPUTED_VALUE"""),"275x")</f>
        <v>275x</v>
      </c>
      <c r="L91" s="64">
        <f>IFERROR(__xludf.DUMMYFUNCTION("""COMPUTED_VALUE"""),250.0)</f>
        <v>250</v>
      </c>
      <c r="M91" s="65" t="str">
        <f>IFERROR(__xludf.DUMMYFUNCTION("""COMPUTED_VALUE"""),"105g")</f>
        <v>105g</v>
      </c>
      <c r="N91" s="65" t="str">
        <f>IFERROR(__xludf.DUMMYFUNCTION("""COMPUTED_VALUE"""),"120x")</f>
        <v>120x</v>
      </c>
      <c r="O91" s="65" t="str">
        <f>IFERROR(__xludf.DUMMYFUNCTION("""COMPUTED_VALUE"""),"120x")</f>
        <v>120x</v>
      </c>
      <c r="P91" s="64">
        <f>IFERROR(__xludf.DUMMYFUNCTION("""COMPUTED_VALUE"""),105.0)</f>
        <v>105</v>
      </c>
      <c r="Q91" s="65" t="str">
        <f>IFERROR(__xludf.DUMMYFUNCTION("""COMPUTED_VALUE"""),"235g")</f>
        <v>235g</v>
      </c>
      <c r="R91" s="65" t="str">
        <f>IFERROR(__xludf.DUMMYFUNCTION("""COMPUTED_VALUE"""),"255g")</f>
        <v>255g</v>
      </c>
      <c r="S91" s="65" t="str">
        <f>IFERROR(__xludf.DUMMYFUNCTION("""COMPUTED_VALUE"""),"295x")</f>
        <v>295x</v>
      </c>
      <c r="T91" s="64">
        <f>IFERROR(__xludf.DUMMYFUNCTION("""COMPUTED_VALUE"""),255.0)</f>
        <v>255</v>
      </c>
      <c r="U91" s="66">
        <f>IFERROR(__xludf.DUMMYFUNCTION("""COMPUTED_VALUE"""),610.0)</f>
        <v>610</v>
      </c>
      <c r="V91" s="78">
        <f>IFERROR(__xludf.DUMMYFUNCTION("""COMPUTED_VALUE"""),3.4385569334836528)</f>
        <v>3.438556933</v>
      </c>
    </row>
    <row r="92">
      <c r="B92" s="59" t="s">
        <v>126</v>
      </c>
      <c r="C92" s="59">
        <f>if(countif(F86:F91,F92)&gt;1,0,4)</f>
        <v>4</v>
      </c>
      <c r="D92" s="59" t="str">
        <f>IFERROR(__xludf.DUMMYFUNCTION("""COMPUTED_VALUE"""),"181 WJV")</f>
        <v>181 WJV</v>
      </c>
      <c r="E92" s="61" t="str">
        <f>IFERROR(__xludf.DUMMYFUNCTION("""COMPUTED_VALUE"""),"WJV")</f>
        <v>WJV</v>
      </c>
      <c r="F92" s="62" t="str">
        <f>IFERROR(__xludf.DUMMYFUNCTION("""COMPUTED_VALUE"""),"Brandon")</f>
        <v>Brandon</v>
      </c>
      <c r="G92" s="61">
        <f>IFERROR(__xludf.DUMMYFUNCTION("""COMPUTED_VALUE"""),169.1)</f>
        <v>169.1</v>
      </c>
      <c r="H92" s="62" t="str">
        <f>IFERROR(__xludf.DUMMYFUNCTION("""COMPUTED_VALUE"""),"Martin, Emma")</f>
        <v>Martin, Emma</v>
      </c>
      <c r="I92" s="63" t="str">
        <f>IFERROR(__xludf.DUMMYFUNCTION("""COMPUTED_VALUE"""),"210g")</f>
        <v>210g</v>
      </c>
      <c r="J92" s="61" t="str">
        <f>IFERROR(__xludf.DUMMYFUNCTION("""COMPUTED_VALUE"""),"215g")</f>
        <v>215g</v>
      </c>
      <c r="K92" s="61" t="str">
        <f>IFERROR(__xludf.DUMMYFUNCTION("""COMPUTED_VALUE"""),"225x")</f>
        <v>225x</v>
      </c>
      <c r="L92" s="64">
        <f>IFERROR(__xludf.DUMMYFUNCTION("""COMPUTED_VALUE"""),215.0)</f>
        <v>215</v>
      </c>
      <c r="M92" s="65" t="str">
        <f>IFERROR(__xludf.DUMMYFUNCTION("""COMPUTED_VALUE"""),"105x")</f>
        <v>105x</v>
      </c>
      <c r="N92" s="65" t="str">
        <f>IFERROR(__xludf.DUMMYFUNCTION("""COMPUTED_VALUE"""),"105g")</f>
        <v>105g</v>
      </c>
      <c r="O92" s="65" t="str">
        <f>IFERROR(__xludf.DUMMYFUNCTION("""COMPUTED_VALUE"""),"115x")</f>
        <v>115x</v>
      </c>
      <c r="P92" s="64">
        <f>IFERROR(__xludf.DUMMYFUNCTION("""COMPUTED_VALUE"""),105.0)</f>
        <v>105</v>
      </c>
      <c r="Q92" s="65" t="str">
        <f>IFERROR(__xludf.DUMMYFUNCTION("""COMPUTED_VALUE"""),"250g")</f>
        <v>250g</v>
      </c>
      <c r="R92" s="65" t="str">
        <f>IFERROR(__xludf.DUMMYFUNCTION("""COMPUTED_VALUE"""),"275g")</f>
        <v>275g</v>
      </c>
      <c r="S92" s="65" t="str">
        <f>IFERROR(__xludf.DUMMYFUNCTION("""COMPUTED_VALUE"""),"305x")</f>
        <v>305x</v>
      </c>
      <c r="T92" s="64">
        <f>IFERROR(__xludf.DUMMYFUNCTION("""COMPUTED_VALUE"""),275.0)</f>
        <v>275</v>
      </c>
      <c r="U92" s="66">
        <f>IFERROR(__xludf.DUMMYFUNCTION("""COMPUTED_VALUE"""),595.0)</f>
        <v>595</v>
      </c>
      <c r="V92" s="78">
        <f>IFERROR(__xludf.DUMMYFUNCTION("""COMPUTED_VALUE"""),3.518628030751035)</f>
        <v>3.518628031</v>
      </c>
    </row>
    <row r="93">
      <c r="B93" s="59" t="s">
        <v>127</v>
      </c>
      <c r="C93" s="59">
        <f>if(countif(F86:F92,F93)&gt;1,0,3)</f>
        <v>3</v>
      </c>
      <c r="D93" s="59" t="str">
        <f>IFERROR(__xludf.DUMMYFUNCTION("""COMPUTED_VALUE"""),"181 WJV")</f>
        <v>181 WJV</v>
      </c>
      <c r="E93" s="61" t="str">
        <f>IFERROR(__xludf.DUMMYFUNCTION("""COMPUTED_VALUE"""),"WJV")</f>
        <v>WJV</v>
      </c>
      <c r="F93" s="62" t="str">
        <f>IFERROR(__xludf.DUMMYFUNCTION("""COMPUTED_VALUE"""),"Henry Ford II")</f>
        <v>Henry Ford II</v>
      </c>
      <c r="G93" s="61">
        <f>IFERROR(__xludf.DUMMYFUNCTION("""COMPUTED_VALUE"""),180.0)</f>
        <v>180</v>
      </c>
      <c r="H93" s="62" t="str">
        <f>IFERROR(__xludf.DUMMYFUNCTION("""COMPUTED_VALUE"""),"O’Connor, Marissa")</f>
        <v>O’Connor, Marissa</v>
      </c>
      <c r="I93" s="63" t="str">
        <f>IFERROR(__xludf.DUMMYFUNCTION("""COMPUTED_VALUE"""),"220g")</f>
        <v>220g</v>
      </c>
      <c r="J93" s="61" t="str">
        <f>IFERROR(__xludf.DUMMYFUNCTION("""COMPUTED_VALUE"""),"230g")</f>
        <v>230g</v>
      </c>
      <c r="K93" s="61" t="str">
        <f>IFERROR(__xludf.DUMMYFUNCTION("""COMPUTED_VALUE"""),"245x")</f>
        <v>245x</v>
      </c>
      <c r="L93" s="64">
        <f>IFERROR(__xludf.DUMMYFUNCTION("""COMPUTED_VALUE"""),230.0)</f>
        <v>230</v>
      </c>
      <c r="M93" s="65" t="str">
        <f>IFERROR(__xludf.DUMMYFUNCTION("""COMPUTED_VALUE"""),"115g")</f>
        <v>115g</v>
      </c>
      <c r="N93" s="65" t="str">
        <f>IFERROR(__xludf.DUMMYFUNCTION("""COMPUTED_VALUE"""),"120x")</f>
        <v>120x</v>
      </c>
      <c r="O93" s="65" t="str">
        <f>IFERROR(__xludf.DUMMYFUNCTION("""COMPUTED_VALUE"""),"120g")</f>
        <v>120g</v>
      </c>
      <c r="P93" s="64">
        <f>IFERROR(__xludf.DUMMYFUNCTION("""COMPUTED_VALUE"""),120.0)</f>
        <v>120</v>
      </c>
      <c r="Q93" s="65" t="str">
        <f>IFERROR(__xludf.DUMMYFUNCTION("""COMPUTED_VALUE"""),"235g")</f>
        <v>235g</v>
      </c>
      <c r="R93" s="65" t="str">
        <f>IFERROR(__xludf.DUMMYFUNCTION("""COMPUTED_VALUE"""),"250x")</f>
        <v>250x</v>
      </c>
      <c r="S93" s="65" t="str">
        <f>IFERROR(__xludf.DUMMYFUNCTION("""COMPUTED_VALUE"""),"250x")</f>
        <v>250x</v>
      </c>
      <c r="T93" s="64">
        <f>IFERROR(__xludf.DUMMYFUNCTION("""COMPUTED_VALUE"""),235.0)</f>
        <v>235</v>
      </c>
      <c r="U93" s="66">
        <f>IFERROR(__xludf.DUMMYFUNCTION("""COMPUTED_VALUE"""),585.0)</f>
        <v>585</v>
      </c>
      <c r="V93" s="78">
        <f>IFERROR(__xludf.DUMMYFUNCTION("""COMPUTED_VALUE"""),3.25)</f>
        <v>3.25</v>
      </c>
    </row>
    <row r="94">
      <c r="B94" s="59" t="s">
        <v>128</v>
      </c>
      <c r="C94" s="59">
        <f>if(countif(F86:F93,F94)&gt;1,0,2)</f>
        <v>2</v>
      </c>
      <c r="D94" s="59" t="str">
        <f>IFERROR(__xludf.DUMMYFUNCTION("""COMPUTED_VALUE"""),"181 WJV")</f>
        <v>181 WJV</v>
      </c>
      <c r="E94" s="61" t="str">
        <f>IFERROR(__xludf.DUMMYFUNCTION("""COMPUTED_VALUE"""),"WJV")</f>
        <v>WJV</v>
      </c>
      <c r="F94" s="62" t="str">
        <f>IFERROR(__xludf.DUMMYFUNCTION("""COMPUTED_VALUE"""),"Flushing")</f>
        <v>Flushing</v>
      </c>
      <c r="G94" s="61">
        <f>IFERROR(__xludf.DUMMYFUNCTION("""COMPUTED_VALUE"""),174.6)</f>
        <v>174.6</v>
      </c>
      <c r="H94" s="62" t="str">
        <f>IFERROR(__xludf.DUMMYFUNCTION("""COMPUTED_VALUE"""),"Nikle, Abbegayle")</f>
        <v>Nikle, Abbegayle</v>
      </c>
      <c r="I94" s="63" t="str">
        <f>IFERROR(__xludf.DUMMYFUNCTION("""COMPUTED_VALUE"""),"165g")</f>
        <v>165g</v>
      </c>
      <c r="J94" s="61" t="str">
        <f>IFERROR(__xludf.DUMMYFUNCTION("""COMPUTED_VALUE"""),"175g")</f>
        <v>175g</v>
      </c>
      <c r="K94" s="61" t="str">
        <f>IFERROR(__xludf.DUMMYFUNCTION("""COMPUTED_VALUE"""),"195g")</f>
        <v>195g</v>
      </c>
      <c r="L94" s="64">
        <f>IFERROR(__xludf.DUMMYFUNCTION("""COMPUTED_VALUE"""),195.0)</f>
        <v>195</v>
      </c>
      <c r="M94" s="65" t="str">
        <f>IFERROR(__xludf.DUMMYFUNCTION("""COMPUTED_VALUE"""),"90g")</f>
        <v>90g</v>
      </c>
      <c r="N94" s="65" t="str">
        <f>IFERROR(__xludf.DUMMYFUNCTION("""COMPUTED_VALUE"""),"100g")</f>
        <v>100g</v>
      </c>
      <c r="O94" s="65" t="str">
        <f>IFERROR(__xludf.DUMMYFUNCTION("""COMPUTED_VALUE"""),"110x")</f>
        <v>110x</v>
      </c>
      <c r="P94" s="64">
        <f>IFERROR(__xludf.DUMMYFUNCTION("""COMPUTED_VALUE"""),100.0)</f>
        <v>100</v>
      </c>
      <c r="Q94" s="65" t="str">
        <f>IFERROR(__xludf.DUMMYFUNCTION("""COMPUTED_VALUE"""),"200g")</f>
        <v>200g</v>
      </c>
      <c r="R94" s="65" t="str">
        <f>IFERROR(__xludf.DUMMYFUNCTION("""COMPUTED_VALUE"""),"230g")</f>
        <v>230g</v>
      </c>
      <c r="S94" s="65" t="str">
        <f>IFERROR(__xludf.DUMMYFUNCTION("""COMPUTED_VALUE"""),"250g")</f>
        <v>250g</v>
      </c>
      <c r="T94" s="64">
        <f>IFERROR(__xludf.DUMMYFUNCTION("""COMPUTED_VALUE"""),250.0)</f>
        <v>250</v>
      </c>
      <c r="U94" s="66">
        <f>IFERROR(__xludf.DUMMYFUNCTION("""COMPUTED_VALUE"""),545.0)</f>
        <v>545</v>
      </c>
      <c r="V94" s="78">
        <f>IFERROR(__xludf.DUMMYFUNCTION("""COMPUTED_VALUE"""),3.1214203894616266)</f>
        <v>3.121420389</v>
      </c>
    </row>
    <row r="95">
      <c r="B95" s="59" t="s">
        <v>129</v>
      </c>
      <c r="C95" s="59">
        <f>if(countif(F86:F94,F95)&gt;1,0,1)</f>
        <v>1</v>
      </c>
      <c r="D95" s="59" t="str">
        <f>IFERROR(__xludf.DUMMYFUNCTION("""COMPUTED_VALUE"""),"181 WJV")</f>
        <v>181 WJV</v>
      </c>
      <c r="E95" s="61" t="str">
        <f>IFERROR(__xludf.DUMMYFUNCTION("""COMPUTED_VALUE"""),"WJV")</f>
        <v>WJV</v>
      </c>
      <c r="F95" s="62" t="str">
        <f>IFERROR(__xludf.DUMMYFUNCTION("""COMPUTED_VALUE"""),"Whitehall")</f>
        <v>Whitehall</v>
      </c>
      <c r="G95" s="61">
        <f>IFERROR(__xludf.DUMMYFUNCTION("""COMPUTED_VALUE"""),177.8)</f>
        <v>177.8</v>
      </c>
      <c r="H95" s="62" t="str">
        <f>IFERROR(__xludf.DUMMYFUNCTION("""COMPUTED_VALUE"""),"McWhinnie, Jade")</f>
        <v>McWhinnie, Jade</v>
      </c>
      <c r="I95" s="63" t="str">
        <f>IFERROR(__xludf.DUMMYFUNCTION("""COMPUTED_VALUE"""),"165g")</f>
        <v>165g</v>
      </c>
      <c r="J95" s="61" t="str">
        <f>IFERROR(__xludf.DUMMYFUNCTION("""COMPUTED_VALUE"""),"185x")</f>
        <v>185x</v>
      </c>
      <c r="K95" s="61" t="str">
        <f>IFERROR(__xludf.DUMMYFUNCTION("""COMPUTED_VALUE"""),"185x")</f>
        <v>185x</v>
      </c>
      <c r="L95" s="64">
        <f>IFERROR(__xludf.DUMMYFUNCTION("""COMPUTED_VALUE"""),165.0)</f>
        <v>165</v>
      </c>
      <c r="M95" s="65" t="str">
        <f>IFERROR(__xludf.DUMMYFUNCTION("""COMPUTED_VALUE"""),"95g")</f>
        <v>95g</v>
      </c>
      <c r="N95" s="65" t="str">
        <f>IFERROR(__xludf.DUMMYFUNCTION("""COMPUTED_VALUE"""),"100x")</f>
        <v>100x</v>
      </c>
      <c r="O95" s="65" t="str">
        <f>IFERROR(__xludf.DUMMYFUNCTION("""COMPUTED_VALUE"""),"100g")</f>
        <v>100g</v>
      </c>
      <c r="P95" s="64">
        <f>IFERROR(__xludf.DUMMYFUNCTION("""COMPUTED_VALUE"""),100.0)</f>
        <v>100</v>
      </c>
      <c r="Q95" s="65" t="str">
        <f>IFERROR(__xludf.DUMMYFUNCTION("""COMPUTED_VALUE"""),"275g")</f>
        <v>275g</v>
      </c>
      <c r="R95" s="65" t="str">
        <f>IFERROR(__xludf.DUMMYFUNCTION("""COMPUTED_VALUE"""),"300x")</f>
        <v>300x</v>
      </c>
      <c r="S95" s="65" t="str">
        <f>IFERROR(__xludf.DUMMYFUNCTION("""COMPUTED_VALUE"""),"300x")</f>
        <v>300x</v>
      </c>
      <c r="T95" s="64">
        <f>IFERROR(__xludf.DUMMYFUNCTION("""COMPUTED_VALUE"""),275.0)</f>
        <v>275</v>
      </c>
      <c r="U95" s="66">
        <f>IFERROR(__xludf.DUMMYFUNCTION("""COMPUTED_VALUE"""),540.0)</f>
        <v>540</v>
      </c>
      <c r="V95" s="78">
        <f>IFERROR(__xludf.DUMMYFUNCTION("""COMPUTED_VALUE"""),3.0371203599550056)</f>
        <v>3.03712036</v>
      </c>
    </row>
    <row r="96">
      <c r="A96" s="73">
        <v>198.0</v>
      </c>
      <c r="B96" s="68" t="s">
        <v>120</v>
      </c>
      <c r="C96" s="68">
        <v>12.0</v>
      </c>
      <c r="D96" s="68" t="str">
        <f>IFERROR(__xludf.DUMMYFUNCTION("ARRAY_CONSTRAIN(sort(filter(WJV_Tie_Breaker!D6:X285,WJV_Tie_Breaker!D6:D285=""198 WJV""),18,false,4,true,20,false,21,true),10,19)"),"198 WJV")</f>
        <v>198 WJV</v>
      </c>
      <c r="E96" s="69" t="str">
        <f>IFERROR(__xludf.DUMMYFUNCTION("""COMPUTED_VALUE"""),"WJV")</f>
        <v>WJV</v>
      </c>
      <c r="F96" s="70" t="str">
        <f>IFERROR(__xludf.DUMMYFUNCTION("""COMPUTED_VALUE"""),"Flushing")</f>
        <v>Flushing</v>
      </c>
      <c r="G96" s="69">
        <f>IFERROR(__xludf.DUMMYFUNCTION("""COMPUTED_VALUE"""),192.0)</f>
        <v>192</v>
      </c>
      <c r="H96" s="70" t="str">
        <f>IFERROR(__xludf.DUMMYFUNCTION("""COMPUTED_VALUE"""),"Presley, Arissa")</f>
        <v>Presley, Arissa</v>
      </c>
      <c r="I96" s="71" t="str">
        <f>IFERROR(__xludf.DUMMYFUNCTION("""COMPUTED_VALUE"""),"245g")</f>
        <v>245g</v>
      </c>
      <c r="J96" s="69" t="str">
        <f>IFERROR(__xludf.DUMMYFUNCTION("""COMPUTED_VALUE"""),"265x")</f>
        <v>265x</v>
      </c>
      <c r="K96" s="69" t="str">
        <f>IFERROR(__xludf.DUMMYFUNCTION("""COMPUTED_VALUE"""),"270g")</f>
        <v>270g</v>
      </c>
      <c r="L96" s="64">
        <f>IFERROR(__xludf.DUMMYFUNCTION("""COMPUTED_VALUE"""),270.0)</f>
        <v>270</v>
      </c>
      <c r="M96" s="72" t="str">
        <f>IFERROR(__xludf.DUMMYFUNCTION("""COMPUTED_VALUE"""),"90g")</f>
        <v>90g</v>
      </c>
      <c r="N96" s="72" t="str">
        <f>IFERROR(__xludf.DUMMYFUNCTION("""COMPUTED_VALUE"""),"100g")</f>
        <v>100g</v>
      </c>
      <c r="O96" s="72" t="str">
        <f>IFERROR(__xludf.DUMMYFUNCTION("""COMPUTED_VALUE"""),"105x")</f>
        <v>105x</v>
      </c>
      <c r="P96" s="64">
        <f>IFERROR(__xludf.DUMMYFUNCTION("""COMPUTED_VALUE"""),100.0)</f>
        <v>100</v>
      </c>
      <c r="Q96" s="72" t="str">
        <f>IFERROR(__xludf.DUMMYFUNCTION("""COMPUTED_VALUE"""),"245g")</f>
        <v>245g</v>
      </c>
      <c r="R96" s="72" t="str">
        <f>IFERROR(__xludf.DUMMYFUNCTION("""COMPUTED_VALUE"""),"265g")</f>
        <v>265g</v>
      </c>
      <c r="S96" s="72" t="str">
        <f>IFERROR(__xludf.DUMMYFUNCTION("""COMPUTED_VALUE"""),"280g")</f>
        <v>280g</v>
      </c>
      <c r="T96" s="64">
        <f>IFERROR(__xludf.DUMMYFUNCTION("""COMPUTED_VALUE"""),280.0)</f>
        <v>280</v>
      </c>
      <c r="U96" s="66">
        <f>IFERROR(__xludf.DUMMYFUNCTION("""COMPUTED_VALUE"""),650.0)</f>
        <v>650</v>
      </c>
      <c r="V96" s="79">
        <f>IFERROR(__xludf.DUMMYFUNCTION("""COMPUTED_VALUE"""),3.3854166666666665)</f>
        <v>3.385416667</v>
      </c>
    </row>
    <row r="97">
      <c r="B97" s="68" t="s">
        <v>121</v>
      </c>
      <c r="C97" s="68">
        <v>9.0</v>
      </c>
      <c r="D97" s="68" t="str">
        <f>IFERROR(__xludf.DUMMYFUNCTION("""COMPUTED_VALUE"""),"198 WJV")</f>
        <v>198 WJV</v>
      </c>
      <c r="E97" s="69" t="str">
        <f>IFERROR(__xludf.DUMMYFUNCTION("""COMPUTED_VALUE"""),"WJV")</f>
        <v>WJV</v>
      </c>
      <c r="F97" s="70" t="str">
        <f>IFERROR(__xludf.DUMMYFUNCTION("""COMPUTED_VALUE"""),"Dowagiac")</f>
        <v>Dowagiac</v>
      </c>
      <c r="G97" s="69">
        <f>IFERROR(__xludf.DUMMYFUNCTION("""COMPUTED_VALUE"""),192.2)</f>
        <v>192.2</v>
      </c>
      <c r="H97" s="70" t="str">
        <f>IFERROR(__xludf.DUMMYFUNCTION("""COMPUTED_VALUE"""),"Carpenter, Sierra")</f>
        <v>Carpenter, Sierra</v>
      </c>
      <c r="I97" s="71" t="str">
        <f>IFERROR(__xludf.DUMMYFUNCTION("""COMPUTED_VALUE"""),"215x")</f>
        <v>215x</v>
      </c>
      <c r="J97" s="69" t="str">
        <f>IFERROR(__xludf.DUMMYFUNCTION("""COMPUTED_VALUE"""),"215g")</f>
        <v>215g</v>
      </c>
      <c r="K97" s="69" t="str">
        <f>IFERROR(__xludf.DUMMYFUNCTION("""COMPUTED_VALUE"""),"225g")</f>
        <v>225g</v>
      </c>
      <c r="L97" s="64">
        <f>IFERROR(__xludf.DUMMYFUNCTION("""COMPUTED_VALUE"""),225.0)</f>
        <v>225</v>
      </c>
      <c r="M97" s="72" t="str">
        <f>IFERROR(__xludf.DUMMYFUNCTION("""COMPUTED_VALUE"""),"115g")</f>
        <v>115g</v>
      </c>
      <c r="N97" s="72" t="str">
        <f>IFERROR(__xludf.DUMMYFUNCTION("""COMPUTED_VALUE"""),"125g")</f>
        <v>125g</v>
      </c>
      <c r="O97" s="72" t="str">
        <f>IFERROR(__xludf.DUMMYFUNCTION("""COMPUTED_VALUE"""),"135x")</f>
        <v>135x</v>
      </c>
      <c r="P97" s="64">
        <f>IFERROR(__xludf.DUMMYFUNCTION("""COMPUTED_VALUE"""),125.0)</f>
        <v>125</v>
      </c>
      <c r="Q97" s="72" t="str">
        <f>IFERROR(__xludf.DUMMYFUNCTION("""COMPUTED_VALUE"""),"250g")</f>
        <v>250g</v>
      </c>
      <c r="R97" s="72" t="str">
        <f>IFERROR(__xludf.DUMMYFUNCTION("""COMPUTED_VALUE"""),"270g")</f>
        <v>270g</v>
      </c>
      <c r="S97" s="72" t="str">
        <f>IFERROR(__xludf.DUMMYFUNCTION("""COMPUTED_VALUE"""),"300g")</f>
        <v>300g</v>
      </c>
      <c r="T97" s="64">
        <f>IFERROR(__xludf.DUMMYFUNCTION("""COMPUTED_VALUE"""),300.0)</f>
        <v>300</v>
      </c>
      <c r="U97" s="66">
        <f>IFERROR(__xludf.DUMMYFUNCTION("""COMPUTED_VALUE"""),650.0)</f>
        <v>650</v>
      </c>
      <c r="V97" s="79">
        <f>IFERROR(__xludf.DUMMYFUNCTION("""COMPUTED_VALUE"""),3.381893860561915)</f>
        <v>3.381893861</v>
      </c>
    </row>
    <row r="98">
      <c r="B98" s="68" t="s">
        <v>122</v>
      </c>
      <c r="C98" s="68">
        <f>if(countif(F96:F97,F98)&gt;1,0,8)</f>
        <v>8</v>
      </c>
      <c r="D98" s="68" t="str">
        <f>IFERROR(__xludf.DUMMYFUNCTION("""COMPUTED_VALUE"""),"198 WJV")</f>
        <v>198 WJV</v>
      </c>
      <c r="E98" s="69" t="str">
        <f>IFERROR(__xludf.DUMMYFUNCTION("""COMPUTED_VALUE"""),"WJV")</f>
        <v>WJV</v>
      </c>
      <c r="F98" s="70" t="str">
        <f>IFERROR(__xludf.DUMMYFUNCTION("""COMPUTED_VALUE"""),"Goodrich")</f>
        <v>Goodrich</v>
      </c>
      <c r="G98" s="69">
        <f>IFERROR(__xludf.DUMMYFUNCTION("""COMPUTED_VALUE"""),187.2)</f>
        <v>187.2</v>
      </c>
      <c r="H98" s="70" t="str">
        <f>IFERROR(__xludf.DUMMYFUNCTION("""COMPUTED_VALUE"""),"Vickory, Roxanne")</f>
        <v>Vickory, Roxanne</v>
      </c>
      <c r="I98" s="71" t="str">
        <f>IFERROR(__xludf.DUMMYFUNCTION("""COMPUTED_VALUE"""),"200g")</f>
        <v>200g</v>
      </c>
      <c r="J98" s="69" t="str">
        <f>IFERROR(__xludf.DUMMYFUNCTION("""COMPUTED_VALUE"""),"215x")</f>
        <v>215x</v>
      </c>
      <c r="K98" s="69" t="str">
        <f>IFERROR(__xludf.DUMMYFUNCTION("""COMPUTED_VALUE"""),"225g")</f>
        <v>225g</v>
      </c>
      <c r="L98" s="64">
        <f>IFERROR(__xludf.DUMMYFUNCTION("""COMPUTED_VALUE"""),225.0)</f>
        <v>225</v>
      </c>
      <c r="M98" s="72" t="str">
        <f>IFERROR(__xludf.DUMMYFUNCTION("""COMPUTED_VALUE"""),"95g")</f>
        <v>95g</v>
      </c>
      <c r="N98" s="72" t="str">
        <f>IFERROR(__xludf.DUMMYFUNCTION("""COMPUTED_VALUE"""),"105g")</f>
        <v>105g</v>
      </c>
      <c r="O98" s="72" t="str">
        <f>IFERROR(__xludf.DUMMYFUNCTION("""COMPUTED_VALUE"""),"110x")</f>
        <v>110x</v>
      </c>
      <c r="P98" s="64">
        <f>IFERROR(__xludf.DUMMYFUNCTION("""COMPUTED_VALUE"""),105.0)</f>
        <v>105</v>
      </c>
      <c r="Q98" s="72" t="str">
        <f>IFERROR(__xludf.DUMMYFUNCTION("""COMPUTED_VALUE"""),"275g")</f>
        <v>275g</v>
      </c>
      <c r="R98" s="72" t="str">
        <f>IFERROR(__xludf.DUMMYFUNCTION("""COMPUTED_VALUE"""),"300x")</f>
        <v>300x</v>
      </c>
      <c r="S98" s="72" t="str">
        <f>IFERROR(__xludf.DUMMYFUNCTION("""COMPUTED_VALUE"""),"305g")</f>
        <v>305g</v>
      </c>
      <c r="T98" s="64">
        <f>IFERROR(__xludf.DUMMYFUNCTION("""COMPUTED_VALUE"""),305.0)</f>
        <v>305</v>
      </c>
      <c r="U98" s="66">
        <f>IFERROR(__xludf.DUMMYFUNCTION("""COMPUTED_VALUE"""),635.0)</f>
        <v>635</v>
      </c>
      <c r="V98" s="79">
        <f>IFERROR(__xludf.DUMMYFUNCTION("""COMPUTED_VALUE"""),3.3920940170940175)</f>
        <v>3.392094017</v>
      </c>
    </row>
    <row r="99">
      <c r="B99" s="68" t="s">
        <v>123</v>
      </c>
      <c r="C99" s="68">
        <f>if(countif(F96:F98,F99)&gt;1,0,7)</f>
        <v>7</v>
      </c>
      <c r="D99" s="68" t="str">
        <f>IFERROR(__xludf.DUMMYFUNCTION("""COMPUTED_VALUE"""),"198 WJV")</f>
        <v>198 WJV</v>
      </c>
      <c r="E99" s="69" t="str">
        <f>IFERROR(__xludf.DUMMYFUNCTION("""COMPUTED_VALUE"""),"WJV")</f>
        <v>WJV</v>
      </c>
      <c r="F99" s="70" t="str">
        <f>IFERROR(__xludf.DUMMYFUNCTION("""COMPUTED_VALUE"""),"Kingston")</f>
        <v>Kingston</v>
      </c>
      <c r="G99" s="69">
        <f>IFERROR(__xludf.DUMMYFUNCTION("""COMPUTED_VALUE"""),197.0)</f>
        <v>197</v>
      </c>
      <c r="H99" s="70" t="str">
        <f>IFERROR(__xludf.DUMMYFUNCTION("""COMPUTED_VALUE"""),"Haag, Mariea Ann")</f>
        <v>Haag, Mariea Ann</v>
      </c>
      <c r="I99" s="71" t="str">
        <f>IFERROR(__xludf.DUMMYFUNCTION("""COMPUTED_VALUE"""),"165g")</f>
        <v>165g</v>
      </c>
      <c r="J99" s="69" t="str">
        <f>IFERROR(__xludf.DUMMYFUNCTION("""COMPUTED_VALUE"""),"185g")</f>
        <v>185g</v>
      </c>
      <c r="K99" s="69" t="str">
        <f>IFERROR(__xludf.DUMMYFUNCTION("""COMPUTED_VALUE"""),"210g")</f>
        <v>210g</v>
      </c>
      <c r="L99" s="64">
        <f>IFERROR(__xludf.DUMMYFUNCTION("""COMPUTED_VALUE"""),210.0)</f>
        <v>210</v>
      </c>
      <c r="M99" s="72" t="str">
        <f>IFERROR(__xludf.DUMMYFUNCTION("""COMPUTED_VALUE"""),"100g")</f>
        <v>100g</v>
      </c>
      <c r="N99" s="72" t="str">
        <f>IFERROR(__xludf.DUMMYFUNCTION("""COMPUTED_VALUE"""),"120g")</f>
        <v>120g</v>
      </c>
      <c r="O99" s="72" t="str">
        <f>IFERROR(__xludf.DUMMYFUNCTION("""COMPUTED_VALUE"""),"135x")</f>
        <v>135x</v>
      </c>
      <c r="P99" s="64">
        <f>IFERROR(__xludf.DUMMYFUNCTION("""COMPUTED_VALUE"""),120.0)</f>
        <v>120</v>
      </c>
      <c r="Q99" s="72" t="str">
        <f>IFERROR(__xludf.DUMMYFUNCTION("""COMPUTED_VALUE"""),"270g")</f>
        <v>270g</v>
      </c>
      <c r="R99" s="72" t="str">
        <f>IFERROR(__xludf.DUMMYFUNCTION("""COMPUTED_VALUE"""),"285g")</f>
        <v>285g</v>
      </c>
      <c r="S99" s="72" t="str">
        <f>IFERROR(__xludf.DUMMYFUNCTION("""COMPUTED_VALUE"""),"310x")</f>
        <v>310x</v>
      </c>
      <c r="T99" s="64">
        <f>IFERROR(__xludf.DUMMYFUNCTION("""COMPUTED_VALUE"""),285.0)</f>
        <v>285</v>
      </c>
      <c r="U99" s="66">
        <f>IFERROR(__xludf.DUMMYFUNCTION("""COMPUTED_VALUE"""),615.0)</f>
        <v>615</v>
      </c>
      <c r="V99" s="79">
        <f>IFERROR(__xludf.DUMMYFUNCTION("""COMPUTED_VALUE"""),3.1218274111675126)</f>
        <v>3.121827411</v>
      </c>
    </row>
    <row r="100">
      <c r="B100" s="68" t="s">
        <v>124</v>
      </c>
      <c r="C100" s="68">
        <f>if(countif(F96:F99,F100)&gt;1,0,6)</f>
        <v>6</v>
      </c>
      <c r="D100" s="68" t="str">
        <f>IFERROR(__xludf.DUMMYFUNCTION("""COMPUTED_VALUE"""),"198 WJV")</f>
        <v>198 WJV</v>
      </c>
      <c r="E100" s="69" t="str">
        <f>IFERROR(__xludf.DUMMYFUNCTION("""COMPUTED_VALUE"""),"WJV")</f>
        <v>WJV</v>
      </c>
      <c r="F100" s="70" t="str">
        <f>IFERROR(__xludf.DUMMYFUNCTION("""COMPUTED_VALUE"""),"Grass Lake")</f>
        <v>Grass Lake</v>
      </c>
      <c r="G100" s="69">
        <f>IFERROR(__xludf.DUMMYFUNCTION("""COMPUTED_VALUE"""),193.6)</f>
        <v>193.6</v>
      </c>
      <c r="H100" s="70" t="str">
        <f>IFERROR(__xludf.DUMMYFUNCTION("""COMPUTED_VALUE"""),"Sherwood, Jennifer")</f>
        <v>Sherwood, Jennifer</v>
      </c>
      <c r="I100" s="71" t="str">
        <f>IFERROR(__xludf.DUMMYFUNCTION("""COMPUTED_VALUE"""),"210g")</f>
        <v>210g</v>
      </c>
      <c r="J100" s="69" t="str">
        <f>IFERROR(__xludf.DUMMYFUNCTION("""COMPUTED_VALUE"""),"225x")</f>
        <v>225x</v>
      </c>
      <c r="K100" s="69" t="str">
        <f>IFERROR(__xludf.DUMMYFUNCTION("""COMPUTED_VALUE"""),"235x")</f>
        <v>235x</v>
      </c>
      <c r="L100" s="64">
        <f>IFERROR(__xludf.DUMMYFUNCTION("""COMPUTED_VALUE"""),210.0)</f>
        <v>210</v>
      </c>
      <c r="M100" s="72" t="str">
        <f>IFERROR(__xludf.DUMMYFUNCTION("""COMPUTED_VALUE"""),"110g")</f>
        <v>110g</v>
      </c>
      <c r="N100" s="72" t="str">
        <f>IFERROR(__xludf.DUMMYFUNCTION("""COMPUTED_VALUE"""),"120g")</f>
        <v>120g</v>
      </c>
      <c r="O100" s="72" t="str">
        <f>IFERROR(__xludf.DUMMYFUNCTION("""COMPUTED_VALUE"""),"135x")</f>
        <v>135x</v>
      </c>
      <c r="P100" s="64">
        <f>IFERROR(__xludf.DUMMYFUNCTION("""COMPUTED_VALUE"""),120.0)</f>
        <v>120</v>
      </c>
      <c r="Q100" s="72" t="str">
        <f>IFERROR(__xludf.DUMMYFUNCTION("""COMPUTED_VALUE"""),"260g")</f>
        <v>260g</v>
      </c>
      <c r="R100" s="72" t="str">
        <f>IFERROR(__xludf.DUMMYFUNCTION("""COMPUTED_VALUE"""),"280g")</f>
        <v>280g</v>
      </c>
      <c r="S100" s="72" t="str">
        <f>IFERROR(__xludf.DUMMYFUNCTION("""COMPUTED_VALUE"""),"300x")</f>
        <v>300x</v>
      </c>
      <c r="T100" s="64">
        <f>IFERROR(__xludf.DUMMYFUNCTION("""COMPUTED_VALUE"""),280.0)</f>
        <v>280</v>
      </c>
      <c r="U100" s="66">
        <f>IFERROR(__xludf.DUMMYFUNCTION("""COMPUTED_VALUE"""),610.0)</f>
        <v>610</v>
      </c>
      <c r="V100" s="79">
        <f>IFERROR(__xludf.DUMMYFUNCTION("""COMPUTED_VALUE"""),3.1508264462809916)</f>
        <v>3.150826446</v>
      </c>
    </row>
    <row r="101">
      <c r="B101" s="68" t="s">
        <v>125</v>
      </c>
      <c r="C101" s="68">
        <f>if(countif(F96:F100,F101)&gt;1,0,5)</f>
        <v>5</v>
      </c>
      <c r="D101" s="68" t="str">
        <f>IFERROR(__xludf.DUMMYFUNCTION("""COMPUTED_VALUE"""),"198 WJV")</f>
        <v>198 WJV</v>
      </c>
      <c r="E101" s="69" t="str">
        <f>IFERROR(__xludf.DUMMYFUNCTION("""COMPUTED_VALUE"""),"WJV")</f>
        <v>WJV</v>
      </c>
      <c r="F101" s="70" t="str">
        <f>IFERROR(__xludf.DUMMYFUNCTION("""COMPUTED_VALUE"""),"WHITEHALL")</f>
        <v>WHITEHALL</v>
      </c>
      <c r="G101" s="69">
        <f>IFERROR(__xludf.DUMMYFUNCTION("""COMPUTED_VALUE"""),186.0)</f>
        <v>186</v>
      </c>
      <c r="H101" s="70" t="str">
        <f>IFERROR(__xludf.DUMMYFUNCTION("""COMPUTED_VALUE"""),"Hendrickson, Elly")</f>
        <v>Hendrickson, Elly</v>
      </c>
      <c r="I101" s="71" t="str">
        <f>IFERROR(__xludf.DUMMYFUNCTION("""COMPUTED_VALUE"""),"135g")</f>
        <v>135g</v>
      </c>
      <c r="J101" s="69" t="str">
        <f>IFERROR(__xludf.DUMMYFUNCTION("""COMPUTED_VALUE"""),"165g")</f>
        <v>165g</v>
      </c>
      <c r="K101" s="69" t="str">
        <f>IFERROR(__xludf.DUMMYFUNCTION("""COMPUTED_VALUE"""),"185x")</f>
        <v>185x</v>
      </c>
      <c r="L101" s="64">
        <f>IFERROR(__xludf.DUMMYFUNCTION("""COMPUTED_VALUE"""),165.0)</f>
        <v>165</v>
      </c>
      <c r="M101" s="72" t="str">
        <f>IFERROR(__xludf.DUMMYFUNCTION("""COMPUTED_VALUE"""),"85g")</f>
        <v>85g</v>
      </c>
      <c r="N101" s="72" t="str">
        <f>IFERROR(__xludf.DUMMYFUNCTION("""COMPUTED_VALUE"""),"95g")</f>
        <v>95g</v>
      </c>
      <c r="O101" s="72" t="str">
        <f>IFERROR(__xludf.DUMMYFUNCTION("""COMPUTED_VALUE"""),"105g")</f>
        <v>105g</v>
      </c>
      <c r="P101" s="64">
        <f>IFERROR(__xludf.DUMMYFUNCTION("""COMPUTED_VALUE"""),105.0)</f>
        <v>105</v>
      </c>
      <c r="Q101" s="72" t="str">
        <f>IFERROR(__xludf.DUMMYFUNCTION("""COMPUTED_VALUE"""),"240g")</f>
        <v>240g</v>
      </c>
      <c r="R101" s="72" t="str">
        <f>IFERROR(__xludf.DUMMYFUNCTION("""COMPUTED_VALUE"""),"260g")</f>
        <v>260g</v>
      </c>
      <c r="S101" s="72" t="str">
        <f>IFERROR(__xludf.DUMMYFUNCTION("""COMPUTED_VALUE"""),"280g")</f>
        <v>280g</v>
      </c>
      <c r="T101" s="64">
        <f>IFERROR(__xludf.DUMMYFUNCTION("""COMPUTED_VALUE"""),280.0)</f>
        <v>280</v>
      </c>
      <c r="U101" s="66">
        <f>IFERROR(__xludf.DUMMYFUNCTION("""COMPUTED_VALUE"""),550.0)</f>
        <v>550</v>
      </c>
      <c r="V101" s="79">
        <f>IFERROR(__xludf.DUMMYFUNCTION("""COMPUTED_VALUE"""),2.956989247311828)</f>
        <v>2.956989247</v>
      </c>
    </row>
    <row r="102">
      <c r="B102" s="68" t="s">
        <v>126</v>
      </c>
      <c r="C102" s="68">
        <f>if(countif(F96:F101,F102)&gt;1,0,4)</f>
        <v>4</v>
      </c>
      <c r="D102" s="68" t="str">
        <f>IFERROR(__xludf.DUMMYFUNCTION("""COMPUTED_VALUE"""),"198 WJV")</f>
        <v>198 WJV</v>
      </c>
      <c r="E102" s="69" t="str">
        <f>IFERROR(__xludf.DUMMYFUNCTION("""COMPUTED_VALUE"""),"WJV")</f>
        <v>WJV</v>
      </c>
      <c r="F102" s="70" t="str">
        <f>IFERROR(__xludf.DUMMYFUNCTION("""COMPUTED_VALUE"""),"Hartford")</f>
        <v>Hartford</v>
      </c>
      <c r="G102" s="69">
        <f>IFERROR(__xludf.DUMMYFUNCTION("""COMPUTED_VALUE"""),195.8)</f>
        <v>195.8</v>
      </c>
      <c r="H102" s="70" t="str">
        <f>IFERROR(__xludf.DUMMYFUNCTION("""COMPUTED_VALUE"""),"Wilson, Emily")</f>
        <v>Wilson, Emily</v>
      </c>
      <c r="I102" s="71" t="str">
        <f>IFERROR(__xludf.DUMMYFUNCTION("""COMPUTED_VALUE"""),"165g")</f>
        <v>165g</v>
      </c>
      <c r="J102" s="69" t="str">
        <f>IFERROR(__xludf.DUMMYFUNCTION("""COMPUTED_VALUE"""),"185g")</f>
        <v>185g</v>
      </c>
      <c r="K102" s="69" t="str">
        <f>IFERROR(__xludf.DUMMYFUNCTION("""COMPUTED_VALUE"""),"200g")</f>
        <v>200g</v>
      </c>
      <c r="L102" s="64">
        <f>IFERROR(__xludf.DUMMYFUNCTION("""COMPUTED_VALUE"""),200.0)</f>
        <v>200</v>
      </c>
      <c r="M102" s="72" t="str">
        <f>IFERROR(__xludf.DUMMYFUNCTION("""COMPUTED_VALUE"""),"95g")</f>
        <v>95g</v>
      </c>
      <c r="N102" s="72" t="str">
        <f>IFERROR(__xludf.DUMMYFUNCTION("""COMPUTED_VALUE"""),"110g")</f>
        <v>110g</v>
      </c>
      <c r="O102" s="72" t="str">
        <f>IFERROR(__xludf.DUMMYFUNCTION("""COMPUTED_VALUE"""),"120g")</f>
        <v>120g</v>
      </c>
      <c r="P102" s="64">
        <f>IFERROR(__xludf.DUMMYFUNCTION("""COMPUTED_VALUE"""),120.0)</f>
        <v>120</v>
      </c>
      <c r="Q102" s="72" t="str">
        <f>IFERROR(__xludf.DUMMYFUNCTION("""COMPUTED_VALUE"""),"180g")</f>
        <v>180g</v>
      </c>
      <c r="R102" s="72" t="str">
        <f>IFERROR(__xludf.DUMMYFUNCTION("""COMPUTED_VALUE"""),"200g")</f>
        <v>200g</v>
      </c>
      <c r="S102" s="72" t="str">
        <f>IFERROR(__xludf.DUMMYFUNCTION("""COMPUTED_VALUE"""),"225g")</f>
        <v>225g</v>
      </c>
      <c r="T102" s="64">
        <f>IFERROR(__xludf.DUMMYFUNCTION("""COMPUTED_VALUE"""),225.0)</f>
        <v>225</v>
      </c>
      <c r="U102" s="66">
        <f>IFERROR(__xludf.DUMMYFUNCTION("""COMPUTED_VALUE"""),545.0)</f>
        <v>545</v>
      </c>
      <c r="V102" s="79">
        <f>IFERROR(__xludf.DUMMYFUNCTION("""COMPUTED_VALUE"""),2.783452502553626)</f>
        <v>2.783452503</v>
      </c>
    </row>
    <row r="103">
      <c r="B103" s="68" t="s">
        <v>127</v>
      </c>
      <c r="C103" s="68">
        <f>if(countif(F96:F102,F103)&gt;1,0,3)</f>
        <v>3</v>
      </c>
      <c r="D103" s="68" t="str">
        <f>IFERROR(__xludf.DUMMYFUNCTION("""COMPUTED_VALUE"""),"198 WJV")</f>
        <v>198 WJV</v>
      </c>
      <c r="E103" s="69" t="str">
        <f>IFERROR(__xludf.DUMMYFUNCTION("""COMPUTED_VALUE"""),"WJV")</f>
        <v>WJV</v>
      </c>
      <c r="F103" s="70" t="str">
        <f>IFERROR(__xludf.DUMMYFUNCTION("""COMPUTED_VALUE"""),"Central Montcalm")</f>
        <v>Central Montcalm</v>
      </c>
      <c r="G103" s="69">
        <f>IFERROR(__xludf.DUMMYFUNCTION("""COMPUTED_VALUE"""),194.2)</f>
        <v>194.2</v>
      </c>
      <c r="H103" s="70" t="str">
        <f>IFERROR(__xludf.DUMMYFUNCTION("""COMPUTED_VALUE"""),"McKeown, Kyla")</f>
        <v>McKeown, Kyla</v>
      </c>
      <c r="I103" s="71" t="str">
        <f>IFERROR(__xludf.DUMMYFUNCTION("""COMPUTED_VALUE"""),"160g")</f>
        <v>160g</v>
      </c>
      <c r="J103" s="69" t="str">
        <f>IFERROR(__xludf.DUMMYFUNCTION("""COMPUTED_VALUE"""),"185g")</f>
        <v>185g</v>
      </c>
      <c r="K103" s="69" t="str">
        <f>IFERROR(__xludf.DUMMYFUNCTION("""COMPUTED_VALUE"""),"200x")</f>
        <v>200x</v>
      </c>
      <c r="L103" s="64">
        <f>IFERROR(__xludf.DUMMYFUNCTION("""COMPUTED_VALUE"""),185.0)</f>
        <v>185</v>
      </c>
      <c r="M103" s="72" t="str">
        <f>IFERROR(__xludf.DUMMYFUNCTION("""COMPUTED_VALUE"""),"115g")</f>
        <v>115g</v>
      </c>
      <c r="N103" s="72" t="str">
        <f>IFERROR(__xludf.DUMMYFUNCTION("""COMPUTED_VALUE"""),"125g")</f>
        <v>125g</v>
      </c>
      <c r="O103" s="72" t="str">
        <f>IFERROR(__xludf.DUMMYFUNCTION("""COMPUTED_VALUE"""),"135x")</f>
        <v>135x</v>
      </c>
      <c r="P103" s="64">
        <f>IFERROR(__xludf.DUMMYFUNCTION("""COMPUTED_VALUE"""),125.0)</f>
        <v>125</v>
      </c>
      <c r="Q103" s="72" t="str">
        <f>IFERROR(__xludf.DUMMYFUNCTION("""COMPUTED_VALUE"""),"200g")</f>
        <v>200g</v>
      </c>
      <c r="R103" s="72" t="str">
        <f>IFERROR(__xludf.DUMMYFUNCTION("""COMPUTED_VALUE"""),"230g")</f>
        <v>230g</v>
      </c>
      <c r="S103" s="72" t="str">
        <f>IFERROR(__xludf.DUMMYFUNCTION("""COMPUTED_VALUE"""),"245x")</f>
        <v>245x</v>
      </c>
      <c r="T103" s="64">
        <f>IFERROR(__xludf.DUMMYFUNCTION("""COMPUTED_VALUE"""),230.0)</f>
        <v>230</v>
      </c>
      <c r="U103" s="66">
        <f>IFERROR(__xludf.DUMMYFUNCTION("""COMPUTED_VALUE"""),540.0)</f>
        <v>540</v>
      </c>
      <c r="V103" s="79">
        <f>IFERROR(__xludf.DUMMYFUNCTION("""COMPUTED_VALUE"""),2.780638516992791)</f>
        <v>2.780638517</v>
      </c>
    </row>
    <row r="104">
      <c r="B104" s="68" t="s">
        <v>128</v>
      </c>
      <c r="C104" s="68">
        <f>if(countif(F96:F103,F104)&gt;1,0,2)</f>
        <v>2</v>
      </c>
      <c r="D104" s="68" t="str">
        <f>IFERROR(__xludf.DUMMYFUNCTION("""COMPUTED_VALUE"""),"198 WJV")</f>
        <v>198 WJV</v>
      </c>
      <c r="E104" s="69" t="str">
        <f>IFERROR(__xludf.DUMMYFUNCTION("""COMPUTED_VALUE"""),"WJV")</f>
        <v>WJV</v>
      </c>
      <c r="F104" s="70" t="str">
        <f>IFERROR(__xludf.DUMMYFUNCTION("""COMPUTED_VALUE"""),"Henry Ford II")</f>
        <v>Henry Ford II</v>
      </c>
      <c r="G104" s="69">
        <f>IFERROR(__xludf.DUMMYFUNCTION("""COMPUTED_VALUE"""),194.4)</f>
        <v>194.4</v>
      </c>
      <c r="H104" s="70" t="str">
        <f>IFERROR(__xludf.DUMMYFUNCTION("""COMPUTED_VALUE"""),"Beninati, Maria")</f>
        <v>Beninati, Maria</v>
      </c>
      <c r="I104" s="71" t="str">
        <f>IFERROR(__xludf.DUMMYFUNCTION("""COMPUTED_VALUE"""),"185x")</f>
        <v>185x</v>
      </c>
      <c r="J104" s="69" t="str">
        <f>IFERROR(__xludf.DUMMYFUNCTION("""COMPUTED_VALUE"""),"185g")</f>
        <v>185g</v>
      </c>
      <c r="K104" s="69" t="str">
        <f>IFERROR(__xludf.DUMMYFUNCTION("""COMPUTED_VALUE"""),"200x")</f>
        <v>200x</v>
      </c>
      <c r="L104" s="64">
        <f>IFERROR(__xludf.DUMMYFUNCTION("""COMPUTED_VALUE"""),185.0)</f>
        <v>185</v>
      </c>
      <c r="M104" s="72" t="str">
        <f>IFERROR(__xludf.DUMMYFUNCTION("""COMPUTED_VALUE"""),"85g")</f>
        <v>85g</v>
      </c>
      <c r="N104" s="72" t="str">
        <f>IFERROR(__xludf.DUMMYFUNCTION("""COMPUTED_VALUE"""),"95x")</f>
        <v>95x</v>
      </c>
      <c r="O104" s="72" t="str">
        <f>IFERROR(__xludf.DUMMYFUNCTION("""COMPUTED_VALUE"""),"95g")</f>
        <v>95g</v>
      </c>
      <c r="P104" s="64">
        <f>IFERROR(__xludf.DUMMYFUNCTION("""COMPUTED_VALUE"""),95.0)</f>
        <v>95</v>
      </c>
      <c r="Q104" s="72" t="str">
        <f>IFERROR(__xludf.DUMMYFUNCTION("""COMPUTED_VALUE"""),"240g")</f>
        <v>240g</v>
      </c>
      <c r="R104" s="72" t="str">
        <f>IFERROR(__xludf.DUMMYFUNCTION("""COMPUTED_VALUE"""),"250g")</f>
        <v>250g</v>
      </c>
      <c r="S104" s="72" t="str">
        <f>IFERROR(__xludf.DUMMYFUNCTION("""COMPUTED_VALUE"""),"260x")</f>
        <v>260x</v>
      </c>
      <c r="T104" s="64">
        <f>IFERROR(__xludf.DUMMYFUNCTION("""COMPUTED_VALUE"""),250.0)</f>
        <v>250</v>
      </c>
      <c r="U104" s="66">
        <f>IFERROR(__xludf.DUMMYFUNCTION("""COMPUTED_VALUE"""),530.0)</f>
        <v>530</v>
      </c>
      <c r="V104" s="79">
        <f>IFERROR(__xludf.DUMMYFUNCTION("""COMPUTED_VALUE"""),2.7263374485596708)</f>
        <v>2.726337449</v>
      </c>
    </row>
    <row r="105">
      <c r="B105" s="68" t="s">
        <v>129</v>
      </c>
      <c r="C105" s="68">
        <f>if(countif(F96:F104,F105)&gt;1,0,1)</f>
        <v>1</v>
      </c>
      <c r="D105" s="68" t="str">
        <f>IFERROR(__xludf.DUMMYFUNCTION("""COMPUTED_VALUE"""),"198 WJV")</f>
        <v>198 WJV</v>
      </c>
      <c r="E105" s="69" t="str">
        <f>IFERROR(__xludf.DUMMYFUNCTION("""COMPUTED_VALUE"""),"WJV")</f>
        <v>WJV</v>
      </c>
      <c r="F105" s="70" t="str">
        <f>IFERROR(__xludf.DUMMYFUNCTION("""COMPUTED_VALUE"""),"Cros-Lex")</f>
        <v>Cros-Lex</v>
      </c>
      <c r="G105" s="69">
        <f>IFERROR(__xludf.DUMMYFUNCTION("""COMPUTED_VALUE"""),183.4)</f>
        <v>183.4</v>
      </c>
      <c r="H105" s="70" t="str">
        <f>IFERROR(__xludf.DUMMYFUNCTION("""COMPUTED_VALUE"""),"Zimmerman, Camryn")</f>
        <v>Zimmerman, Camryn</v>
      </c>
      <c r="I105" s="71" t="str">
        <f>IFERROR(__xludf.DUMMYFUNCTION("""COMPUTED_VALUE"""),"175g")</f>
        <v>175g</v>
      </c>
      <c r="J105" s="69" t="str">
        <f>IFERROR(__xludf.DUMMYFUNCTION("""COMPUTED_VALUE"""),"185g")</f>
        <v>185g</v>
      </c>
      <c r="K105" s="69" t="str">
        <f>IFERROR(__xludf.DUMMYFUNCTION("""COMPUTED_VALUE"""),"195g")</f>
        <v>195g</v>
      </c>
      <c r="L105" s="64">
        <f>IFERROR(__xludf.DUMMYFUNCTION("""COMPUTED_VALUE"""),195.0)</f>
        <v>195</v>
      </c>
      <c r="M105" s="72" t="str">
        <f>IFERROR(__xludf.DUMMYFUNCTION("""COMPUTED_VALUE"""),"90g")</f>
        <v>90g</v>
      </c>
      <c r="N105" s="72" t="str">
        <f>IFERROR(__xludf.DUMMYFUNCTION("""COMPUTED_VALUE"""),"90g")</f>
        <v>90g</v>
      </c>
      <c r="O105" s="72" t="str">
        <f>IFERROR(__xludf.DUMMYFUNCTION("""COMPUTED_VALUE"""),"100g")</f>
        <v>100g</v>
      </c>
      <c r="P105" s="64">
        <f>IFERROR(__xludf.DUMMYFUNCTION("""COMPUTED_VALUE"""),100.0)</f>
        <v>100</v>
      </c>
      <c r="Q105" s="72" t="str">
        <f>IFERROR(__xludf.DUMMYFUNCTION("""COMPUTED_VALUE"""),"215g")</f>
        <v>215g</v>
      </c>
      <c r="R105" s="72" t="str">
        <f>IFERROR(__xludf.DUMMYFUNCTION("""COMPUTED_VALUE"""),"225g")</f>
        <v>225g</v>
      </c>
      <c r="S105" s="72" t="str">
        <f>IFERROR(__xludf.DUMMYFUNCTION("""COMPUTED_VALUE"""),"250x")</f>
        <v>250x</v>
      </c>
      <c r="T105" s="64">
        <f>IFERROR(__xludf.DUMMYFUNCTION("""COMPUTED_VALUE"""),225.0)</f>
        <v>225</v>
      </c>
      <c r="U105" s="66">
        <f>IFERROR(__xludf.DUMMYFUNCTION("""COMPUTED_VALUE"""),520.0)</f>
        <v>520</v>
      </c>
      <c r="V105" s="79">
        <f>IFERROR(__xludf.DUMMYFUNCTION("""COMPUTED_VALUE"""),2.8353326063249726)</f>
        <v>2.835332606</v>
      </c>
    </row>
    <row r="106">
      <c r="A106" s="58">
        <v>220.0</v>
      </c>
      <c r="B106" s="59" t="s">
        <v>120</v>
      </c>
      <c r="C106" s="59">
        <v>12.0</v>
      </c>
      <c r="D106" s="59" t="str">
        <f>IFERROR(__xludf.DUMMYFUNCTION("ARRAY_CONSTRAIN(sort(filter(WJV_Tie_Breaker!D6:X285,WJV_Tie_Breaker!D6:D285=""220 WJV""),18,false,4,true,20,false,21,true),10,19)"),"220 WJV")</f>
        <v>220 WJV</v>
      </c>
      <c r="E106" s="61" t="str">
        <f>IFERROR(__xludf.DUMMYFUNCTION("""COMPUTED_VALUE"""),"WJV")</f>
        <v>WJV</v>
      </c>
      <c r="F106" s="62" t="str">
        <f>IFERROR(__xludf.DUMMYFUNCTION("""COMPUTED_VALUE"""),"Port Huron")</f>
        <v>Port Huron</v>
      </c>
      <c r="G106" s="61">
        <f>IFERROR(__xludf.DUMMYFUNCTION("""COMPUTED_VALUE"""),215.6)</f>
        <v>215.6</v>
      </c>
      <c r="H106" s="62" t="str">
        <f>IFERROR(__xludf.DUMMYFUNCTION("""COMPUTED_VALUE"""),"Graham, Kashanna")</f>
        <v>Graham, Kashanna</v>
      </c>
      <c r="I106" s="63" t="str">
        <f>IFERROR(__xludf.DUMMYFUNCTION("""COMPUTED_VALUE"""),"195g")</f>
        <v>195g</v>
      </c>
      <c r="J106" s="61" t="str">
        <f>IFERROR(__xludf.DUMMYFUNCTION("""COMPUTED_VALUE"""),"215g")</f>
        <v>215g</v>
      </c>
      <c r="K106" s="61" t="str">
        <f>IFERROR(__xludf.DUMMYFUNCTION("""COMPUTED_VALUE"""),"245g")</f>
        <v>245g</v>
      </c>
      <c r="L106" s="64">
        <f>IFERROR(__xludf.DUMMYFUNCTION("""COMPUTED_VALUE"""),245.0)</f>
        <v>245</v>
      </c>
      <c r="M106" s="65" t="str">
        <f>IFERROR(__xludf.DUMMYFUNCTION("""COMPUTED_VALUE"""),"135g")</f>
        <v>135g</v>
      </c>
      <c r="N106" s="65" t="str">
        <f>IFERROR(__xludf.DUMMYFUNCTION("""COMPUTED_VALUE"""),"145g")</f>
        <v>145g</v>
      </c>
      <c r="O106" s="65" t="str">
        <f>IFERROR(__xludf.DUMMYFUNCTION("""COMPUTED_VALUE"""),"155x")</f>
        <v>155x</v>
      </c>
      <c r="P106" s="64">
        <f>IFERROR(__xludf.DUMMYFUNCTION("""COMPUTED_VALUE"""),145.0)</f>
        <v>145</v>
      </c>
      <c r="Q106" s="65" t="str">
        <f>IFERROR(__xludf.DUMMYFUNCTION("""COMPUTED_VALUE"""),"285g")</f>
        <v>285g</v>
      </c>
      <c r="R106" s="65" t="str">
        <f>IFERROR(__xludf.DUMMYFUNCTION("""COMPUTED_VALUE"""),"320g")</f>
        <v>320g</v>
      </c>
      <c r="S106" s="65" t="str">
        <f>IFERROR(__xludf.DUMMYFUNCTION("""COMPUTED_VALUE"""),"335x")</f>
        <v>335x</v>
      </c>
      <c r="T106" s="64">
        <f>IFERROR(__xludf.DUMMYFUNCTION("""COMPUTED_VALUE"""),320.0)</f>
        <v>320</v>
      </c>
      <c r="U106" s="66">
        <f>IFERROR(__xludf.DUMMYFUNCTION("""COMPUTED_VALUE"""),710.0)</f>
        <v>710</v>
      </c>
      <c r="V106" s="78">
        <f>IFERROR(__xludf.DUMMYFUNCTION("""COMPUTED_VALUE"""),3.293135435992579)</f>
        <v>3.293135436</v>
      </c>
    </row>
    <row r="107">
      <c r="B107" s="59" t="s">
        <v>121</v>
      </c>
      <c r="C107" s="59">
        <v>9.0</v>
      </c>
      <c r="D107" s="59" t="str">
        <f>IFERROR(__xludf.DUMMYFUNCTION("""COMPUTED_VALUE"""),"220 WJV")</f>
        <v>220 WJV</v>
      </c>
      <c r="E107" s="61" t="str">
        <f>IFERROR(__xludf.DUMMYFUNCTION("""COMPUTED_VALUE"""),"WJV")</f>
        <v>WJV</v>
      </c>
      <c r="F107" s="62" t="str">
        <f>IFERROR(__xludf.DUMMYFUNCTION("""COMPUTED_VALUE"""),"Central Montcalm")</f>
        <v>Central Montcalm</v>
      </c>
      <c r="G107" s="61">
        <f>IFERROR(__xludf.DUMMYFUNCTION("""COMPUTED_VALUE"""),217.2)</f>
        <v>217.2</v>
      </c>
      <c r="H107" s="62" t="str">
        <f>IFERROR(__xludf.DUMMYFUNCTION("""COMPUTED_VALUE"""),"Plaiser, Brooklyn")</f>
        <v>Plaiser, Brooklyn</v>
      </c>
      <c r="I107" s="63" t="str">
        <f>IFERROR(__xludf.DUMMYFUNCTION("""COMPUTED_VALUE"""),"225g")</f>
        <v>225g</v>
      </c>
      <c r="J107" s="61" t="str">
        <f>IFERROR(__xludf.DUMMYFUNCTION("""COMPUTED_VALUE"""),"235g")</f>
        <v>235g</v>
      </c>
      <c r="K107" s="61" t="str">
        <f>IFERROR(__xludf.DUMMYFUNCTION("""COMPUTED_VALUE"""),"245g")</f>
        <v>245g</v>
      </c>
      <c r="L107" s="64">
        <f>IFERROR(__xludf.DUMMYFUNCTION("""COMPUTED_VALUE"""),245.0)</f>
        <v>245</v>
      </c>
      <c r="M107" s="65" t="str">
        <f>IFERROR(__xludf.DUMMYFUNCTION("""COMPUTED_VALUE"""),"115g")</f>
        <v>115g</v>
      </c>
      <c r="N107" s="65" t="str">
        <f>IFERROR(__xludf.DUMMYFUNCTION("""COMPUTED_VALUE"""),"125x")</f>
        <v>125x</v>
      </c>
      <c r="O107" s="65" t="str">
        <f>IFERROR(__xludf.DUMMYFUNCTION("""COMPUTED_VALUE"""),"125x")</f>
        <v>125x</v>
      </c>
      <c r="P107" s="64">
        <f>IFERROR(__xludf.DUMMYFUNCTION("""COMPUTED_VALUE"""),115.0)</f>
        <v>115</v>
      </c>
      <c r="Q107" s="65" t="str">
        <f>IFERROR(__xludf.DUMMYFUNCTION("""COMPUTED_VALUE"""),"225g")</f>
        <v>225g</v>
      </c>
      <c r="R107" s="65" t="str">
        <f>IFERROR(__xludf.DUMMYFUNCTION("""COMPUTED_VALUE"""),"250g")</f>
        <v>250g</v>
      </c>
      <c r="S107" s="65" t="str">
        <f>IFERROR(__xludf.DUMMYFUNCTION("""COMPUTED_VALUE"""),"275g")</f>
        <v>275g</v>
      </c>
      <c r="T107" s="64">
        <f>IFERROR(__xludf.DUMMYFUNCTION("""COMPUTED_VALUE"""),275.0)</f>
        <v>275</v>
      </c>
      <c r="U107" s="66">
        <f>IFERROR(__xludf.DUMMYFUNCTION("""COMPUTED_VALUE"""),635.0)</f>
        <v>635</v>
      </c>
      <c r="V107" s="78">
        <f>IFERROR(__xludf.DUMMYFUNCTION("""COMPUTED_VALUE"""),2.923572744014733)</f>
        <v>2.923572744</v>
      </c>
    </row>
    <row r="108">
      <c r="B108" s="59" t="s">
        <v>122</v>
      </c>
      <c r="C108" s="59">
        <f>if(countif(F106:F107,F108)&gt;1,0,8)</f>
        <v>8</v>
      </c>
      <c r="D108" s="59" t="str">
        <f>IFERROR(__xludf.DUMMYFUNCTION("""COMPUTED_VALUE"""),"220 WJV")</f>
        <v>220 WJV</v>
      </c>
      <c r="E108" s="61" t="str">
        <f>IFERROR(__xludf.DUMMYFUNCTION("""COMPUTED_VALUE"""),"WJV")</f>
        <v>WJV</v>
      </c>
      <c r="F108" s="62" t="str">
        <f>IFERROR(__xludf.DUMMYFUNCTION("""COMPUTED_VALUE"""),"Grant")</f>
        <v>Grant</v>
      </c>
      <c r="G108" s="61">
        <f>IFERROR(__xludf.DUMMYFUNCTION("""COMPUTED_VALUE"""),213.6)</f>
        <v>213.6</v>
      </c>
      <c r="H108" s="62" t="str">
        <f>IFERROR(__xludf.DUMMYFUNCTION("""COMPUTED_VALUE"""),"Crosby, Heather")</f>
        <v>Crosby, Heather</v>
      </c>
      <c r="I108" s="63" t="str">
        <f>IFERROR(__xludf.DUMMYFUNCTION("""COMPUTED_VALUE"""),"155g")</f>
        <v>155g</v>
      </c>
      <c r="J108" s="61" t="str">
        <f>IFERROR(__xludf.DUMMYFUNCTION("""COMPUTED_VALUE"""),"175g")</f>
        <v>175g</v>
      </c>
      <c r="K108" s="61" t="str">
        <f>IFERROR(__xludf.DUMMYFUNCTION("""COMPUTED_VALUE"""),"200g")</f>
        <v>200g</v>
      </c>
      <c r="L108" s="64">
        <f>IFERROR(__xludf.DUMMYFUNCTION("""COMPUTED_VALUE"""),200.0)</f>
        <v>200</v>
      </c>
      <c r="M108" s="65" t="str">
        <f>IFERROR(__xludf.DUMMYFUNCTION("""COMPUTED_VALUE"""),"100g")</f>
        <v>100g</v>
      </c>
      <c r="N108" s="65" t="str">
        <f>IFERROR(__xludf.DUMMYFUNCTION("""COMPUTED_VALUE"""),"115g")</f>
        <v>115g</v>
      </c>
      <c r="O108" s="65" t="str">
        <f>IFERROR(__xludf.DUMMYFUNCTION("""COMPUTED_VALUE"""),"120x")</f>
        <v>120x</v>
      </c>
      <c r="P108" s="64">
        <f>IFERROR(__xludf.DUMMYFUNCTION("""COMPUTED_VALUE"""),115.0)</f>
        <v>115</v>
      </c>
      <c r="Q108" s="65" t="str">
        <f>IFERROR(__xludf.DUMMYFUNCTION("""COMPUTED_VALUE"""),"275x")</f>
        <v>275x</v>
      </c>
      <c r="R108" s="65" t="str">
        <f>IFERROR(__xludf.DUMMYFUNCTION("""COMPUTED_VALUE"""),"300g")</f>
        <v>300g</v>
      </c>
      <c r="S108" s="65" t="str">
        <f>IFERROR(__xludf.DUMMYFUNCTION("""COMPUTED_VALUE"""),"310g")</f>
        <v>310g</v>
      </c>
      <c r="T108" s="64">
        <f>IFERROR(__xludf.DUMMYFUNCTION("""COMPUTED_VALUE"""),310.0)</f>
        <v>310</v>
      </c>
      <c r="U108" s="66">
        <f>IFERROR(__xludf.DUMMYFUNCTION("""COMPUTED_VALUE"""),625.0)</f>
        <v>625</v>
      </c>
      <c r="V108" s="78">
        <f>IFERROR(__xludf.DUMMYFUNCTION("""COMPUTED_VALUE"""),2.9260299625468167)</f>
        <v>2.926029963</v>
      </c>
    </row>
    <row r="109">
      <c r="B109" s="59" t="s">
        <v>123</v>
      </c>
      <c r="C109" s="59">
        <f>if(countif(F106:F108,F109)&gt;1,0,7)</f>
        <v>7</v>
      </c>
      <c r="D109" s="59" t="str">
        <f>IFERROR(__xludf.DUMMYFUNCTION("""COMPUTED_VALUE"""),"220 WJV")</f>
        <v>220 WJV</v>
      </c>
      <c r="E109" s="61" t="str">
        <f>IFERROR(__xludf.DUMMYFUNCTION("""COMPUTED_VALUE"""),"WJV")</f>
        <v>WJV</v>
      </c>
      <c r="F109" s="62" t="str">
        <f>IFERROR(__xludf.DUMMYFUNCTION("""COMPUTED_VALUE"""),"Lake Orion")</f>
        <v>Lake Orion</v>
      </c>
      <c r="G109" s="61">
        <f>IFERROR(__xludf.DUMMYFUNCTION("""COMPUTED_VALUE"""),216.1)</f>
        <v>216.1</v>
      </c>
      <c r="H109" s="62" t="str">
        <f>IFERROR(__xludf.DUMMYFUNCTION("""COMPUTED_VALUE"""),"White, India")</f>
        <v>White, India</v>
      </c>
      <c r="I109" s="63" t="str">
        <f>IFERROR(__xludf.DUMMYFUNCTION("""COMPUTED_VALUE"""),"215x")</f>
        <v>215x</v>
      </c>
      <c r="J109" s="61" t="str">
        <f>IFERROR(__xludf.DUMMYFUNCTION("""COMPUTED_VALUE"""),"215g")</f>
        <v>215g</v>
      </c>
      <c r="K109" s="61" t="str">
        <f>IFERROR(__xludf.DUMMYFUNCTION("""COMPUTED_VALUE"""),"225g")</f>
        <v>225g</v>
      </c>
      <c r="L109" s="64">
        <f>IFERROR(__xludf.DUMMYFUNCTION("""COMPUTED_VALUE"""),225.0)</f>
        <v>225</v>
      </c>
      <c r="M109" s="65" t="str">
        <f>IFERROR(__xludf.DUMMYFUNCTION("""COMPUTED_VALUE"""),"85g")</f>
        <v>85g</v>
      </c>
      <c r="N109" s="65" t="str">
        <f>IFERROR(__xludf.DUMMYFUNCTION("""COMPUTED_VALUE"""),"95g")</f>
        <v>95g</v>
      </c>
      <c r="O109" s="65" t="str">
        <f>IFERROR(__xludf.DUMMYFUNCTION("""COMPUTED_VALUE"""),"105g")</f>
        <v>105g</v>
      </c>
      <c r="P109" s="64">
        <f>IFERROR(__xludf.DUMMYFUNCTION("""COMPUTED_VALUE"""),105.0)</f>
        <v>105</v>
      </c>
      <c r="Q109" s="65" t="str">
        <f>IFERROR(__xludf.DUMMYFUNCTION("""COMPUTED_VALUE"""),"260g")</f>
        <v>260g</v>
      </c>
      <c r="R109" s="65" t="str">
        <f>IFERROR(__xludf.DUMMYFUNCTION("""COMPUTED_VALUE"""),"270g")</f>
        <v>270g</v>
      </c>
      <c r="S109" s="65" t="str">
        <f>IFERROR(__xludf.DUMMYFUNCTION("""COMPUTED_VALUE"""),"290g")</f>
        <v>290g</v>
      </c>
      <c r="T109" s="64">
        <f>IFERROR(__xludf.DUMMYFUNCTION("""COMPUTED_VALUE"""),290.0)</f>
        <v>290</v>
      </c>
      <c r="U109" s="66">
        <f>IFERROR(__xludf.DUMMYFUNCTION("""COMPUTED_VALUE"""),620.0)</f>
        <v>620</v>
      </c>
      <c r="V109" s="78">
        <f>IFERROR(__xludf.DUMMYFUNCTION("""COMPUTED_VALUE"""),2.869042110134197)</f>
        <v>2.86904211</v>
      </c>
    </row>
    <row r="110">
      <c r="B110" s="59" t="s">
        <v>124</v>
      </c>
      <c r="C110" s="59">
        <f>if(countif(F106:F109,F110)&gt;1,0,6)</f>
        <v>6</v>
      </c>
      <c r="D110" s="59" t="str">
        <f>IFERROR(__xludf.DUMMYFUNCTION("""COMPUTED_VALUE"""),"220 WJV")</f>
        <v>220 WJV</v>
      </c>
      <c r="E110" s="61" t="str">
        <f>IFERROR(__xludf.DUMMYFUNCTION("""COMPUTED_VALUE"""),"WJV")</f>
        <v>WJV</v>
      </c>
      <c r="F110" s="62" t="str">
        <f>IFERROR(__xludf.DUMMYFUNCTION("""COMPUTED_VALUE"""),"Yale")</f>
        <v>Yale</v>
      </c>
      <c r="G110" s="61">
        <f>IFERROR(__xludf.DUMMYFUNCTION("""COMPUTED_VALUE"""),208.8)</f>
        <v>208.8</v>
      </c>
      <c r="H110" s="62" t="str">
        <f>IFERROR(__xludf.DUMMYFUNCTION("""COMPUTED_VALUE"""),"McIntyre, Brooke")</f>
        <v>McIntyre, Brooke</v>
      </c>
      <c r="I110" s="63" t="str">
        <f>IFERROR(__xludf.DUMMYFUNCTION("""COMPUTED_VALUE"""),"210g")</f>
        <v>210g</v>
      </c>
      <c r="J110" s="61" t="str">
        <f>IFERROR(__xludf.DUMMYFUNCTION("""COMPUTED_VALUE"""),"225g")</f>
        <v>225g</v>
      </c>
      <c r="K110" s="61" t="str">
        <f>IFERROR(__xludf.DUMMYFUNCTION("""COMPUTED_VALUE"""),"235g")</f>
        <v>235g</v>
      </c>
      <c r="L110" s="64">
        <f>IFERROR(__xludf.DUMMYFUNCTION("""COMPUTED_VALUE"""),235.0)</f>
        <v>235</v>
      </c>
      <c r="M110" s="65" t="str">
        <f>IFERROR(__xludf.DUMMYFUNCTION("""COMPUTED_VALUE"""),"120g")</f>
        <v>120g</v>
      </c>
      <c r="N110" s="65" t="str">
        <f>IFERROR(__xludf.DUMMYFUNCTION("""COMPUTED_VALUE"""),"125g")</f>
        <v>125g</v>
      </c>
      <c r="O110" s="65" t="str">
        <f>IFERROR(__xludf.DUMMYFUNCTION("""COMPUTED_VALUE"""),"130g")</f>
        <v>130g</v>
      </c>
      <c r="P110" s="64">
        <f>IFERROR(__xludf.DUMMYFUNCTION("""COMPUTED_VALUE"""),130.0)</f>
        <v>130</v>
      </c>
      <c r="Q110" s="65" t="str">
        <f>IFERROR(__xludf.DUMMYFUNCTION("""COMPUTED_VALUE"""),"230g")</f>
        <v>230g</v>
      </c>
      <c r="R110" s="65" t="str">
        <f>IFERROR(__xludf.DUMMYFUNCTION("""COMPUTED_VALUE"""),"250g")</f>
        <v>250g</v>
      </c>
      <c r="S110" s="65" t="str">
        <f>IFERROR(__xludf.DUMMYFUNCTION("""COMPUTED_VALUE"""),"270x")</f>
        <v>270x</v>
      </c>
      <c r="T110" s="64">
        <f>IFERROR(__xludf.DUMMYFUNCTION("""COMPUTED_VALUE"""),250.0)</f>
        <v>250</v>
      </c>
      <c r="U110" s="66">
        <f>IFERROR(__xludf.DUMMYFUNCTION("""COMPUTED_VALUE"""),615.0)</f>
        <v>615</v>
      </c>
      <c r="V110" s="78">
        <f>IFERROR(__xludf.DUMMYFUNCTION("""COMPUTED_VALUE"""),2.9454022988505746)</f>
        <v>2.945402299</v>
      </c>
    </row>
    <row r="111">
      <c r="B111" s="59" t="s">
        <v>125</v>
      </c>
      <c r="C111" s="59">
        <f>if(countif(F106:F110,F111)&gt;1,0,5)</f>
        <v>5</v>
      </c>
      <c r="D111" s="59" t="str">
        <f>IFERROR(__xludf.DUMMYFUNCTION("""COMPUTED_VALUE"""),"220 WJV")</f>
        <v>220 WJV</v>
      </c>
      <c r="E111" s="61" t="str">
        <f>IFERROR(__xludf.DUMMYFUNCTION("""COMPUTED_VALUE"""),"WJV")</f>
        <v>WJV</v>
      </c>
      <c r="F111" s="62" t="str">
        <f>IFERROR(__xludf.DUMMYFUNCTION("""COMPUTED_VALUE"""),"Morenci")</f>
        <v>Morenci</v>
      </c>
      <c r="G111" s="61">
        <f>IFERROR(__xludf.DUMMYFUNCTION("""COMPUTED_VALUE"""),215.8)</f>
        <v>215.8</v>
      </c>
      <c r="H111" s="62" t="str">
        <f>IFERROR(__xludf.DUMMYFUNCTION("""COMPUTED_VALUE"""),"Barron, Claire")</f>
        <v>Barron, Claire</v>
      </c>
      <c r="I111" s="63" t="str">
        <f>IFERROR(__xludf.DUMMYFUNCTION("""COMPUTED_VALUE"""),"215x")</f>
        <v>215x</v>
      </c>
      <c r="J111" s="61" t="str">
        <f>IFERROR(__xludf.DUMMYFUNCTION("""COMPUTED_VALUE"""),"215g")</f>
        <v>215g</v>
      </c>
      <c r="K111" s="61" t="str">
        <f>IFERROR(__xludf.DUMMYFUNCTION("""COMPUTED_VALUE"""),"235g")</f>
        <v>235g</v>
      </c>
      <c r="L111" s="64">
        <f>IFERROR(__xludf.DUMMYFUNCTION("""COMPUTED_VALUE"""),235.0)</f>
        <v>235</v>
      </c>
      <c r="M111" s="65" t="str">
        <f>IFERROR(__xludf.DUMMYFUNCTION("""COMPUTED_VALUE"""),"110g")</f>
        <v>110g</v>
      </c>
      <c r="N111" s="65" t="str">
        <f>IFERROR(__xludf.DUMMYFUNCTION("""COMPUTED_VALUE"""),"120x")</f>
        <v>120x</v>
      </c>
      <c r="O111" s="65" t="str">
        <f>IFERROR(__xludf.DUMMYFUNCTION("""COMPUTED_VALUE"""),"120x")</f>
        <v>120x</v>
      </c>
      <c r="P111" s="64">
        <f>IFERROR(__xludf.DUMMYFUNCTION("""COMPUTED_VALUE"""),110.0)</f>
        <v>110</v>
      </c>
      <c r="Q111" s="65" t="str">
        <f>IFERROR(__xludf.DUMMYFUNCTION("""COMPUTED_VALUE"""),"240g")</f>
        <v>240g</v>
      </c>
      <c r="R111" s="65" t="str">
        <f>IFERROR(__xludf.DUMMYFUNCTION("""COMPUTED_VALUE"""),"260g")</f>
        <v>260g</v>
      </c>
      <c r="S111" s="65" t="str">
        <f>IFERROR(__xludf.DUMMYFUNCTION("""COMPUTED_VALUE"""),"280x")</f>
        <v>280x</v>
      </c>
      <c r="T111" s="64">
        <f>IFERROR(__xludf.DUMMYFUNCTION("""COMPUTED_VALUE"""),260.0)</f>
        <v>260</v>
      </c>
      <c r="U111" s="66">
        <f>IFERROR(__xludf.DUMMYFUNCTION("""COMPUTED_VALUE"""),605.0)</f>
        <v>605</v>
      </c>
      <c r="V111" s="78">
        <f>IFERROR(__xludf.DUMMYFUNCTION("""COMPUTED_VALUE"""),2.803521779425394)</f>
        <v>2.803521779</v>
      </c>
    </row>
    <row r="112">
      <c r="B112" s="59" t="s">
        <v>126</v>
      </c>
      <c r="C112" s="59">
        <f>if(countif(F106:F111,F112)&gt;1,0,4)</f>
        <v>4</v>
      </c>
      <c r="D112" s="59" t="str">
        <f>IFERROR(__xludf.DUMMYFUNCTION("""COMPUTED_VALUE"""),"220 WJV")</f>
        <v>220 WJV</v>
      </c>
      <c r="E112" s="61" t="str">
        <f>IFERROR(__xludf.DUMMYFUNCTION("""COMPUTED_VALUE"""),"WJV")</f>
        <v>WJV</v>
      </c>
      <c r="F112" s="62" t="str">
        <f>IFERROR(__xludf.DUMMYFUNCTION("""COMPUTED_VALUE"""),"Port Huron")</f>
        <v>Port Huron</v>
      </c>
      <c r="G112" s="61">
        <f>IFERROR(__xludf.DUMMYFUNCTION("""COMPUTED_VALUE"""),216.8)</f>
        <v>216.8</v>
      </c>
      <c r="H112" s="62" t="str">
        <f>IFERROR(__xludf.DUMMYFUNCTION("""COMPUTED_VALUE"""),"Peyerk, Emily")</f>
        <v>Peyerk, Emily</v>
      </c>
      <c r="I112" s="63" t="str">
        <f>IFERROR(__xludf.DUMMYFUNCTION("""COMPUTED_VALUE"""),"165g")</f>
        <v>165g</v>
      </c>
      <c r="J112" s="61" t="str">
        <f>IFERROR(__xludf.DUMMYFUNCTION("""COMPUTED_VALUE"""),"185g")</f>
        <v>185g</v>
      </c>
      <c r="K112" s="61" t="str">
        <f>IFERROR(__xludf.DUMMYFUNCTION("""COMPUTED_VALUE"""),"205g")</f>
        <v>205g</v>
      </c>
      <c r="L112" s="64">
        <f>IFERROR(__xludf.DUMMYFUNCTION("""COMPUTED_VALUE"""),205.0)</f>
        <v>205</v>
      </c>
      <c r="M112" s="65" t="str">
        <f>IFERROR(__xludf.DUMMYFUNCTION("""COMPUTED_VALUE"""),"105g")</f>
        <v>105g</v>
      </c>
      <c r="N112" s="65" t="str">
        <f>IFERROR(__xludf.DUMMYFUNCTION("""COMPUTED_VALUE"""),"115g")</f>
        <v>115g</v>
      </c>
      <c r="O112" s="65" t="str">
        <f>IFERROR(__xludf.DUMMYFUNCTION("""COMPUTED_VALUE"""),"125x")</f>
        <v>125x</v>
      </c>
      <c r="P112" s="64">
        <f>IFERROR(__xludf.DUMMYFUNCTION("""COMPUTED_VALUE"""),115.0)</f>
        <v>115</v>
      </c>
      <c r="Q112" s="65" t="str">
        <f>IFERROR(__xludf.DUMMYFUNCTION("""COMPUTED_VALUE"""),"265g")</f>
        <v>265g</v>
      </c>
      <c r="R112" s="65" t="str">
        <f>IFERROR(__xludf.DUMMYFUNCTION("""COMPUTED_VALUE"""),"285x")</f>
        <v>285x</v>
      </c>
      <c r="S112" s="65" t="str">
        <f>IFERROR(__xludf.DUMMYFUNCTION("""COMPUTED_VALUE"""),"285g")</f>
        <v>285g</v>
      </c>
      <c r="T112" s="64">
        <f>IFERROR(__xludf.DUMMYFUNCTION("""COMPUTED_VALUE"""),285.0)</f>
        <v>285</v>
      </c>
      <c r="U112" s="66">
        <f>IFERROR(__xludf.DUMMYFUNCTION("""COMPUTED_VALUE"""),605.0)</f>
        <v>605</v>
      </c>
      <c r="V112" s="78">
        <f>IFERROR(__xludf.DUMMYFUNCTION("""COMPUTED_VALUE"""),2.7905904059040587)</f>
        <v>2.790590406</v>
      </c>
    </row>
    <row r="113">
      <c r="B113" s="59" t="s">
        <v>127</v>
      </c>
      <c r="C113" s="59">
        <f>if(countif(F106:F112,F113)&gt;1,0,3)</f>
        <v>3</v>
      </c>
      <c r="D113" s="59" t="str">
        <f>IFERROR(__xludf.DUMMYFUNCTION("""COMPUTED_VALUE"""),"220 WJV")</f>
        <v>220 WJV</v>
      </c>
      <c r="E113" s="61" t="str">
        <f>IFERROR(__xludf.DUMMYFUNCTION("""COMPUTED_VALUE"""),"WJV")</f>
        <v>WJV</v>
      </c>
      <c r="F113" s="62" t="str">
        <f>IFERROR(__xludf.DUMMYFUNCTION("""COMPUTED_VALUE"""),"Kingston")</f>
        <v>Kingston</v>
      </c>
      <c r="G113" s="61">
        <f>IFERROR(__xludf.DUMMYFUNCTION("""COMPUTED_VALUE"""),218.2)</f>
        <v>218.2</v>
      </c>
      <c r="H113" s="62" t="str">
        <f>IFERROR(__xludf.DUMMYFUNCTION("""COMPUTED_VALUE"""),"Harp, RayAnn")</f>
        <v>Harp, RayAnn</v>
      </c>
      <c r="I113" s="63" t="str">
        <f>IFERROR(__xludf.DUMMYFUNCTION("""COMPUTED_VALUE"""),"200g")</f>
        <v>200g</v>
      </c>
      <c r="J113" s="61" t="str">
        <f>IFERROR(__xludf.DUMMYFUNCTION("""COMPUTED_VALUE"""),"220g")</f>
        <v>220g</v>
      </c>
      <c r="K113" s="61" t="str">
        <f>IFERROR(__xludf.DUMMYFUNCTION("""COMPUTED_VALUE"""),"235g")</f>
        <v>235g</v>
      </c>
      <c r="L113" s="64">
        <f>IFERROR(__xludf.DUMMYFUNCTION("""COMPUTED_VALUE"""),235.0)</f>
        <v>235</v>
      </c>
      <c r="M113" s="65" t="str">
        <f>IFERROR(__xludf.DUMMYFUNCTION("""COMPUTED_VALUE"""),"100x")</f>
        <v>100x</v>
      </c>
      <c r="N113" s="65" t="str">
        <f>IFERROR(__xludf.DUMMYFUNCTION("""COMPUTED_VALUE"""),"110g")</f>
        <v>110g</v>
      </c>
      <c r="O113" s="65" t="str">
        <f>IFERROR(__xludf.DUMMYFUNCTION("""COMPUTED_VALUE"""),"115x")</f>
        <v>115x</v>
      </c>
      <c r="P113" s="64">
        <f>IFERROR(__xludf.DUMMYFUNCTION("""COMPUTED_VALUE"""),110.0)</f>
        <v>110</v>
      </c>
      <c r="Q113" s="65" t="str">
        <f>IFERROR(__xludf.DUMMYFUNCTION("""COMPUTED_VALUE"""),"210g")</f>
        <v>210g</v>
      </c>
      <c r="R113" s="65" t="str">
        <f>IFERROR(__xludf.DUMMYFUNCTION("""COMPUTED_VALUE"""),"225g")</f>
        <v>225g</v>
      </c>
      <c r="S113" s="65" t="str">
        <f>IFERROR(__xludf.DUMMYFUNCTION("""COMPUTED_VALUE"""),"235g")</f>
        <v>235g</v>
      </c>
      <c r="T113" s="64">
        <f>IFERROR(__xludf.DUMMYFUNCTION("""COMPUTED_VALUE"""),235.0)</f>
        <v>235</v>
      </c>
      <c r="U113" s="66">
        <f>IFERROR(__xludf.DUMMYFUNCTION("""COMPUTED_VALUE"""),580.0)</f>
        <v>580</v>
      </c>
      <c r="V113" s="78">
        <f>IFERROR(__xludf.DUMMYFUNCTION("""COMPUTED_VALUE"""),2.6581118240146657)</f>
        <v>2.658111824</v>
      </c>
    </row>
    <row r="114">
      <c r="B114" s="59" t="s">
        <v>128</v>
      </c>
      <c r="C114" s="59">
        <f>if(countif(F106:F113,F114)&gt;1,0,2)</f>
        <v>2</v>
      </c>
      <c r="D114" s="59" t="str">
        <f>IFERROR(__xludf.DUMMYFUNCTION("""COMPUTED_VALUE"""),"220 WJV")</f>
        <v>220 WJV</v>
      </c>
      <c r="E114" s="61" t="str">
        <f>IFERROR(__xludf.DUMMYFUNCTION("""COMPUTED_VALUE"""),"WJV")</f>
        <v>WJV</v>
      </c>
      <c r="F114" s="62" t="str">
        <f>IFERROR(__xludf.DUMMYFUNCTION("""COMPUTED_VALUE"""),"Hartford")</f>
        <v>Hartford</v>
      </c>
      <c r="G114" s="61">
        <f>IFERROR(__xludf.DUMMYFUNCTION("""COMPUTED_VALUE"""),206.8)</f>
        <v>206.8</v>
      </c>
      <c r="H114" s="62" t="str">
        <f>IFERROR(__xludf.DUMMYFUNCTION("""COMPUTED_VALUE"""),"Weber, Emma")</f>
        <v>Weber, Emma</v>
      </c>
      <c r="I114" s="63" t="str">
        <f>IFERROR(__xludf.DUMMYFUNCTION("""COMPUTED_VALUE"""),"165g")</f>
        <v>165g</v>
      </c>
      <c r="J114" s="61" t="str">
        <f>IFERROR(__xludf.DUMMYFUNCTION("""COMPUTED_VALUE"""),"185x")</f>
        <v>185x</v>
      </c>
      <c r="K114" s="61" t="str">
        <f>IFERROR(__xludf.DUMMYFUNCTION("""COMPUTED_VALUE"""),"195g")</f>
        <v>195g</v>
      </c>
      <c r="L114" s="64">
        <f>IFERROR(__xludf.DUMMYFUNCTION("""COMPUTED_VALUE"""),195.0)</f>
        <v>195</v>
      </c>
      <c r="M114" s="65" t="str">
        <f>IFERROR(__xludf.DUMMYFUNCTION("""COMPUTED_VALUE"""),"95g")</f>
        <v>95g</v>
      </c>
      <c r="N114" s="65" t="str">
        <f>IFERROR(__xludf.DUMMYFUNCTION("""COMPUTED_VALUE"""),"105g")</f>
        <v>105g</v>
      </c>
      <c r="O114" s="65" t="str">
        <f>IFERROR(__xludf.DUMMYFUNCTION("""COMPUTED_VALUE"""),"115x")</f>
        <v>115x</v>
      </c>
      <c r="P114" s="64">
        <f>IFERROR(__xludf.DUMMYFUNCTION("""COMPUTED_VALUE"""),105.0)</f>
        <v>105</v>
      </c>
      <c r="Q114" s="65" t="str">
        <f>IFERROR(__xludf.DUMMYFUNCTION("""COMPUTED_VALUE"""),"215g")</f>
        <v>215g</v>
      </c>
      <c r="R114" s="65" t="str">
        <f>IFERROR(__xludf.DUMMYFUNCTION("""COMPUTED_VALUE"""),"235g")</f>
        <v>235g</v>
      </c>
      <c r="S114" s="65" t="str">
        <f>IFERROR(__xludf.DUMMYFUNCTION("""COMPUTED_VALUE"""),"250g")</f>
        <v>250g</v>
      </c>
      <c r="T114" s="64">
        <f>IFERROR(__xludf.DUMMYFUNCTION("""COMPUTED_VALUE"""),250.0)</f>
        <v>250</v>
      </c>
      <c r="U114" s="66">
        <f>IFERROR(__xludf.DUMMYFUNCTION("""COMPUTED_VALUE"""),550.0)</f>
        <v>550</v>
      </c>
      <c r="V114" s="78">
        <f>IFERROR(__xludf.DUMMYFUNCTION("""COMPUTED_VALUE"""),2.6595744680851063)</f>
        <v>2.659574468</v>
      </c>
    </row>
    <row r="115">
      <c r="B115" s="59" t="s">
        <v>129</v>
      </c>
      <c r="C115" s="59">
        <f>if(countif(F106:F114,F115)&gt;1,0,1)</f>
        <v>1</v>
      </c>
      <c r="D115" s="59" t="str">
        <f>IFERROR(__xludf.DUMMYFUNCTION("""COMPUTED_VALUE"""),"220 WJV")</f>
        <v>220 WJV</v>
      </c>
      <c r="E115" s="61" t="str">
        <f>IFERROR(__xludf.DUMMYFUNCTION("""COMPUTED_VALUE"""),"WJV")</f>
        <v>WJV</v>
      </c>
      <c r="F115" s="62" t="str">
        <f>IFERROR(__xludf.DUMMYFUNCTION("""COMPUTED_VALUE"""),"Kearsley")</f>
        <v>Kearsley</v>
      </c>
      <c r="G115" s="61">
        <f>IFERROR(__xludf.DUMMYFUNCTION("""COMPUTED_VALUE"""),203.0)</f>
        <v>203</v>
      </c>
      <c r="H115" s="62" t="str">
        <f>IFERROR(__xludf.DUMMYFUNCTION("""COMPUTED_VALUE"""),"Martin, Marisol")</f>
        <v>Martin, Marisol</v>
      </c>
      <c r="I115" s="63" t="str">
        <f>IFERROR(__xludf.DUMMYFUNCTION("""COMPUTED_VALUE"""),"200x")</f>
        <v>200x</v>
      </c>
      <c r="J115" s="61" t="str">
        <f>IFERROR(__xludf.DUMMYFUNCTION("""COMPUTED_VALUE"""),"205x")</f>
        <v>205x</v>
      </c>
      <c r="K115" s="61" t="str">
        <f>IFERROR(__xludf.DUMMYFUNCTION("""COMPUTED_VALUE"""),"205g")</f>
        <v>205g</v>
      </c>
      <c r="L115" s="64">
        <f>IFERROR(__xludf.DUMMYFUNCTION("""COMPUTED_VALUE"""),205.0)</f>
        <v>205</v>
      </c>
      <c r="M115" s="65" t="str">
        <f>IFERROR(__xludf.DUMMYFUNCTION("""COMPUTED_VALUE"""),"100g")</f>
        <v>100g</v>
      </c>
      <c r="N115" s="65" t="str">
        <f>IFERROR(__xludf.DUMMYFUNCTION("""COMPUTED_VALUE"""),"105x")</f>
        <v>105x</v>
      </c>
      <c r="O115" s="65" t="str">
        <f>IFERROR(__xludf.DUMMYFUNCTION("""COMPUTED_VALUE"""),"110x")</f>
        <v>110x</v>
      </c>
      <c r="P115" s="64">
        <f>IFERROR(__xludf.DUMMYFUNCTION("""COMPUTED_VALUE"""),100.0)</f>
        <v>100</v>
      </c>
      <c r="Q115" s="65" t="str">
        <f>IFERROR(__xludf.DUMMYFUNCTION("""COMPUTED_VALUE"""),"195g")</f>
        <v>195g</v>
      </c>
      <c r="R115" s="65" t="str">
        <f>IFERROR(__xludf.DUMMYFUNCTION("""COMPUTED_VALUE"""),"205g")</f>
        <v>205g</v>
      </c>
      <c r="S115" s="65" t="str">
        <f>IFERROR(__xludf.DUMMYFUNCTION("""COMPUTED_VALUE"""),"220g")</f>
        <v>220g</v>
      </c>
      <c r="T115" s="64">
        <f>IFERROR(__xludf.DUMMYFUNCTION("""COMPUTED_VALUE"""),220.0)</f>
        <v>220</v>
      </c>
      <c r="U115" s="66">
        <f>IFERROR(__xludf.DUMMYFUNCTION("""COMPUTED_VALUE"""),525.0)</f>
        <v>525</v>
      </c>
      <c r="V115" s="78">
        <f>IFERROR(__xludf.DUMMYFUNCTION("""COMPUTED_VALUE"""),2.586206896551724)</f>
        <v>2.586206897</v>
      </c>
    </row>
    <row r="116">
      <c r="A116" s="73">
        <v>242.0</v>
      </c>
      <c r="B116" s="68" t="s">
        <v>120</v>
      </c>
      <c r="C116" s="68">
        <v>12.0</v>
      </c>
      <c r="D116" s="68" t="str">
        <f>IFERROR(__xludf.DUMMYFUNCTION("ARRAY_CONSTRAIN(sort(filter(WJV_Tie_Breaker!D6:X285,WJV_Tie_Breaker!D6:D285=""242 WJV""),18,false,4,true,20,false,21,true),10,19)"),"242 WJV")</f>
        <v>242 WJV</v>
      </c>
      <c r="E116" s="69" t="str">
        <f>IFERROR(__xludf.DUMMYFUNCTION("""COMPUTED_VALUE"""),"WJV")</f>
        <v>WJV</v>
      </c>
      <c r="F116" s="70" t="str">
        <f>IFERROR(__xludf.DUMMYFUNCTION("""COMPUTED_VALUE"""),"Montague")</f>
        <v>Montague</v>
      </c>
      <c r="G116" s="69">
        <f>IFERROR(__xludf.DUMMYFUNCTION("""COMPUTED_VALUE"""),229.0)</f>
        <v>229</v>
      </c>
      <c r="H116" s="70" t="str">
        <f>IFERROR(__xludf.DUMMYFUNCTION("""COMPUTED_VALUE"""),"Marsh, Alexis")</f>
        <v>Marsh, Alexis</v>
      </c>
      <c r="I116" s="71" t="str">
        <f>IFERROR(__xludf.DUMMYFUNCTION("""COMPUTED_VALUE"""),"180g")</f>
        <v>180g</v>
      </c>
      <c r="J116" s="69" t="str">
        <f>IFERROR(__xludf.DUMMYFUNCTION("""COMPUTED_VALUE"""),"205g")</f>
        <v>205g</v>
      </c>
      <c r="K116" s="69" t="str">
        <f>IFERROR(__xludf.DUMMYFUNCTION("""COMPUTED_VALUE"""),"225g")</f>
        <v>225g</v>
      </c>
      <c r="L116" s="64">
        <f>IFERROR(__xludf.DUMMYFUNCTION("""COMPUTED_VALUE"""),225.0)</f>
        <v>225</v>
      </c>
      <c r="M116" s="72" t="str">
        <f>IFERROR(__xludf.DUMMYFUNCTION("""COMPUTED_VALUE"""),"100g")</f>
        <v>100g</v>
      </c>
      <c r="N116" s="72" t="str">
        <f>IFERROR(__xludf.DUMMYFUNCTION("""COMPUTED_VALUE"""),"110g")</f>
        <v>110g</v>
      </c>
      <c r="O116" s="72" t="str">
        <f>IFERROR(__xludf.DUMMYFUNCTION("""COMPUTED_VALUE"""),"125x")</f>
        <v>125x</v>
      </c>
      <c r="P116" s="64">
        <f>IFERROR(__xludf.DUMMYFUNCTION("""COMPUTED_VALUE"""),110.0)</f>
        <v>110</v>
      </c>
      <c r="Q116" s="72" t="str">
        <f>IFERROR(__xludf.DUMMYFUNCTION("""COMPUTED_VALUE"""),"270g")</f>
        <v>270g</v>
      </c>
      <c r="R116" s="72" t="str">
        <f>IFERROR(__xludf.DUMMYFUNCTION("""COMPUTED_VALUE"""),"300g")</f>
        <v>300g</v>
      </c>
      <c r="S116" s="72" t="str">
        <f>IFERROR(__xludf.DUMMYFUNCTION("""COMPUTED_VALUE"""),"310g")</f>
        <v>310g</v>
      </c>
      <c r="T116" s="64">
        <f>IFERROR(__xludf.DUMMYFUNCTION("""COMPUTED_VALUE"""),310.0)</f>
        <v>310</v>
      </c>
      <c r="U116" s="66">
        <f>IFERROR(__xludf.DUMMYFUNCTION("""COMPUTED_VALUE"""),645.0)</f>
        <v>645</v>
      </c>
      <c r="V116" s="79">
        <f>IFERROR(__xludf.DUMMYFUNCTION("""COMPUTED_VALUE"""),2.816593886462882)</f>
        <v>2.816593886</v>
      </c>
    </row>
    <row r="117">
      <c r="B117" s="68" t="s">
        <v>121</v>
      </c>
      <c r="C117" s="68">
        <v>9.0</v>
      </c>
      <c r="D117" s="68" t="str">
        <f>IFERROR(__xludf.DUMMYFUNCTION("""COMPUTED_VALUE"""),"242 WJV")</f>
        <v>242 WJV</v>
      </c>
      <c r="E117" s="69" t="str">
        <f>IFERROR(__xludf.DUMMYFUNCTION("""COMPUTED_VALUE"""),"WJV")</f>
        <v>WJV</v>
      </c>
      <c r="F117" s="70" t="str">
        <f>IFERROR(__xludf.DUMMYFUNCTION("""COMPUTED_VALUE"""),"Port Huron")</f>
        <v>Port Huron</v>
      </c>
      <c r="G117" s="69">
        <f>IFERROR(__xludf.DUMMYFUNCTION("""COMPUTED_VALUE"""),227.8)</f>
        <v>227.8</v>
      </c>
      <c r="H117" s="70" t="str">
        <f>IFERROR(__xludf.DUMMYFUNCTION("""COMPUTED_VALUE"""),"Bethany, Amaiya")</f>
        <v>Bethany, Amaiya</v>
      </c>
      <c r="I117" s="71" t="str">
        <f>IFERROR(__xludf.DUMMYFUNCTION("""COMPUTED_VALUE"""),"185g")</f>
        <v>185g</v>
      </c>
      <c r="J117" s="69" t="str">
        <f>IFERROR(__xludf.DUMMYFUNCTION("""COMPUTED_VALUE"""),"200g")</f>
        <v>200g</v>
      </c>
      <c r="K117" s="69" t="str">
        <f>IFERROR(__xludf.DUMMYFUNCTION("""COMPUTED_VALUE"""),"225x")</f>
        <v>225x</v>
      </c>
      <c r="L117" s="64">
        <f>IFERROR(__xludf.DUMMYFUNCTION("""COMPUTED_VALUE"""),200.0)</f>
        <v>200</v>
      </c>
      <c r="M117" s="72" t="str">
        <f>IFERROR(__xludf.DUMMYFUNCTION("""COMPUTED_VALUE"""),"115g")</f>
        <v>115g</v>
      </c>
      <c r="N117" s="72" t="str">
        <f>IFERROR(__xludf.DUMMYFUNCTION("""COMPUTED_VALUE"""),"125g")</f>
        <v>125g</v>
      </c>
      <c r="O117" s="72" t="str">
        <f>IFERROR(__xludf.DUMMYFUNCTION("""COMPUTED_VALUE"""),"130g")</f>
        <v>130g</v>
      </c>
      <c r="P117" s="64">
        <f>IFERROR(__xludf.DUMMYFUNCTION("""COMPUTED_VALUE"""),130.0)</f>
        <v>130</v>
      </c>
      <c r="Q117" s="72" t="str">
        <f>IFERROR(__xludf.DUMMYFUNCTION("""COMPUTED_VALUE"""),"260g")</f>
        <v>260g</v>
      </c>
      <c r="R117" s="72" t="str">
        <f>IFERROR(__xludf.DUMMYFUNCTION("""COMPUTED_VALUE"""),"285g")</f>
        <v>285g</v>
      </c>
      <c r="S117" s="72" t="str">
        <f>IFERROR(__xludf.DUMMYFUNCTION("""COMPUTED_VALUE"""),"305g")</f>
        <v>305g</v>
      </c>
      <c r="T117" s="64">
        <f>IFERROR(__xludf.DUMMYFUNCTION("""COMPUTED_VALUE"""),305.0)</f>
        <v>305</v>
      </c>
      <c r="U117" s="66">
        <f>IFERROR(__xludf.DUMMYFUNCTION("""COMPUTED_VALUE"""),635.0)</f>
        <v>635</v>
      </c>
      <c r="V117" s="79">
        <f>IFERROR(__xludf.DUMMYFUNCTION("""COMPUTED_VALUE"""),2.7875329236172077)</f>
        <v>2.787532924</v>
      </c>
    </row>
    <row r="118">
      <c r="B118" s="68" t="s">
        <v>122</v>
      </c>
      <c r="C118" s="68">
        <f>if(countif(F116:F117,F118)&gt;1,0,8)</f>
        <v>8</v>
      </c>
      <c r="D118" s="68" t="str">
        <f>IFERROR(__xludf.DUMMYFUNCTION("""COMPUTED_VALUE"""),"242 WJV")</f>
        <v>242 WJV</v>
      </c>
      <c r="E118" s="69" t="str">
        <f>IFERROR(__xludf.DUMMYFUNCTION("""COMPUTED_VALUE"""),"WJV")</f>
        <v>WJV</v>
      </c>
      <c r="F118" s="70" t="str">
        <f>IFERROR(__xludf.DUMMYFUNCTION("""COMPUTED_VALUE"""),"Port Huron")</f>
        <v>Port Huron</v>
      </c>
      <c r="G118" s="69">
        <f>IFERROR(__xludf.DUMMYFUNCTION("""COMPUTED_VALUE"""),227.6)</f>
        <v>227.6</v>
      </c>
      <c r="H118" s="70" t="str">
        <f>IFERROR(__xludf.DUMMYFUNCTION("""COMPUTED_VALUE"""),"Hinojosa, Alexia")</f>
        <v>Hinojosa, Alexia</v>
      </c>
      <c r="I118" s="71" t="str">
        <f>IFERROR(__xludf.DUMMYFUNCTION("""COMPUTED_VALUE"""),"185g")</f>
        <v>185g</v>
      </c>
      <c r="J118" s="69" t="str">
        <f>IFERROR(__xludf.DUMMYFUNCTION("""COMPUTED_VALUE"""),"195g")</f>
        <v>195g</v>
      </c>
      <c r="K118" s="69" t="str">
        <f>IFERROR(__xludf.DUMMYFUNCTION("""COMPUTED_VALUE"""),"205g")</f>
        <v>205g</v>
      </c>
      <c r="L118" s="64">
        <f>IFERROR(__xludf.DUMMYFUNCTION("""COMPUTED_VALUE"""),205.0)</f>
        <v>205</v>
      </c>
      <c r="M118" s="72" t="str">
        <f>IFERROR(__xludf.DUMMYFUNCTION("""COMPUTED_VALUE"""),"120x")</f>
        <v>120x</v>
      </c>
      <c r="N118" s="72" t="str">
        <f>IFERROR(__xludf.DUMMYFUNCTION("""COMPUTED_VALUE"""),"120x")</f>
        <v>120x</v>
      </c>
      <c r="O118" s="72" t="str">
        <f>IFERROR(__xludf.DUMMYFUNCTION("""COMPUTED_VALUE"""),"120g")</f>
        <v>120g</v>
      </c>
      <c r="P118" s="64">
        <f>IFERROR(__xludf.DUMMYFUNCTION("""COMPUTED_VALUE"""),120.0)</f>
        <v>120</v>
      </c>
      <c r="Q118" s="72" t="str">
        <f>IFERROR(__xludf.DUMMYFUNCTION("""COMPUTED_VALUE"""),"280x")</f>
        <v>280x</v>
      </c>
      <c r="R118" s="72" t="str">
        <f>IFERROR(__xludf.DUMMYFUNCTION("""COMPUTED_VALUE"""),"280g")</f>
        <v>280g</v>
      </c>
      <c r="S118" s="72" t="str">
        <f>IFERROR(__xludf.DUMMYFUNCTION("""COMPUTED_VALUE"""),"290x")</f>
        <v>290x</v>
      </c>
      <c r="T118" s="64">
        <f>IFERROR(__xludf.DUMMYFUNCTION("""COMPUTED_VALUE"""),280.0)</f>
        <v>280</v>
      </c>
      <c r="U118" s="66">
        <f>IFERROR(__xludf.DUMMYFUNCTION("""COMPUTED_VALUE"""),605.0)</f>
        <v>605</v>
      </c>
      <c r="V118" s="79">
        <f>IFERROR(__xludf.DUMMYFUNCTION("""COMPUTED_VALUE"""),2.65817223198594)</f>
        <v>2.658172232</v>
      </c>
    </row>
    <row r="119">
      <c r="B119" s="68" t="s">
        <v>123</v>
      </c>
      <c r="C119" s="68">
        <f>if(countif(F116:F118,F119)&gt;1,0,7)</f>
        <v>7</v>
      </c>
      <c r="D119" s="68" t="str">
        <f>IFERROR(__xludf.DUMMYFUNCTION("""COMPUTED_VALUE"""),"242 WJV")</f>
        <v>242 WJV</v>
      </c>
      <c r="E119" s="69" t="str">
        <f>IFERROR(__xludf.DUMMYFUNCTION("""COMPUTED_VALUE"""),"WJV")</f>
        <v>WJV</v>
      </c>
      <c r="F119" s="70" t="str">
        <f>IFERROR(__xludf.DUMMYFUNCTION("""COMPUTED_VALUE"""),"Edwardsburg")</f>
        <v>Edwardsburg</v>
      </c>
      <c r="G119" s="69">
        <f>IFERROR(__xludf.DUMMYFUNCTION("""COMPUTED_VALUE"""),231.2)</f>
        <v>231.2</v>
      </c>
      <c r="H119" s="70" t="str">
        <f>IFERROR(__xludf.DUMMYFUNCTION("""COMPUTED_VALUE"""),"Campoli, Isabella")</f>
        <v>Campoli, Isabella</v>
      </c>
      <c r="I119" s="71" t="str">
        <f>IFERROR(__xludf.DUMMYFUNCTION("""COMPUTED_VALUE"""),"135g")</f>
        <v>135g</v>
      </c>
      <c r="J119" s="69" t="str">
        <f>IFERROR(__xludf.DUMMYFUNCTION("""COMPUTED_VALUE"""),"165g")</f>
        <v>165g</v>
      </c>
      <c r="K119" s="69" t="str">
        <f>IFERROR(__xludf.DUMMYFUNCTION("""COMPUTED_VALUE"""),"185g")</f>
        <v>185g</v>
      </c>
      <c r="L119" s="64">
        <f>IFERROR(__xludf.DUMMYFUNCTION("""COMPUTED_VALUE"""),185.0)</f>
        <v>185</v>
      </c>
      <c r="M119" s="72" t="str">
        <f>IFERROR(__xludf.DUMMYFUNCTION("""COMPUTED_VALUE"""),"95g")</f>
        <v>95g</v>
      </c>
      <c r="N119" s="72" t="str">
        <f>IFERROR(__xludf.DUMMYFUNCTION("""COMPUTED_VALUE"""),"115g")</f>
        <v>115g</v>
      </c>
      <c r="O119" s="72" t="str">
        <f>IFERROR(__xludf.DUMMYFUNCTION("""COMPUTED_VALUE"""),"125x")</f>
        <v>125x</v>
      </c>
      <c r="P119" s="64">
        <f>IFERROR(__xludf.DUMMYFUNCTION("""COMPUTED_VALUE"""),115.0)</f>
        <v>115</v>
      </c>
      <c r="Q119" s="72" t="str">
        <f>IFERROR(__xludf.DUMMYFUNCTION("""COMPUTED_VALUE"""),"250g")</f>
        <v>250g</v>
      </c>
      <c r="R119" s="72" t="str">
        <f>IFERROR(__xludf.DUMMYFUNCTION("""COMPUTED_VALUE"""),"285g")</f>
        <v>285g</v>
      </c>
      <c r="S119" s="72" t="str">
        <f>IFERROR(__xludf.DUMMYFUNCTION("""COMPUTED_VALUE"""),"305g")</f>
        <v>305g</v>
      </c>
      <c r="T119" s="64">
        <f>IFERROR(__xludf.DUMMYFUNCTION("""COMPUTED_VALUE"""),305.0)</f>
        <v>305</v>
      </c>
      <c r="U119" s="66">
        <f>IFERROR(__xludf.DUMMYFUNCTION("""COMPUTED_VALUE"""),605.0)</f>
        <v>605</v>
      </c>
      <c r="V119" s="79">
        <f>IFERROR(__xludf.DUMMYFUNCTION("""COMPUTED_VALUE"""),2.6167820069204155)</f>
        <v>2.616782007</v>
      </c>
    </row>
    <row r="120">
      <c r="B120" s="68" t="s">
        <v>124</v>
      </c>
      <c r="C120" s="68">
        <f>if(countif(F116:F119,F120)&gt;1,0,6)</f>
        <v>6</v>
      </c>
      <c r="D120" s="68" t="str">
        <f>IFERROR(__xludf.DUMMYFUNCTION("""COMPUTED_VALUE"""),"242 WJV")</f>
        <v>242 WJV</v>
      </c>
      <c r="E120" s="69" t="str">
        <f>IFERROR(__xludf.DUMMYFUNCTION("""COMPUTED_VALUE"""),"WJV")</f>
        <v>WJV</v>
      </c>
      <c r="F120" s="70" t="str">
        <f>IFERROR(__xludf.DUMMYFUNCTION("""COMPUTED_VALUE"""),"Lake Orion")</f>
        <v>Lake Orion</v>
      </c>
      <c r="G120" s="69">
        <f>IFERROR(__xludf.DUMMYFUNCTION("""COMPUTED_VALUE"""),229.6)</f>
        <v>229.6</v>
      </c>
      <c r="H120" s="70" t="str">
        <f>IFERROR(__xludf.DUMMYFUNCTION("""COMPUTED_VALUE"""),"Butcher, Veronica")</f>
        <v>Butcher, Veronica</v>
      </c>
      <c r="I120" s="71" t="str">
        <f>IFERROR(__xludf.DUMMYFUNCTION("""COMPUTED_VALUE"""),"210g")</f>
        <v>210g</v>
      </c>
      <c r="J120" s="69" t="str">
        <f>IFERROR(__xludf.DUMMYFUNCTION("""COMPUTED_VALUE"""),"220x")</f>
        <v>220x</v>
      </c>
      <c r="K120" s="69" t="str">
        <f>IFERROR(__xludf.DUMMYFUNCTION("""COMPUTED_VALUE"""),"225x")</f>
        <v>225x</v>
      </c>
      <c r="L120" s="64">
        <f>IFERROR(__xludf.DUMMYFUNCTION("""COMPUTED_VALUE"""),210.0)</f>
        <v>210</v>
      </c>
      <c r="M120" s="72" t="str">
        <f>IFERROR(__xludf.DUMMYFUNCTION("""COMPUTED_VALUE"""),"105g")</f>
        <v>105g</v>
      </c>
      <c r="N120" s="72" t="str">
        <f>IFERROR(__xludf.DUMMYFUNCTION("""COMPUTED_VALUE"""),"110g")</f>
        <v>110g</v>
      </c>
      <c r="O120" s="72" t="str">
        <f>IFERROR(__xludf.DUMMYFUNCTION("""COMPUTED_VALUE"""),"120x")</f>
        <v>120x</v>
      </c>
      <c r="P120" s="64">
        <f>IFERROR(__xludf.DUMMYFUNCTION("""COMPUTED_VALUE"""),110.0)</f>
        <v>110</v>
      </c>
      <c r="Q120" s="72" t="str">
        <f>IFERROR(__xludf.DUMMYFUNCTION("""COMPUTED_VALUE"""),"230g")</f>
        <v>230g</v>
      </c>
      <c r="R120" s="72" t="str">
        <f>IFERROR(__xludf.DUMMYFUNCTION("""COMPUTED_VALUE"""),"250g")</f>
        <v>250g</v>
      </c>
      <c r="S120" s="72" t="str">
        <f>IFERROR(__xludf.DUMMYFUNCTION("""COMPUTED_VALUE"""),"275g")</f>
        <v>275g</v>
      </c>
      <c r="T120" s="64">
        <f>IFERROR(__xludf.DUMMYFUNCTION("""COMPUTED_VALUE"""),275.0)</f>
        <v>275</v>
      </c>
      <c r="U120" s="66">
        <f>IFERROR(__xludf.DUMMYFUNCTION("""COMPUTED_VALUE"""),595.0)</f>
        <v>595</v>
      </c>
      <c r="V120" s="79">
        <f>IFERROR(__xludf.DUMMYFUNCTION("""COMPUTED_VALUE"""),2.591463414634146)</f>
        <v>2.591463415</v>
      </c>
    </row>
    <row r="121">
      <c r="B121" s="68" t="s">
        <v>125</v>
      </c>
      <c r="C121" s="68">
        <f>if(countif(F116:F120,F121)&gt;1,0,5)</f>
        <v>5</v>
      </c>
      <c r="D121" s="68" t="str">
        <f>IFERROR(__xludf.DUMMYFUNCTION("""COMPUTED_VALUE"""),"242 WJV")</f>
        <v>242 WJV</v>
      </c>
      <c r="E121" s="69" t="str">
        <f>IFERROR(__xludf.DUMMYFUNCTION("""COMPUTED_VALUE"""),"WJV")</f>
        <v>WJV</v>
      </c>
      <c r="F121" s="70" t="str">
        <f>IFERROR(__xludf.DUMMYFUNCTION("""COMPUTED_VALUE"""),"Birch Run")</f>
        <v>Birch Run</v>
      </c>
      <c r="G121" s="69">
        <f>IFERROR(__xludf.DUMMYFUNCTION("""COMPUTED_VALUE"""),222.0)</f>
        <v>222</v>
      </c>
      <c r="H121" s="70" t="str">
        <f>IFERROR(__xludf.DUMMYFUNCTION("""COMPUTED_VALUE"""),"Murlick, Lindsey")</f>
        <v>Murlick, Lindsey</v>
      </c>
      <c r="I121" s="71" t="str">
        <f>IFERROR(__xludf.DUMMYFUNCTION("""COMPUTED_VALUE"""),"205g")</f>
        <v>205g</v>
      </c>
      <c r="J121" s="69" t="str">
        <f>IFERROR(__xludf.DUMMYFUNCTION("""COMPUTED_VALUE"""),"220g")</f>
        <v>220g</v>
      </c>
      <c r="K121" s="69" t="str">
        <f>IFERROR(__xludf.DUMMYFUNCTION("""COMPUTED_VALUE"""),"225x")</f>
        <v>225x</v>
      </c>
      <c r="L121" s="64">
        <f>IFERROR(__xludf.DUMMYFUNCTION("""COMPUTED_VALUE"""),220.0)</f>
        <v>220</v>
      </c>
      <c r="M121" s="72" t="str">
        <f>IFERROR(__xludf.DUMMYFUNCTION("""COMPUTED_VALUE"""),"105g")</f>
        <v>105g</v>
      </c>
      <c r="N121" s="72" t="str">
        <f>IFERROR(__xludf.DUMMYFUNCTION("""COMPUTED_VALUE"""),"115x")</f>
        <v>115x</v>
      </c>
      <c r="O121" s="72" t="str">
        <f>IFERROR(__xludf.DUMMYFUNCTION("""COMPUTED_VALUE"""),"115x")</f>
        <v>115x</v>
      </c>
      <c r="P121" s="64">
        <f>IFERROR(__xludf.DUMMYFUNCTION("""COMPUTED_VALUE"""),105.0)</f>
        <v>105</v>
      </c>
      <c r="Q121" s="72" t="str">
        <f>IFERROR(__xludf.DUMMYFUNCTION("""COMPUTED_VALUE"""),"265g")</f>
        <v>265g</v>
      </c>
      <c r="R121" s="72" t="str">
        <f>IFERROR(__xludf.DUMMYFUNCTION("""COMPUTED_VALUE"""),"290x")</f>
        <v>290x</v>
      </c>
      <c r="S121" s="72" t="str">
        <f>IFERROR(__xludf.DUMMYFUNCTION("""COMPUTED_VALUE"""),"290x")</f>
        <v>290x</v>
      </c>
      <c r="T121" s="64">
        <f>IFERROR(__xludf.DUMMYFUNCTION("""COMPUTED_VALUE"""),265.0)</f>
        <v>265</v>
      </c>
      <c r="U121" s="66">
        <f>IFERROR(__xludf.DUMMYFUNCTION("""COMPUTED_VALUE"""),590.0)</f>
        <v>590</v>
      </c>
      <c r="V121" s="79">
        <f>IFERROR(__xludf.DUMMYFUNCTION("""COMPUTED_VALUE"""),2.6576576576576576)</f>
        <v>2.657657658</v>
      </c>
    </row>
    <row r="122">
      <c r="B122" s="68" t="s">
        <v>126</v>
      </c>
      <c r="C122" s="68">
        <f>if(countif(F116:F121,F122)&gt;1,0,4)</f>
        <v>4</v>
      </c>
      <c r="D122" s="68" t="str">
        <f>IFERROR(__xludf.DUMMYFUNCTION("""COMPUTED_VALUE"""),"242 WJV")</f>
        <v>242 WJV</v>
      </c>
      <c r="E122" s="69" t="str">
        <f>IFERROR(__xludf.DUMMYFUNCTION("""COMPUTED_VALUE"""),"WJV")</f>
        <v>WJV</v>
      </c>
      <c r="F122" s="70" t="str">
        <f>IFERROR(__xludf.DUMMYFUNCTION("""COMPUTED_VALUE"""),"Henry Ford II")</f>
        <v>Henry Ford II</v>
      </c>
      <c r="G122" s="69">
        <f>IFERROR(__xludf.DUMMYFUNCTION("""COMPUTED_VALUE"""),235.8)</f>
        <v>235.8</v>
      </c>
      <c r="H122" s="70" t="str">
        <f>IFERROR(__xludf.DUMMYFUNCTION("""COMPUTED_VALUE"""),"McIntosh, Hailee")</f>
        <v>McIntosh, Hailee</v>
      </c>
      <c r="I122" s="71" t="str">
        <f>IFERROR(__xludf.DUMMYFUNCTION("""COMPUTED_VALUE"""),"185x")</f>
        <v>185x</v>
      </c>
      <c r="J122" s="69" t="str">
        <f>IFERROR(__xludf.DUMMYFUNCTION("""COMPUTED_VALUE"""),"185g")</f>
        <v>185g</v>
      </c>
      <c r="K122" s="69" t="str">
        <f>IFERROR(__xludf.DUMMYFUNCTION("""COMPUTED_VALUE"""),"200g")</f>
        <v>200g</v>
      </c>
      <c r="L122" s="64">
        <f>IFERROR(__xludf.DUMMYFUNCTION("""COMPUTED_VALUE"""),200.0)</f>
        <v>200</v>
      </c>
      <c r="M122" s="72" t="str">
        <f>IFERROR(__xludf.DUMMYFUNCTION("""COMPUTED_VALUE"""),"115g")</f>
        <v>115g</v>
      </c>
      <c r="N122" s="72" t="str">
        <f>IFERROR(__xludf.DUMMYFUNCTION("""COMPUTED_VALUE"""),"125x")</f>
        <v>125x</v>
      </c>
      <c r="O122" s="72" t="str">
        <f>IFERROR(__xludf.DUMMYFUNCTION("""COMPUTED_VALUE"""),"125x")</f>
        <v>125x</v>
      </c>
      <c r="P122" s="64">
        <f>IFERROR(__xludf.DUMMYFUNCTION("""COMPUTED_VALUE"""),115.0)</f>
        <v>115</v>
      </c>
      <c r="Q122" s="72" t="str">
        <f>IFERROR(__xludf.DUMMYFUNCTION("""COMPUTED_VALUE"""),"200g")</f>
        <v>200g</v>
      </c>
      <c r="R122" s="72" t="str">
        <f>IFERROR(__xludf.DUMMYFUNCTION("""COMPUTED_VALUE"""),"210g")</f>
        <v>210g</v>
      </c>
      <c r="S122" s="72" t="str">
        <f>IFERROR(__xludf.DUMMYFUNCTION("""COMPUTED_VALUE"""),"225g")</f>
        <v>225g</v>
      </c>
      <c r="T122" s="64">
        <f>IFERROR(__xludf.DUMMYFUNCTION("""COMPUTED_VALUE"""),225.0)</f>
        <v>225</v>
      </c>
      <c r="U122" s="66">
        <f>IFERROR(__xludf.DUMMYFUNCTION("""COMPUTED_VALUE"""),540.0)</f>
        <v>540</v>
      </c>
      <c r="V122" s="79">
        <f>IFERROR(__xludf.DUMMYFUNCTION("""COMPUTED_VALUE"""),2.2900763358778624)</f>
        <v>2.290076336</v>
      </c>
    </row>
    <row r="123">
      <c r="B123" s="68" t="s">
        <v>127</v>
      </c>
      <c r="C123" s="68">
        <f>if(countif(F116:F122,F123)&gt;1,0,3)</f>
        <v>3</v>
      </c>
      <c r="D123" s="68"/>
      <c r="E123" s="69"/>
      <c r="F123" s="70"/>
      <c r="G123" s="69"/>
      <c r="H123" s="70"/>
      <c r="I123" s="71"/>
      <c r="J123" s="69"/>
      <c r="K123" s="69"/>
      <c r="L123" s="64"/>
      <c r="M123" s="72"/>
      <c r="N123" s="72"/>
      <c r="O123" s="72"/>
      <c r="P123" s="64"/>
      <c r="Q123" s="72"/>
      <c r="R123" s="72"/>
      <c r="S123" s="72"/>
      <c r="T123" s="64"/>
      <c r="U123" s="66"/>
      <c r="V123" s="72"/>
    </row>
    <row r="124">
      <c r="B124" s="68" t="s">
        <v>128</v>
      </c>
      <c r="C124" s="68">
        <f>if(countif(F116:F123,F124)&gt;1,0,2)</f>
        <v>2</v>
      </c>
      <c r="D124" s="68"/>
      <c r="E124" s="69"/>
      <c r="F124" s="70"/>
      <c r="G124" s="69"/>
      <c r="H124" s="70"/>
      <c r="I124" s="71"/>
      <c r="J124" s="69"/>
      <c r="K124" s="69"/>
      <c r="L124" s="64"/>
      <c r="M124" s="72"/>
      <c r="N124" s="72"/>
      <c r="O124" s="72"/>
      <c r="P124" s="64"/>
      <c r="Q124" s="72"/>
      <c r="R124" s="72"/>
      <c r="S124" s="72"/>
      <c r="T124" s="64"/>
      <c r="U124" s="66"/>
      <c r="V124" s="72"/>
    </row>
    <row r="125">
      <c r="B125" s="68" t="s">
        <v>129</v>
      </c>
      <c r="C125" s="68">
        <f>if(countif(F116:F124,F125)&gt;1,0,1)</f>
        <v>1</v>
      </c>
      <c r="D125" s="68"/>
      <c r="E125" s="69"/>
      <c r="F125" s="70"/>
      <c r="G125" s="69"/>
      <c r="H125" s="70"/>
      <c r="I125" s="71"/>
      <c r="J125" s="69"/>
      <c r="K125" s="69"/>
      <c r="L125" s="64"/>
      <c r="M125" s="72"/>
      <c r="N125" s="72"/>
      <c r="O125" s="72"/>
      <c r="P125" s="64"/>
      <c r="Q125" s="72"/>
      <c r="R125" s="72"/>
      <c r="S125" s="72"/>
      <c r="T125" s="64"/>
      <c r="U125" s="66"/>
      <c r="V125" s="72"/>
    </row>
    <row r="126">
      <c r="A126" s="58" t="s">
        <v>130</v>
      </c>
      <c r="B126" s="59" t="s">
        <v>120</v>
      </c>
      <c r="C126" s="59">
        <v>12.0</v>
      </c>
      <c r="D126" s="59" t="str">
        <f>IFERROR(__xludf.DUMMYFUNCTION("ARRAY_CONSTRAIN(sort(filter(WJV_Tie_Breaker!D6:X285,WJV_Tie_Breaker!D6:D285=""SHW WJV""),18,false,4,true,20,false,21,true),10,19)"),"SHW WJV")</f>
        <v>SHW WJV</v>
      </c>
      <c r="E126" s="61" t="str">
        <f>IFERROR(__xludf.DUMMYFUNCTION("""COMPUTED_VALUE"""),"WJV")</f>
        <v>WJV</v>
      </c>
      <c r="F126" s="62" t="str">
        <f>IFERROR(__xludf.DUMMYFUNCTION("""COMPUTED_VALUE"""),"Shepherd")</f>
        <v>Shepherd</v>
      </c>
      <c r="G126" s="61">
        <f>IFERROR(__xludf.DUMMYFUNCTION("""COMPUTED_VALUE"""),270.4)</f>
        <v>270.4</v>
      </c>
      <c r="H126" s="62" t="str">
        <f>IFERROR(__xludf.DUMMYFUNCTION("""COMPUTED_VALUE"""),"Ryan, Hailey")</f>
        <v>Ryan, Hailey</v>
      </c>
      <c r="I126" s="63" t="str">
        <f>IFERROR(__xludf.DUMMYFUNCTION("""COMPUTED_VALUE"""),"275x")</f>
        <v>275x</v>
      </c>
      <c r="J126" s="61" t="str">
        <f>IFERROR(__xludf.DUMMYFUNCTION("""COMPUTED_VALUE"""),"275g")</f>
        <v>275g</v>
      </c>
      <c r="K126" s="61" t="str">
        <f>IFERROR(__xludf.DUMMYFUNCTION("""COMPUTED_VALUE"""),"335x")</f>
        <v>335x</v>
      </c>
      <c r="L126" s="64">
        <f>IFERROR(__xludf.DUMMYFUNCTION("""COMPUTED_VALUE"""),275.0)</f>
        <v>275</v>
      </c>
      <c r="M126" s="65" t="str">
        <f>IFERROR(__xludf.DUMMYFUNCTION("""COMPUTED_VALUE"""),"145g")</f>
        <v>145g</v>
      </c>
      <c r="N126" s="65" t="str">
        <f>IFERROR(__xludf.DUMMYFUNCTION("""COMPUTED_VALUE"""),"155g")</f>
        <v>155g</v>
      </c>
      <c r="O126" s="65" t="str">
        <f>IFERROR(__xludf.DUMMYFUNCTION("""COMPUTED_VALUE"""),"165x")</f>
        <v>165x</v>
      </c>
      <c r="P126" s="64">
        <f>IFERROR(__xludf.DUMMYFUNCTION("""COMPUTED_VALUE"""),155.0)</f>
        <v>155</v>
      </c>
      <c r="Q126" s="65" t="str">
        <f>IFERROR(__xludf.DUMMYFUNCTION("""COMPUTED_VALUE"""),"285g")</f>
        <v>285g</v>
      </c>
      <c r="R126" s="65" t="str">
        <f>IFERROR(__xludf.DUMMYFUNCTION("""COMPUTED_VALUE"""),"315g")</f>
        <v>315g</v>
      </c>
      <c r="S126" s="65" t="str">
        <f>IFERROR(__xludf.DUMMYFUNCTION("""COMPUTED_VALUE"""),"340g")</f>
        <v>340g</v>
      </c>
      <c r="T126" s="64">
        <f>IFERROR(__xludf.DUMMYFUNCTION("""COMPUTED_VALUE"""),340.0)</f>
        <v>340</v>
      </c>
      <c r="U126" s="66">
        <f>IFERROR(__xludf.DUMMYFUNCTION("""COMPUTED_VALUE"""),770.0)</f>
        <v>770</v>
      </c>
      <c r="V126" s="78">
        <f>IFERROR(__xludf.DUMMYFUNCTION("""COMPUTED_VALUE"""),2.8476331360946747)</f>
        <v>2.847633136</v>
      </c>
      <c r="W126" s="57"/>
    </row>
    <row r="127">
      <c r="B127" s="59" t="s">
        <v>121</v>
      </c>
      <c r="C127" s="59">
        <v>9.0</v>
      </c>
      <c r="D127" s="59" t="str">
        <f>IFERROR(__xludf.DUMMYFUNCTION("""COMPUTED_VALUE"""),"SHW WJV")</f>
        <v>SHW WJV</v>
      </c>
      <c r="E127" s="61" t="str">
        <f>IFERROR(__xludf.DUMMYFUNCTION("""COMPUTED_VALUE"""),"WJV")</f>
        <v>WJV</v>
      </c>
      <c r="F127" s="62" t="str">
        <f>IFERROR(__xludf.DUMMYFUNCTION("""COMPUTED_VALUE"""),"Birch Run")</f>
        <v>Birch Run</v>
      </c>
      <c r="G127" s="61">
        <f>IFERROR(__xludf.DUMMYFUNCTION("""COMPUTED_VALUE"""),251.2)</f>
        <v>251.2</v>
      </c>
      <c r="H127" s="62" t="str">
        <f>IFERROR(__xludf.DUMMYFUNCTION("""COMPUTED_VALUE"""),"Gubbins, Tiffany")</f>
        <v>Gubbins, Tiffany</v>
      </c>
      <c r="I127" s="63" t="str">
        <f>IFERROR(__xludf.DUMMYFUNCTION("""COMPUTED_VALUE"""),"215g")</f>
        <v>215g</v>
      </c>
      <c r="J127" s="61" t="str">
        <f>IFERROR(__xludf.DUMMYFUNCTION("""COMPUTED_VALUE"""),"240g")</f>
        <v>240g</v>
      </c>
      <c r="K127" s="61" t="str">
        <f>IFERROR(__xludf.DUMMYFUNCTION("""COMPUTED_VALUE"""),"255x")</f>
        <v>255x</v>
      </c>
      <c r="L127" s="64">
        <f>IFERROR(__xludf.DUMMYFUNCTION("""COMPUTED_VALUE"""),240.0)</f>
        <v>240</v>
      </c>
      <c r="M127" s="65" t="str">
        <f>IFERROR(__xludf.DUMMYFUNCTION("""COMPUTED_VALUE"""),"125g")</f>
        <v>125g</v>
      </c>
      <c r="N127" s="65" t="str">
        <f>IFERROR(__xludf.DUMMYFUNCTION("""COMPUTED_VALUE"""),"135g")</f>
        <v>135g</v>
      </c>
      <c r="O127" s="65" t="str">
        <f>IFERROR(__xludf.DUMMYFUNCTION("""COMPUTED_VALUE"""),"145x")</f>
        <v>145x</v>
      </c>
      <c r="P127" s="64">
        <f>IFERROR(__xludf.DUMMYFUNCTION("""COMPUTED_VALUE"""),135.0)</f>
        <v>135</v>
      </c>
      <c r="Q127" s="65" t="str">
        <f>IFERROR(__xludf.DUMMYFUNCTION("""COMPUTED_VALUE"""),"265g")</f>
        <v>265g</v>
      </c>
      <c r="R127" s="65" t="str">
        <f>IFERROR(__xludf.DUMMYFUNCTION("""COMPUTED_VALUE"""),"285x")</f>
        <v>285x</v>
      </c>
      <c r="S127" s="65" t="str">
        <f>IFERROR(__xludf.DUMMYFUNCTION("""COMPUTED_VALUE"""),"285x")</f>
        <v>285x</v>
      </c>
      <c r="T127" s="64">
        <f>IFERROR(__xludf.DUMMYFUNCTION("""COMPUTED_VALUE"""),265.0)</f>
        <v>265</v>
      </c>
      <c r="U127" s="66">
        <f>IFERROR(__xludf.DUMMYFUNCTION("""COMPUTED_VALUE"""),640.0)</f>
        <v>640</v>
      </c>
      <c r="V127" s="78">
        <f>IFERROR(__xludf.DUMMYFUNCTION("""COMPUTED_VALUE"""),2.547770700636943)</f>
        <v>2.547770701</v>
      </c>
      <c r="W127" s="57"/>
    </row>
    <row r="128">
      <c r="B128" s="59" t="s">
        <v>122</v>
      </c>
      <c r="C128" s="59">
        <f>if(countif(F126:F127,F128)&gt;1,0,8)</f>
        <v>8</v>
      </c>
      <c r="D128" s="59" t="str">
        <f>IFERROR(__xludf.DUMMYFUNCTION("""COMPUTED_VALUE"""),"SHW WJV")</f>
        <v>SHW WJV</v>
      </c>
      <c r="E128" s="61" t="str">
        <f>IFERROR(__xludf.DUMMYFUNCTION("""COMPUTED_VALUE"""),"WJV")</f>
        <v>WJV</v>
      </c>
      <c r="F128" s="62" t="str">
        <f>IFERROR(__xludf.DUMMYFUNCTION("""COMPUTED_VALUE"""),"Port Huron")</f>
        <v>Port Huron</v>
      </c>
      <c r="G128" s="61">
        <f>IFERROR(__xludf.DUMMYFUNCTION("""COMPUTED_VALUE"""),290.0)</f>
        <v>290</v>
      </c>
      <c r="H128" s="62" t="str">
        <f>IFERROR(__xludf.DUMMYFUNCTION("""COMPUTED_VALUE"""),"Bland, Cheyenne")</f>
        <v>Bland, Cheyenne</v>
      </c>
      <c r="I128" s="63" t="str">
        <f>IFERROR(__xludf.DUMMYFUNCTION("""COMPUTED_VALUE"""),"205g")</f>
        <v>205g</v>
      </c>
      <c r="J128" s="61" t="str">
        <f>IFERROR(__xludf.DUMMYFUNCTION("""COMPUTED_VALUE"""),"225x")</f>
        <v>225x</v>
      </c>
      <c r="K128" s="61" t="str">
        <f>IFERROR(__xludf.DUMMYFUNCTION("""COMPUTED_VALUE"""),"225g")</f>
        <v>225g</v>
      </c>
      <c r="L128" s="64">
        <f>IFERROR(__xludf.DUMMYFUNCTION("""COMPUTED_VALUE"""),225.0)</f>
        <v>225</v>
      </c>
      <c r="M128" s="65" t="str">
        <f>IFERROR(__xludf.DUMMYFUNCTION("""COMPUTED_VALUE"""),"105g")</f>
        <v>105g</v>
      </c>
      <c r="N128" s="65" t="str">
        <f>IFERROR(__xludf.DUMMYFUNCTION("""COMPUTED_VALUE"""),"110g")</f>
        <v>110g</v>
      </c>
      <c r="O128" s="65" t="str">
        <f>IFERROR(__xludf.DUMMYFUNCTION("""COMPUTED_VALUE"""),"115g")</f>
        <v>115g</v>
      </c>
      <c r="P128" s="64">
        <f>IFERROR(__xludf.DUMMYFUNCTION("""COMPUTED_VALUE"""),115.0)</f>
        <v>115</v>
      </c>
      <c r="Q128" s="65" t="str">
        <f>IFERROR(__xludf.DUMMYFUNCTION("""COMPUTED_VALUE"""),"280g")</f>
        <v>280g</v>
      </c>
      <c r="R128" s="65" t="str">
        <f>IFERROR(__xludf.DUMMYFUNCTION("""COMPUTED_VALUE"""),"295x")</f>
        <v>295x</v>
      </c>
      <c r="S128" s="65" t="str">
        <f>IFERROR(__xludf.DUMMYFUNCTION("""COMPUTED_VALUE"""),"295g")</f>
        <v>295g</v>
      </c>
      <c r="T128" s="64">
        <f>IFERROR(__xludf.DUMMYFUNCTION("""COMPUTED_VALUE"""),295.0)</f>
        <v>295</v>
      </c>
      <c r="U128" s="66">
        <f>IFERROR(__xludf.DUMMYFUNCTION("""COMPUTED_VALUE"""),635.0)</f>
        <v>635</v>
      </c>
      <c r="V128" s="78">
        <f>IFERROR(__xludf.DUMMYFUNCTION("""COMPUTED_VALUE"""),2.189655172413793)</f>
        <v>2.189655172</v>
      </c>
      <c r="W128" s="57"/>
    </row>
    <row r="129">
      <c r="B129" s="59" t="s">
        <v>123</v>
      </c>
      <c r="C129" s="59">
        <f>if(countif(F126:F128,F129)&gt;1,0,7)</f>
        <v>7</v>
      </c>
      <c r="D129" s="59" t="str">
        <f>IFERROR(__xludf.DUMMYFUNCTION("""COMPUTED_VALUE"""),"SHW WJV")</f>
        <v>SHW WJV</v>
      </c>
      <c r="E129" s="61" t="str">
        <f>IFERROR(__xludf.DUMMYFUNCTION("""COMPUTED_VALUE"""),"WJV")</f>
        <v>WJV</v>
      </c>
      <c r="F129" s="62" t="str">
        <f>IFERROR(__xludf.DUMMYFUNCTION("""COMPUTED_VALUE"""),"Shepherd")</f>
        <v>Shepherd</v>
      </c>
      <c r="G129" s="61">
        <f>IFERROR(__xludf.DUMMYFUNCTION("""COMPUTED_VALUE"""),277.0)</f>
        <v>277</v>
      </c>
      <c r="H129" s="62" t="str">
        <f>IFERROR(__xludf.DUMMYFUNCTION("""COMPUTED_VALUE"""),"Ryan, Kelly")</f>
        <v>Ryan, Kelly</v>
      </c>
      <c r="I129" s="63" t="str">
        <f>IFERROR(__xludf.DUMMYFUNCTION("""COMPUTED_VALUE"""),"200x")</f>
        <v>200x</v>
      </c>
      <c r="J129" s="61" t="str">
        <f>IFERROR(__xludf.DUMMYFUNCTION("""COMPUTED_VALUE"""),"215g")</f>
        <v>215g</v>
      </c>
      <c r="K129" s="61" t="str">
        <f>IFERROR(__xludf.DUMMYFUNCTION("""COMPUTED_VALUE"""),"230x")</f>
        <v>230x</v>
      </c>
      <c r="L129" s="64">
        <f>IFERROR(__xludf.DUMMYFUNCTION("""COMPUTED_VALUE"""),215.0)</f>
        <v>215</v>
      </c>
      <c r="M129" s="65" t="str">
        <f>IFERROR(__xludf.DUMMYFUNCTION("""COMPUTED_VALUE"""),"125g")</f>
        <v>125g</v>
      </c>
      <c r="N129" s="65" t="str">
        <f>IFERROR(__xludf.DUMMYFUNCTION("""COMPUTED_VALUE"""),"140g")</f>
        <v>140g</v>
      </c>
      <c r="O129" s="65" t="str">
        <f>IFERROR(__xludf.DUMMYFUNCTION("""COMPUTED_VALUE"""),"145x")</f>
        <v>145x</v>
      </c>
      <c r="P129" s="64">
        <f>IFERROR(__xludf.DUMMYFUNCTION("""COMPUTED_VALUE"""),140.0)</f>
        <v>140</v>
      </c>
      <c r="Q129" s="65" t="str">
        <f>IFERROR(__xludf.DUMMYFUNCTION("""COMPUTED_VALUE"""),"215g")</f>
        <v>215g</v>
      </c>
      <c r="R129" s="65" t="str">
        <f>IFERROR(__xludf.DUMMYFUNCTION("""COMPUTED_VALUE"""),"245g")</f>
        <v>245g</v>
      </c>
      <c r="S129" s="65" t="str">
        <f>IFERROR(__xludf.DUMMYFUNCTION("""COMPUTED_VALUE"""),"260g")</f>
        <v>260g</v>
      </c>
      <c r="T129" s="64">
        <f>IFERROR(__xludf.DUMMYFUNCTION("""COMPUTED_VALUE"""),260.0)</f>
        <v>260</v>
      </c>
      <c r="U129" s="66">
        <f>IFERROR(__xludf.DUMMYFUNCTION("""COMPUTED_VALUE"""),615.0)</f>
        <v>615</v>
      </c>
      <c r="V129" s="78">
        <f>IFERROR(__xludf.DUMMYFUNCTION("""COMPUTED_VALUE"""),2.220216606498195)</f>
        <v>2.220216606</v>
      </c>
      <c r="W129" s="57"/>
    </row>
    <row r="130">
      <c r="B130" s="59" t="s">
        <v>124</v>
      </c>
      <c r="C130" s="59">
        <f>if(countif(F126:F129,F130)&gt;1,0,6)</f>
        <v>6</v>
      </c>
      <c r="D130" s="59" t="str">
        <f>IFERROR(__xludf.DUMMYFUNCTION("""COMPUTED_VALUE"""),"SHW WJV")</f>
        <v>SHW WJV</v>
      </c>
      <c r="E130" s="61" t="str">
        <f>IFERROR(__xludf.DUMMYFUNCTION("""COMPUTED_VALUE"""),"WJV")</f>
        <v>WJV</v>
      </c>
      <c r="F130" s="62" t="str">
        <f>IFERROR(__xludf.DUMMYFUNCTION("""COMPUTED_VALUE"""),"North Branch")</f>
        <v>North Branch</v>
      </c>
      <c r="G130" s="61">
        <f>IFERROR(__xludf.DUMMYFUNCTION("""COMPUTED_VALUE"""),290.4)</f>
        <v>290.4</v>
      </c>
      <c r="H130" s="62" t="str">
        <f>IFERROR(__xludf.DUMMYFUNCTION("""COMPUTED_VALUE"""),"Trombley, Val")</f>
        <v>Trombley, Val</v>
      </c>
      <c r="I130" s="63" t="str">
        <f>IFERROR(__xludf.DUMMYFUNCTION("""COMPUTED_VALUE"""),"250x")</f>
        <v>250x</v>
      </c>
      <c r="J130" s="61" t="str">
        <f>IFERROR(__xludf.DUMMYFUNCTION("""COMPUTED_VALUE"""),"260g")</f>
        <v>260g</v>
      </c>
      <c r="K130" s="61" t="str">
        <f>IFERROR(__xludf.DUMMYFUNCTION("""COMPUTED_VALUE"""),"270x")</f>
        <v>270x</v>
      </c>
      <c r="L130" s="64">
        <f>IFERROR(__xludf.DUMMYFUNCTION("""COMPUTED_VALUE"""),260.0)</f>
        <v>260</v>
      </c>
      <c r="M130" s="65" t="str">
        <f>IFERROR(__xludf.DUMMYFUNCTION("""COMPUTED_VALUE"""),"110g")</f>
        <v>110g</v>
      </c>
      <c r="N130" s="65" t="str">
        <f>IFERROR(__xludf.DUMMYFUNCTION("""COMPUTED_VALUE"""),"120g")</f>
        <v>120g</v>
      </c>
      <c r="O130" s="65" t="str">
        <f>IFERROR(__xludf.DUMMYFUNCTION("""COMPUTED_VALUE"""),"130x")</f>
        <v>130x</v>
      </c>
      <c r="P130" s="64">
        <f>IFERROR(__xludf.DUMMYFUNCTION("""COMPUTED_VALUE"""),120.0)</f>
        <v>120</v>
      </c>
      <c r="Q130" s="65" t="str">
        <f>IFERROR(__xludf.DUMMYFUNCTION("""COMPUTED_VALUE"""),"230g")</f>
        <v>230g</v>
      </c>
      <c r="R130" s="65" t="str">
        <f>IFERROR(__xludf.DUMMYFUNCTION("""COMPUTED_VALUE"""),"240x")</f>
        <v>240x</v>
      </c>
      <c r="S130" s="65" t="str">
        <f>IFERROR(__xludf.DUMMYFUNCTION("""COMPUTED_VALUE"""),"245x")</f>
        <v>245x</v>
      </c>
      <c r="T130" s="64">
        <f>IFERROR(__xludf.DUMMYFUNCTION("""COMPUTED_VALUE"""),230.0)</f>
        <v>230</v>
      </c>
      <c r="U130" s="66">
        <f>IFERROR(__xludf.DUMMYFUNCTION("""COMPUTED_VALUE"""),610.0)</f>
        <v>610</v>
      </c>
      <c r="V130" s="78">
        <f>IFERROR(__xludf.DUMMYFUNCTION("""COMPUTED_VALUE"""),2.100550964187328)</f>
        <v>2.100550964</v>
      </c>
      <c r="W130" s="57"/>
    </row>
    <row r="131">
      <c r="B131" s="59" t="s">
        <v>125</v>
      </c>
      <c r="C131" s="59">
        <f>if(countif(F126:F130,F131)&gt;1,0,5)</f>
        <v>5</v>
      </c>
      <c r="D131" s="59" t="str">
        <f>IFERROR(__xludf.DUMMYFUNCTION("""COMPUTED_VALUE"""),"SHW WJV")</f>
        <v>SHW WJV</v>
      </c>
      <c r="E131" s="61" t="str">
        <f>IFERROR(__xludf.DUMMYFUNCTION("""COMPUTED_VALUE"""),"WJV")</f>
        <v>WJV</v>
      </c>
      <c r="F131" s="62" t="str">
        <f>IFERROR(__xludf.DUMMYFUNCTION("""COMPUTED_VALUE"""),"Morenci")</f>
        <v>Morenci</v>
      </c>
      <c r="G131" s="61">
        <f>IFERROR(__xludf.DUMMYFUNCTION("""COMPUTED_VALUE"""),271.4)</f>
        <v>271.4</v>
      </c>
      <c r="H131" s="62" t="str">
        <f>IFERROR(__xludf.DUMMYFUNCTION("""COMPUTED_VALUE"""),"Corkle, Sophie")</f>
        <v>Corkle, Sophie</v>
      </c>
      <c r="I131" s="63" t="str">
        <f>IFERROR(__xludf.DUMMYFUNCTION("""COMPUTED_VALUE"""),"135g")</f>
        <v>135g</v>
      </c>
      <c r="J131" s="61" t="str">
        <f>IFERROR(__xludf.DUMMYFUNCTION("""COMPUTED_VALUE"""),"170g")</f>
        <v>170g</v>
      </c>
      <c r="K131" s="61" t="str">
        <f>IFERROR(__xludf.DUMMYFUNCTION("""COMPUTED_VALUE"""),"190x")</f>
        <v>190x</v>
      </c>
      <c r="L131" s="64">
        <f>IFERROR(__xludf.DUMMYFUNCTION("""COMPUTED_VALUE"""),170.0)</f>
        <v>170</v>
      </c>
      <c r="M131" s="65" t="str">
        <f>IFERROR(__xludf.DUMMYFUNCTION("""COMPUTED_VALUE"""),"115g")</f>
        <v>115g</v>
      </c>
      <c r="N131" s="65" t="str">
        <f>IFERROR(__xludf.DUMMYFUNCTION("""COMPUTED_VALUE"""),"125x")</f>
        <v>125x</v>
      </c>
      <c r="O131" s="65" t="str">
        <f>IFERROR(__xludf.DUMMYFUNCTION("""COMPUTED_VALUE"""),"125x")</f>
        <v>125x</v>
      </c>
      <c r="P131" s="64">
        <f>IFERROR(__xludf.DUMMYFUNCTION("""COMPUTED_VALUE"""),115.0)</f>
        <v>115</v>
      </c>
      <c r="Q131" s="65" t="str">
        <f>IFERROR(__xludf.DUMMYFUNCTION("""COMPUTED_VALUE"""),"240g")</f>
        <v>240g</v>
      </c>
      <c r="R131" s="65" t="str">
        <f>IFERROR(__xludf.DUMMYFUNCTION("""COMPUTED_VALUE"""),"265x")</f>
        <v>265x</v>
      </c>
      <c r="S131" s="65" t="str">
        <f>IFERROR(__xludf.DUMMYFUNCTION("""COMPUTED_VALUE"""),"265x")</f>
        <v>265x</v>
      </c>
      <c r="T131" s="64">
        <f>IFERROR(__xludf.DUMMYFUNCTION("""COMPUTED_VALUE"""),240.0)</f>
        <v>240</v>
      </c>
      <c r="U131" s="66">
        <f>IFERROR(__xludf.DUMMYFUNCTION("""COMPUTED_VALUE"""),525.0)</f>
        <v>525</v>
      </c>
      <c r="V131" s="78">
        <f>IFERROR(__xludf.DUMMYFUNCTION("""COMPUTED_VALUE"""),1.9344141488577746)</f>
        <v>1.934414149</v>
      </c>
      <c r="W131" s="57"/>
    </row>
    <row r="132">
      <c r="B132" s="59" t="s">
        <v>126</v>
      </c>
      <c r="C132" s="59">
        <f>if(countif(F126:F131,F132)&gt;1,0,4)</f>
        <v>4</v>
      </c>
      <c r="D132" s="59" t="str">
        <f>IFERROR(__xludf.DUMMYFUNCTION("""COMPUTED_VALUE"""),"SHW WJV")</f>
        <v>SHW WJV</v>
      </c>
      <c r="E132" s="61" t="str">
        <f>IFERROR(__xludf.DUMMYFUNCTION("""COMPUTED_VALUE"""),"WJV")</f>
        <v>WJV</v>
      </c>
      <c r="F132" s="62" t="str">
        <f>IFERROR(__xludf.DUMMYFUNCTION("""COMPUTED_VALUE"""),"Montague")</f>
        <v>Montague</v>
      </c>
      <c r="G132" s="61">
        <f>IFERROR(__xludf.DUMMYFUNCTION("""COMPUTED_VALUE"""),313.2)</f>
        <v>313.2</v>
      </c>
      <c r="H132" s="62" t="str">
        <f>IFERROR(__xludf.DUMMYFUNCTION("""COMPUTED_VALUE"""),"Guerrero, Nikki")</f>
        <v>Guerrero, Nikki</v>
      </c>
      <c r="I132" s="63" t="str">
        <f>IFERROR(__xludf.DUMMYFUNCTION("""COMPUTED_VALUE"""),"180g")</f>
        <v>180g</v>
      </c>
      <c r="J132" s="61" t="str">
        <f>IFERROR(__xludf.DUMMYFUNCTION("""COMPUTED_VALUE"""),"200g")</f>
        <v>200g</v>
      </c>
      <c r="K132" s="61" t="str">
        <f>IFERROR(__xludf.DUMMYFUNCTION("""COMPUTED_VALUE"""),"210x")</f>
        <v>210x</v>
      </c>
      <c r="L132" s="64">
        <f>IFERROR(__xludf.DUMMYFUNCTION("""COMPUTED_VALUE"""),200.0)</f>
        <v>200</v>
      </c>
      <c r="M132" s="65" t="str">
        <f>IFERROR(__xludf.DUMMYFUNCTION("""COMPUTED_VALUE"""),"100g")</f>
        <v>100g</v>
      </c>
      <c r="N132" s="65" t="str">
        <f>IFERROR(__xludf.DUMMYFUNCTION("""COMPUTED_VALUE"""),"110x")</f>
        <v>110x</v>
      </c>
      <c r="O132" s="65" t="str">
        <f>IFERROR(__xludf.DUMMYFUNCTION("""COMPUTED_VALUE"""),"110g")</f>
        <v>110g</v>
      </c>
      <c r="P132" s="64">
        <f>IFERROR(__xludf.DUMMYFUNCTION("""COMPUTED_VALUE"""),110.0)</f>
        <v>110</v>
      </c>
      <c r="Q132" s="65" t="str">
        <f>IFERROR(__xludf.DUMMYFUNCTION("""COMPUTED_VALUE"""),"205g")</f>
        <v>205g</v>
      </c>
      <c r="R132" s="65" t="str">
        <f>IFERROR(__xludf.DUMMYFUNCTION("""COMPUTED_VALUE"""),"230x")</f>
        <v>230x</v>
      </c>
      <c r="S132" s="65" t="str">
        <f>IFERROR(__xludf.DUMMYFUNCTION("""COMPUTED_VALUE"""),"245x")</f>
        <v>245x</v>
      </c>
      <c r="T132" s="64">
        <f>IFERROR(__xludf.DUMMYFUNCTION("""COMPUTED_VALUE"""),205.0)</f>
        <v>205</v>
      </c>
      <c r="U132" s="66">
        <f>IFERROR(__xludf.DUMMYFUNCTION("""COMPUTED_VALUE"""),515.0)</f>
        <v>515</v>
      </c>
      <c r="V132" s="78">
        <f>IFERROR(__xludf.DUMMYFUNCTION("""COMPUTED_VALUE"""),1.644316730523627)</f>
        <v>1.644316731</v>
      </c>
      <c r="W132" s="57"/>
    </row>
    <row r="133">
      <c r="B133" s="59" t="s">
        <v>127</v>
      </c>
      <c r="C133" s="59">
        <f>if(countif(F126:F132,F133)&gt;1,0,3)</f>
        <v>3</v>
      </c>
      <c r="D133" s="59" t="str">
        <f>IFERROR(__xludf.DUMMYFUNCTION("""COMPUTED_VALUE"""),"SHW WJV")</f>
        <v>SHW WJV</v>
      </c>
      <c r="E133" s="61" t="str">
        <f>IFERROR(__xludf.DUMMYFUNCTION("""COMPUTED_VALUE"""),"WJV")</f>
        <v>WJV</v>
      </c>
      <c r="F133" s="62" t="str">
        <f>IFERROR(__xludf.DUMMYFUNCTION("""COMPUTED_VALUE"""),"Port Huron")</f>
        <v>Port Huron</v>
      </c>
      <c r="G133" s="61">
        <f>IFERROR(__xludf.DUMMYFUNCTION("""COMPUTED_VALUE"""),250.2)</f>
        <v>250.2</v>
      </c>
      <c r="H133" s="62" t="str">
        <f>IFERROR(__xludf.DUMMYFUNCTION("""COMPUTED_VALUE"""),"Rome, Nakeya")</f>
        <v>Rome, Nakeya</v>
      </c>
      <c r="I133" s="63" t="str">
        <f>IFERROR(__xludf.DUMMYFUNCTION("""COMPUTED_VALUE"""),"135g")</f>
        <v>135g</v>
      </c>
      <c r="J133" s="61" t="str">
        <f>IFERROR(__xludf.DUMMYFUNCTION("""COMPUTED_VALUE"""),"145x")</f>
        <v>145x</v>
      </c>
      <c r="K133" s="61" t="str">
        <f>IFERROR(__xludf.DUMMYFUNCTION("""COMPUTED_VALUE"""),"145x")</f>
        <v>145x</v>
      </c>
      <c r="L133" s="64">
        <f>IFERROR(__xludf.DUMMYFUNCTION("""COMPUTED_VALUE"""),135.0)</f>
        <v>135</v>
      </c>
      <c r="M133" s="65" t="str">
        <f>IFERROR(__xludf.DUMMYFUNCTION("""COMPUTED_VALUE"""),"95g")</f>
        <v>95g</v>
      </c>
      <c r="N133" s="65" t="str">
        <f>IFERROR(__xludf.DUMMYFUNCTION("""COMPUTED_VALUE"""),"115g")</f>
        <v>115g</v>
      </c>
      <c r="O133" s="65" t="str">
        <f>IFERROR(__xludf.DUMMYFUNCTION("""COMPUTED_VALUE"""),"120x")</f>
        <v>120x</v>
      </c>
      <c r="P133" s="64">
        <f>IFERROR(__xludf.DUMMYFUNCTION("""COMPUTED_VALUE"""),115.0)</f>
        <v>115</v>
      </c>
      <c r="Q133" s="65" t="str">
        <f>IFERROR(__xludf.DUMMYFUNCTION("""COMPUTED_VALUE"""),"205g")</f>
        <v>205g</v>
      </c>
      <c r="R133" s="65" t="str">
        <f>IFERROR(__xludf.DUMMYFUNCTION("""COMPUTED_VALUE"""),"215g")</f>
        <v>215g</v>
      </c>
      <c r="S133" s="65" t="str">
        <f>IFERROR(__xludf.DUMMYFUNCTION("""COMPUTED_VALUE"""),"225g")</f>
        <v>225g</v>
      </c>
      <c r="T133" s="64">
        <f>IFERROR(__xludf.DUMMYFUNCTION("""COMPUTED_VALUE"""),225.0)</f>
        <v>225</v>
      </c>
      <c r="U133" s="66">
        <f>IFERROR(__xludf.DUMMYFUNCTION("""COMPUTED_VALUE"""),475.0)</f>
        <v>475</v>
      </c>
      <c r="V133" s="78">
        <f>IFERROR(__xludf.DUMMYFUNCTION("""COMPUTED_VALUE"""),1.8984812150279777)</f>
        <v>1.898481215</v>
      </c>
      <c r="W133" s="57"/>
    </row>
    <row r="134">
      <c r="B134" s="59" t="s">
        <v>128</v>
      </c>
      <c r="C134" s="59">
        <f>if(countif(F126:F133,F134)&gt;1,0,2)</f>
        <v>2</v>
      </c>
      <c r="D134" s="59"/>
      <c r="E134" s="61"/>
      <c r="F134" s="62"/>
      <c r="G134" s="61"/>
      <c r="H134" s="62"/>
      <c r="I134" s="63"/>
      <c r="J134" s="61"/>
      <c r="K134" s="61"/>
      <c r="L134" s="64"/>
      <c r="M134" s="65"/>
      <c r="N134" s="65"/>
      <c r="O134" s="65"/>
      <c r="P134" s="64"/>
      <c r="Q134" s="65"/>
      <c r="R134" s="65"/>
      <c r="S134" s="65"/>
      <c r="T134" s="64"/>
      <c r="U134" s="66"/>
      <c r="V134" s="65"/>
      <c r="W134" s="57"/>
    </row>
    <row r="135">
      <c r="B135" s="59" t="s">
        <v>129</v>
      </c>
      <c r="C135" s="59">
        <f>if(countif(F126:F134,F135)&gt;1,0,1)</f>
        <v>1</v>
      </c>
      <c r="D135" s="59"/>
      <c r="E135" s="61"/>
      <c r="F135" s="62"/>
      <c r="G135" s="61"/>
      <c r="H135" s="62"/>
      <c r="I135" s="63"/>
      <c r="J135" s="61"/>
      <c r="K135" s="61"/>
      <c r="L135" s="64"/>
      <c r="M135" s="65"/>
      <c r="N135" s="65"/>
      <c r="O135" s="65"/>
      <c r="P135" s="64"/>
      <c r="Q135" s="65"/>
      <c r="R135" s="65"/>
      <c r="S135" s="65"/>
      <c r="T135" s="64"/>
      <c r="U135" s="66"/>
      <c r="V135" s="65"/>
      <c r="W135" s="57"/>
    </row>
  </sheetData>
  <mergeCells count="19">
    <mergeCell ref="Q5:S5"/>
    <mergeCell ref="W5:W125"/>
    <mergeCell ref="A4:W4"/>
    <mergeCell ref="A1:W3"/>
    <mergeCell ref="M5:O5"/>
    <mergeCell ref="I5:K5"/>
    <mergeCell ref="A16:A25"/>
    <mergeCell ref="A56:A65"/>
    <mergeCell ref="A26:A35"/>
    <mergeCell ref="A6:A15"/>
    <mergeCell ref="A96:A105"/>
    <mergeCell ref="A86:A95"/>
    <mergeCell ref="A46:A55"/>
    <mergeCell ref="A36:A45"/>
    <mergeCell ref="A66:A75"/>
    <mergeCell ref="A76:A85"/>
    <mergeCell ref="A106:A115"/>
    <mergeCell ref="A126:A135"/>
    <mergeCell ref="A116:A125"/>
  </mergeCells>
  <conditionalFormatting sqref="U5">
    <cfRule type="containsText" dxfId="0" priority="1" operator="containsText" text="There are same totals">
      <formula>NOT(ISERROR(SEARCH(("There are same totals"),(U5))))</formula>
    </cfRule>
  </conditionalFormatting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5.43"/>
    <col customWidth="1" min="2" max="2" width="4.71"/>
    <col customWidth="1" min="3" max="3" width="5.71"/>
    <col customWidth="1" min="4" max="4" width="7.29"/>
    <col customWidth="1" min="5" max="5" width="7.86"/>
    <col customWidth="1" min="6" max="6" width="15.86"/>
    <col customWidth="1" min="7" max="7" width="8.0"/>
    <col customWidth="1" min="8" max="8" width="16.43"/>
    <col customWidth="1" min="9" max="20" width="6.0"/>
    <col customWidth="1" min="21" max="21" width="6.14"/>
    <col customWidth="1" min="22" max="22" width="9.29"/>
    <col customWidth="1" min="23" max="23" width="4.14"/>
  </cols>
  <sheetData>
    <row r="1">
      <c r="A1" s="56" t="s">
        <v>114</v>
      </c>
    </row>
    <row r="4" ht="3.0" customHeight="1">
      <c r="A4" s="4"/>
    </row>
    <row r="5" ht="18.75" customHeight="1">
      <c r="A5" s="14"/>
      <c r="B5" s="14"/>
      <c r="C5" s="14"/>
      <c r="D5" s="14"/>
      <c r="E5" s="16" t="s">
        <v>102</v>
      </c>
      <c r="F5" s="18" t="s">
        <v>22</v>
      </c>
      <c r="G5" s="57" t="s">
        <v>23</v>
      </c>
      <c r="H5" s="18" t="s">
        <v>25</v>
      </c>
      <c r="I5" s="57" t="s">
        <v>115</v>
      </c>
      <c r="L5" s="57"/>
      <c r="M5" s="57" t="s">
        <v>116</v>
      </c>
      <c r="P5" s="57"/>
      <c r="Q5" s="57" t="s">
        <v>117</v>
      </c>
      <c r="T5" s="57"/>
      <c r="U5" s="57" t="s">
        <v>118</v>
      </c>
      <c r="V5" s="57" t="s">
        <v>119</v>
      </c>
      <c r="W5" s="57"/>
    </row>
    <row r="6">
      <c r="A6" s="58">
        <v>114.0</v>
      </c>
      <c r="B6" s="59" t="s">
        <v>120</v>
      </c>
      <c r="C6" s="59">
        <v>12.0</v>
      </c>
      <c r="D6" s="60" t="str">
        <f>IFERROR(__xludf.DUMMYFUNCTION("ARRAY_CONSTRAIN(sort(filter(Mens_V_Tie_Breaker!D6:X265,Mens_V_Tie_Breaker!D6:D265=""114 V""),18,false,4,true,20,false,21,true),10,19)"),"#N/A")</f>
        <v>#N/A</v>
      </c>
      <c r="E6" s="61"/>
      <c r="F6" s="62"/>
      <c r="G6" s="61"/>
      <c r="H6" s="62"/>
      <c r="I6" s="63"/>
      <c r="J6" s="61"/>
      <c r="K6" s="61"/>
      <c r="L6" s="64"/>
      <c r="M6" s="65"/>
      <c r="N6" s="65"/>
      <c r="O6" s="65"/>
      <c r="P6" s="64"/>
      <c r="Q6" s="65"/>
      <c r="R6" s="65"/>
      <c r="S6" s="65"/>
      <c r="T6" s="64"/>
      <c r="U6" s="66"/>
      <c r="V6" s="65"/>
    </row>
    <row r="7">
      <c r="B7" s="59" t="s">
        <v>121</v>
      </c>
      <c r="C7" s="59">
        <v>9.0</v>
      </c>
      <c r="D7" s="59"/>
      <c r="E7" s="61"/>
      <c r="F7" s="62"/>
      <c r="G7" s="61"/>
      <c r="H7" s="62"/>
      <c r="I7" s="63"/>
      <c r="J7" s="61"/>
      <c r="K7" s="61"/>
      <c r="L7" s="64"/>
      <c r="M7" s="65"/>
      <c r="N7" s="65"/>
      <c r="O7" s="65"/>
      <c r="P7" s="64"/>
      <c r="Q7" s="65"/>
      <c r="R7" s="65"/>
      <c r="S7" s="65"/>
      <c r="T7" s="64"/>
      <c r="U7" s="66"/>
      <c r="V7" s="65"/>
    </row>
    <row r="8">
      <c r="B8" s="59" t="s">
        <v>122</v>
      </c>
      <c r="C8" s="59">
        <f>if(countif(F6:F7,F8)&gt;1,0,8)</f>
        <v>8</v>
      </c>
      <c r="D8" s="59"/>
      <c r="E8" s="61"/>
      <c r="F8" s="62"/>
      <c r="G8" s="61"/>
      <c r="H8" s="62"/>
      <c r="I8" s="63"/>
      <c r="J8" s="61"/>
      <c r="K8" s="61"/>
      <c r="L8" s="64"/>
      <c r="M8" s="65"/>
      <c r="N8" s="65"/>
      <c r="O8" s="65"/>
      <c r="P8" s="64"/>
      <c r="Q8" s="65"/>
      <c r="R8" s="65"/>
      <c r="S8" s="65"/>
      <c r="T8" s="64"/>
      <c r="U8" s="66"/>
      <c r="V8" s="65"/>
    </row>
    <row r="9">
      <c r="B9" s="59" t="s">
        <v>123</v>
      </c>
      <c r="C9" s="59">
        <f>if(countif(F6:F8,F9)&gt;1,0,7)</f>
        <v>7</v>
      </c>
      <c r="D9" s="59"/>
      <c r="E9" s="61"/>
      <c r="F9" s="62"/>
      <c r="G9" s="61"/>
      <c r="H9" s="62"/>
      <c r="I9" s="63"/>
      <c r="J9" s="61"/>
      <c r="K9" s="61"/>
      <c r="L9" s="64"/>
      <c r="M9" s="65"/>
      <c r="N9" s="65"/>
      <c r="O9" s="65"/>
      <c r="P9" s="64"/>
      <c r="Q9" s="65"/>
      <c r="R9" s="65"/>
      <c r="S9" s="65"/>
      <c r="T9" s="64"/>
      <c r="U9" s="66"/>
      <c r="V9" s="65"/>
    </row>
    <row r="10">
      <c r="B10" s="59" t="s">
        <v>124</v>
      </c>
      <c r="C10" s="59">
        <f>if(countif(F6:F9,F10)&gt;1,0,6)</f>
        <v>6</v>
      </c>
      <c r="D10" s="59"/>
      <c r="E10" s="61"/>
      <c r="F10" s="62"/>
      <c r="G10" s="61"/>
      <c r="H10" s="62"/>
      <c r="I10" s="63"/>
      <c r="J10" s="61"/>
      <c r="K10" s="61"/>
      <c r="L10" s="64"/>
      <c r="M10" s="65"/>
      <c r="N10" s="65"/>
      <c r="O10" s="65"/>
      <c r="P10" s="64"/>
      <c r="Q10" s="65"/>
      <c r="R10" s="65"/>
      <c r="S10" s="65"/>
      <c r="T10" s="64"/>
      <c r="U10" s="66"/>
      <c r="V10" s="65"/>
    </row>
    <row r="11">
      <c r="B11" s="59" t="s">
        <v>125</v>
      </c>
      <c r="C11" s="59">
        <f>if(countif(F6:F10,F11)&gt;1,0,5)</f>
        <v>5</v>
      </c>
      <c r="D11" s="59"/>
      <c r="E11" s="61"/>
      <c r="F11" s="62"/>
      <c r="G11" s="61"/>
      <c r="H11" s="62"/>
      <c r="I11" s="63"/>
      <c r="J11" s="61"/>
      <c r="K11" s="61"/>
      <c r="L11" s="64"/>
      <c r="M11" s="65"/>
      <c r="N11" s="65"/>
      <c r="O11" s="65"/>
      <c r="P11" s="64"/>
      <c r="Q11" s="65"/>
      <c r="R11" s="65"/>
      <c r="S11" s="65"/>
      <c r="T11" s="64"/>
      <c r="U11" s="66"/>
      <c r="V11" s="65"/>
    </row>
    <row r="12">
      <c r="B12" s="59" t="s">
        <v>126</v>
      </c>
      <c r="C12" s="59">
        <f>if(countif(F6:F11,F12)&gt;1,0,4)</f>
        <v>4</v>
      </c>
      <c r="D12" s="59"/>
      <c r="E12" s="61"/>
      <c r="F12" s="62"/>
      <c r="G12" s="61"/>
      <c r="H12" s="62"/>
      <c r="I12" s="63"/>
      <c r="J12" s="61"/>
      <c r="K12" s="61"/>
      <c r="L12" s="64"/>
      <c r="M12" s="65"/>
      <c r="N12" s="65"/>
      <c r="O12" s="65"/>
      <c r="P12" s="64"/>
      <c r="Q12" s="65"/>
      <c r="R12" s="65"/>
      <c r="S12" s="65"/>
      <c r="T12" s="64"/>
      <c r="U12" s="66"/>
      <c r="V12" s="65"/>
    </row>
    <row r="13">
      <c r="B13" s="59" t="s">
        <v>127</v>
      </c>
      <c r="C13" s="59">
        <f>if(countif(F6:F12,F13)&gt;1,0,3)</f>
        <v>3</v>
      </c>
      <c r="D13" s="59"/>
      <c r="E13" s="61"/>
      <c r="F13" s="62"/>
      <c r="G13" s="61"/>
      <c r="H13" s="62"/>
      <c r="I13" s="63"/>
      <c r="J13" s="61"/>
      <c r="K13" s="61"/>
      <c r="L13" s="64"/>
      <c r="M13" s="65"/>
      <c r="N13" s="65"/>
      <c r="O13" s="65"/>
      <c r="P13" s="64"/>
      <c r="Q13" s="65"/>
      <c r="R13" s="65"/>
      <c r="S13" s="65"/>
      <c r="T13" s="64"/>
      <c r="U13" s="66"/>
      <c r="V13" s="65"/>
    </row>
    <row r="14">
      <c r="B14" s="59" t="s">
        <v>128</v>
      </c>
      <c r="C14" s="59">
        <f>if(countif(F6:F13,F14)&gt;1,0,2)</f>
        <v>2</v>
      </c>
      <c r="D14" s="59"/>
      <c r="E14" s="61"/>
      <c r="F14" s="62"/>
      <c r="G14" s="61"/>
      <c r="H14" s="62"/>
      <c r="I14" s="63"/>
      <c r="J14" s="61"/>
      <c r="K14" s="61"/>
      <c r="L14" s="64"/>
      <c r="M14" s="65"/>
      <c r="N14" s="65"/>
      <c r="O14" s="65"/>
      <c r="P14" s="64"/>
      <c r="Q14" s="65"/>
      <c r="R14" s="65"/>
      <c r="S14" s="65"/>
      <c r="T14" s="64"/>
      <c r="U14" s="66"/>
      <c r="V14" s="65"/>
    </row>
    <row r="15">
      <c r="B15" s="59" t="s">
        <v>129</v>
      </c>
      <c r="C15" s="59">
        <f>if(countif(F6:F14,F15)&gt;1,0,1)</f>
        <v>1</v>
      </c>
      <c r="D15" s="59"/>
      <c r="E15" s="61"/>
      <c r="F15" s="62"/>
      <c r="G15" s="61"/>
      <c r="H15" s="62"/>
      <c r="I15" s="63"/>
      <c r="J15" s="61"/>
      <c r="K15" s="61"/>
      <c r="L15" s="64"/>
      <c r="M15" s="65"/>
      <c r="N15" s="65"/>
      <c r="O15" s="65"/>
      <c r="P15" s="64"/>
      <c r="Q15" s="65"/>
      <c r="R15" s="65"/>
      <c r="S15" s="65"/>
      <c r="T15" s="64"/>
      <c r="U15" s="66"/>
      <c r="V15" s="65"/>
    </row>
    <row r="16">
      <c r="A16" s="67">
        <v>123.0</v>
      </c>
      <c r="B16" s="68" t="s">
        <v>120</v>
      </c>
      <c r="C16" s="68">
        <v>12.0</v>
      </c>
      <c r="D16" s="68" t="str">
        <f>IFERROR(__xludf.DUMMYFUNCTION("ARRAY_CONSTRAIN(sort(filter(Mens_V_Tie_Breaker!D6:X265,Mens_V_Tie_Breaker!D6:D265=""123 V""),18,false,4,true,20,false,21,true),10,19)"),"#N/A")</f>
        <v>#N/A</v>
      </c>
      <c r="E16" s="69"/>
      <c r="F16" s="70"/>
      <c r="G16" s="69"/>
      <c r="H16" s="70"/>
      <c r="I16" s="71"/>
      <c r="J16" s="69"/>
      <c r="K16" s="69"/>
      <c r="L16" s="64"/>
      <c r="M16" s="72"/>
      <c r="N16" s="72"/>
      <c r="O16" s="72"/>
      <c r="P16" s="64"/>
      <c r="Q16" s="72"/>
      <c r="R16" s="72"/>
      <c r="S16" s="72"/>
      <c r="T16" s="64"/>
      <c r="U16" s="66"/>
      <c r="V16" s="72"/>
    </row>
    <row r="17">
      <c r="B17" s="68" t="s">
        <v>121</v>
      </c>
      <c r="C17" s="68">
        <v>9.0</v>
      </c>
      <c r="D17" s="68"/>
      <c r="E17" s="69"/>
      <c r="F17" s="70"/>
      <c r="G17" s="69"/>
      <c r="H17" s="70"/>
      <c r="I17" s="71"/>
      <c r="J17" s="69"/>
      <c r="K17" s="69"/>
      <c r="L17" s="64"/>
      <c r="M17" s="72"/>
      <c r="N17" s="72"/>
      <c r="O17" s="72"/>
      <c r="P17" s="64"/>
      <c r="Q17" s="72"/>
      <c r="R17" s="72"/>
      <c r="S17" s="72"/>
      <c r="T17" s="64"/>
      <c r="U17" s="66"/>
      <c r="V17" s="72"/>
    </row>
    <row r="18">
      <c r="B18" s="68" t="s">
        <v>122</v>
      </c>
      <c r="C18" s="68">
        <f>if(countif(F16:F17,F18)&gt;1,0,8)</f>
        <v>8</v>
      </c>
      <c r="D18" s="68"/>
      <c r="E18" s="69"/>
      <c r="F18" s="70"/>
      <c r="G18" s="69"/>
      <c r="H18" s="70"/>
      <c r="I18" s="71"/>
      <c r="J18" s="69"/>
      <c r="K18" s="69"/>
      <c r="L18" s="64"/>
      <c r="M18" s="72"/>
      <c r="N18" s="72"/>
      <c r="O18" s="72"/>
      <c r="P18" s="64"/>
      <c r="Q18" s="72"/>
      <c r="R18" s="72"/>
      <c r="S18" s="72"/>
      <c r="T18" s="64"/>
      <c r="U18" s="66"/>
      <c r="V18" s="72"/>
    </row>
    <row r="19">
      <c r="B19" s="68" t="s">
        <v>123</v>
      </c>
      <c r="C19" s="68">
        <f>if(countif(F16:F18,F19)&gt;1,0,7)</f>
        <v>7</v>
      </c>
      <c r="D19" s="68"/>
      <c r="E19" s="69"/>
      <c r="F19" s="70"/>
      <c r="G19" s="69"/>
      <c r="H19" s="70"/>
      <c r="I19" s="71"/>
      <c r="J19" s="69"/>
      <c r="K19" s="69"/>
      <c r="L19" s="64"/>
      <c r="M19" s="72"/>
      <c r="N19" s="72"/>
      <c r="O19" s="72"/>
      <c r="P19" s="64"/>
      <c r="Q19" s="72"/>
      <c r="R19" s="72"/>
      <c r="S19" s="72"/>
      <c r="T19" s="64"/>
      <c r="U19" s="66"/>
      <c r="V19" s="72"/>
    </row>
    <row r="20">
      <c r="B20" s="68" t="s">
        <v>124</v>
      </c>
      <c r="C20" s="68">
        <f>if(countif(F16:F19,F20)&gt;1,0,6)</f>
        <v>6</v>
      </c>
      <c r="D20" s="68"/>
      <c r="E20" s="69"/>
      <c r="F20" s="70"/>
      <c r="G20" s="69"/>
      <c r="H20" s="70"/>
      <c r="I20" s="71"/>
      <c r="J20" s="69"/>
      <c r="K20" s="69"/>
      <c r="L20" s="64"/>
      <c r="M20" s="72"/>
      <c r="N20" s="72"/>
      <c r="O20" s="72"/>
      <c r="P20" s="64"/>
      <c r="Q20" s="72"/>
      <c r="R20" s="72"/>
      <c r="S20" s="72"/>
      <c r="T20" s="64"/>
      <c r="U20" s="66"/>
      <c r="V20" s="72"/>
    </row>
    <row r="21">
      <c r="B21" s="68" t="s">
        <v>125</v>
      </c>
      <c r="C21" s="68">
        <f>if(countif(F16:F20,F21)&gt;1,0,5)</f>
        <v>5</v>
      </c>
      <c r="D21" s="68"/>
      <c r="E21" s="69"/>
      <c r="F21" s="70"/>
      <c r="G21" s="69"/>
      <c r="H21" s="70"/>
      <c r="I21" s="71"/>
      <c r="J21" s="69"/>
      <c r="K21" s="69"/>
      <c r="L21" s="64"/>
      <c r="M21" s="72"/>
      <c r="N21" s="72"/>
      <c r="O21" s="72"/>
      <c r="P21" s="64"/>
      <c r="Q21" s="72"/>
      <c r="R21" s="72"/>
      <c r="S21" s="72"/>
      <c r="T21" s="64"/>
      <c r="U21" s="66"/>
      <c r="V21" s="72"/>
    </row>
    <row r="22">
      <c r="B22" s="68" t="s">
        <v>126</v>
      </c>
      <c r="C22" s="68">
        <f>if(countif(F16:F21,F22)&gt;1,0,4)</f>
        <v>4</v>
      </c>
      <c r="D22" s="68"/>
      <c r="E22" s="69"/>
      <c r="F22" s="70"/>
      <c r="G22" s="69"/>
      <c r="H22" s="70"/>
      <c r="I22" s="71"/>
      <c r="J22" s="69"/>
      <c r="K22" s="69"/>
      <c r="L22" s="64"/>
      <c r="M22" s="72"/>
      <c r="N22" s="72"/>
      <c r="O22" s="72"/>
      <c r="P22" s="64"/>
      <c r="Q22" s="72"/>
      <c r="R22" s="72"/>
      <c r="S22" s="72"/>
      <c r="T22" s="64"/>
      <c r="U22" s="66"/>
      <c r="V22" s="72"/>
    </row>
    <row r="23">
      <c r="B23" s="68" t="s">
        <v>127</v>
      </c>
      <c r="C23" s="68">
        <f>if(countif(F16:F22,F23)&gt;1,0,3)</f>
        <v>3</v>
      </c>
      <c r="D23" s="68"/>
      <c r="E23" s="69"/>
      <c r="F23" s="70"/>
      <c r="G23" s="69"/>
      <c r="H23" s="70"/>
      <c r="I23" s="71"/>
      <c r="J23" s="69"/>
      <c r="K23" s="69"/>
      <c r="L23" s="64"/>
      <c r="M23" s="72"/>
      <c r="N23" s="72"/>
      <c r="O23" s="72"/>
      <c r="P23" s="64"/>
      <c r="Q23" s="72"/>
      <c r="R23" s="72"/>
      <c r="S23" s="72"/>
      <c r="T23" s="64"/>
      <c r="U23" s="66"/>
      <c r="V23" s="72"/>
    </row>
    <row r="24">
      <c r="B24" s="68" t="s">
        <v>128</v>
      </c>
      <c r="C24" s="68">
        <f>if(countif(F16:F23,F24)&gt;1,0,2)</f>
        <v>2</v>
      </c>
      <c r="D24" s="68"/>
      <c r="E24" s="69"/>
      <c r="F24" s="70"/>
      <c r="G24" s="69"/>
      <c r="H24" s="70"/>
      <c r="I24" s="71"/>
      <c r="J24" s="69"/>
      <c r="K24" s="69"/>
      <c r="L24" s="64"/>
      <c r="M24" s="72"/>
      <c r="N24" s="72"/>
      <c r="O24" s="72"/>
      <c r="P24" s="64"/>
      <c r="Q24" s="72"/>
      <c r="R24" s="72"/>
      <c r="S24" s="72"/>
      <c r="T24" s="64"/>
      <c r="U24" s="66"/>
      <c r="V24" s="72"/>
    </row>
    <row r="25">
      <c r="B25" s="68" t="s">
        <v>129</v>
      </c>
      <c r="C25" s="68">
        <f>if(countif(F16:F24,F25)&gt;1,0,1)</f>
        <v>1</v>
      </c>
      <c r="D25" s="68"/>
      <c r="E25" s="69"/>
      <c r="F25" s="70"/>
      <c r="G25" s="69"/>
      <c r="H25" s="70"/>
      <c r="I25" s="71"/>
      <c r="J25" s="69"/>
      <c r="K25" s="69"/>
      <c r="L25" s="64"/>
      <c r="M25" s="72"/>
      <c r="N25" s="72"/>
      <c r="O25" s="72"/>
      <c r="P25" s="64"/>
      <c r="Q25" s="72"/>
      <c r="R25" s="72"/>
      <c r="S25" s="72"/>
      <c r="T25" s="64"/>
      <c r="U25" s="66"/>
      <c r="V25" s="72"/>
    </row>
    <row r="26">
      <c r="A26" s="58">
        <v>132.0</v>
      </c>
      <c r="B26" s="59" t="s">
        <v>120</v>
      </c>
      <c r="C26" s="59">
        <v>12.0</v>
      </c>
      <c r="D26" s="59" t="str">
        <f>IFERROR(__xludf.DUMMYFUNCTION("ARRAY_CONSTRAIN(sort(filter(Mens_V_Tie_Breaker!D6:X265,Mens_V_Tie_Breaker!D6:D265=""132 V""),18,false,4,true,20,false,21,true),10,19)"),"#N/A")</f>
        <v>#N/A</v>
      </c>
      <c r="E26" s="61"/>
      <c r="F26" s="62"/>
      <c r="G26" s="61"/>
      <c r="H26" s="62"/>
      <c r="I26" s="63"/>
      <c r="J26" s="61"/>
      <c r="K26" s="61"/>
      <c r="L26" s="64"/>
      <c r="M26" s="65"/>
      <c r="N26" s="65"/>
      <c r="O26" s="65"/>
      <c r="P26" s="64"/>
      <c r="Q26" s="65"/>
      <c r="R26" s="65"/>
      <c r="S26" s="65"/>
      <c r="T26" s="64"/>
      <c r="U26" s="66"/>
      <c r="V26" s="65"/>
    </row>
    <row r="27">
      <c r="B27" s="59" t="s">
        <v>121</v>
      </c>
      <c r="C27" s="59">
        <v>9.0</v>
      </c>
      <c r="D27" s="59"/>
      <c r="E27" s="61"/>
      <c r="F27" s="62"/>
      <c r="G27" s="61"/>
      <c r="H27" s="62"/>
      <c r="I27" s="63"/>
      <c r="J27" s="61"/>
      <c r="K27" s="61"/>
      <c r="L27" s="64"/>
      <c r="M27" s="65"/>
      <c r="N27" s="65"/>
      <c r="O27" s="65"/>
      <c r="P27" s="64"/>
      <c r="Q27" s="65"/>
      <c r="R27" s="65"/>
      <c r="S27" s="65"/>
      <c r="T27" s="64"/>
      <c r="U27" s="66"/>
      <c r="V27" s="65"/>
    </row>
    <row r="28">
      <c r="B28" s="59" t="s">
        <v>122</v>
      </c>
      <c r="C28" s="59">
        <f>if(countif(F26:F27,F28)&gt;1,0,8)</f>
        <v>8</v>
      </c>
      <c r="D28" s="59"/>
      <c r="E28" s="61"/>
      <c r="F28" s="62"/>
      <c r="G28" s="61"/>
      <c r="H28" s="62"/>
      <c r="I28" s="63"/>
      <c r="J28" s="61"/>
      <c r="K28" s="61"/>
      <c r="L28" s="64"/>
      <c r="M28" s="65"/>
      <c r="N28" s="65"/>
      <c r="O28" s="65"/>
      <c r="P28" s="64"/>
      <c r="Q28" s="65"/>
      <c r="R28" s="65"/>
      <c r="S28" s="65"/>
      <c r="T28" s="64"/>
      <c r="U28" s="66"/>
      <c r="V28" s="65"/>
    </row>
    <row r="29">
      <c r="B29" s="59" t="s">
        <v>123</v>
      </c>
      <c r="C29" s="59">
        <f>if(countif(F26:F28,F29)&gt;1,0,7)</f>
        <v>7</v>
      </c>
      <c r="D29" s="59"/>
      <c r="E29" s="61"/>
      <c r="F29" s="62"/>
      <c r="G29" s="61"/>
      <c r="H29" s="62"/>
      <c r="I29" s="63"/>
      <c r="J29" s="61"/>
      <c r="K29" s="61"/>
      <c r="L29" s="64"/>
      <c r="M29" s="65"/>
      <c r="N29" s="65"/>
      <c r="O29" s="65"/>
      <c r="P29" s="64"/>
      <c r="Q29" s="65"/>
      <c r="R29" s="65"/>
      <c r="S29" s="65"/>
      <c r="T29" s="64"/>
      <c r="U29" s="66"/>
      <c r="V29" s="65"/>
    </row>
    <row r="30">
      <c r="B30" s="59" t="s">
        <v>124</v>
      </c>
      <c r="C30" s="59">
        <f>if(countif(F26:F29,F30)&gt;1,0,6)</f>
        <v>6</v>
      </c>
      <c r="D30" s="59"/>
      <c r="E30" s="61"/>
      <c r="F30" s="62"/>
      <c r="G30" s="61"/>
      <c r="H30" s="62"/>
      <c r="I30" s="63"/>
      <c r="J30" s="61"/>
      <c r="K30" s="61"/>
      <c r="L30" s="64"/>
      <c r="M30" s="65"/>
      <c r="N30" s="65"/>
      <c r="O30" s="65"/>
      <c r="P30" s="64"/>
      <c r="Q30" s="65"/>
      <c r="R30" s="65"/>
      <c r="S30" s="65"/>
      <c r="T30" s="64"/>
      <c r="U30" s="66"/>
      <c r="V30" s="65"/>
    </row>
    <row r="31">
      <c r="B31" s="59" t="s">
        <v>125</v>
      </c>
      <c r="C31" s="59">
        <f>if(countif(F26:F30,F31)&gt;1,0,5)</f>
        <v>5</v>
      </c>
      <c r="D31" s="59"/>
      <c r="E31" s="61"/>
      <c r="F31" s="62"/>
      <c r="G31" s="61"/>
      <c r="H31" s="62"/>
      <c r="I31" s="63"/>
      <c r="J31" s="61"/>
      <c r="K31" s="61"/>
      <c r="L31" s="64"/>
      <c r="M31" s="65"/>
      <c r="N31" s="65"/>
      <c r="O31" s="65"/>
      <c r="P31" s="64"/>
      <c r="Q31" s="65"/>
      <c r="R31" s="65"/>
      <c r="S31" s="65"/>
      <c r="T31" s="64"/>
      <c r="U31" s="66"/>
      <c r="V31" s="65"/>
    </row>
    <row r="32">
      <c r="B32" s="59" t="s">
        <v>126</v>
      </c>
      <c r="C32" s="59">
        <f>if(countif(F26:F31,F32)&gt;1,0,4)</f>
        <v>4</v>
      </c>
      <c r="D32" s="59"/>
      <c r="E32" s="61"/>
      <c r="F32" s="62"/>
      <c r="G32" s="61"/>
      <c r="H32" s="62"/>
      <c r="I32" s="63"/>
      <c r="J32" s="61"/>
      <c r="K32" s="61"/>
      <c r="L32" s="64"/>
      <c r="M32" s="65"/>
      <c r="N32" s="65"/>
      <c r="O32" s="65"/>
      <c r="P32" s="64"/>
      <c r="Q32" s="65"/>
      <c r="R32" s="65"/>
      <c r="S32" s="65"/>
      <c r="T32" s="64"/>
      <c r="U32" s="66"/>
      <c r="V32" s="65"/>
    </row>
    <row r="33">
      <c r="B33" s="59" t="s">
        <v>127</v>
      </c>
      <c r="C33" s="59">
        <f>if(countif(F26:F32,F33)&gt;1,0,3)</f>
        <v>3</v>
      </c>
      <c r="D33" s="59"/>
      <c r="E33" s="61"/>
      <c r="F33" s="62"/>
      <c r="G33" s="61"/>
      <c r="H33" s="62"/>
      <c r="I33" s="63"/>
      <c r="J33" s="61"/>
      <c r="K33" s="61"/>
      <c r="L33" s="64"/>
      <c r="M33" s="65"/>
      <c r="N33" s="65"/>
      <c r="O33" s="65"/>
      <c r="P33" s="64"/>
      <c r="Q33" s="65"/>
      <c r="R33" s="65"/>
      <c r="S33" s="65"/>
      <c r="T33" s="64"/>
      <c r="U33" s="66"/>
      <c r="V33" s="65"/>
    </row>
    <row r="34">
      <c r="B34" s="59" t="s">
        <v>128</v>
      </c>
      <c r="C34" s="59">
        <f>if(countif(F26:F33,F34)&gt;1,0,2)</f>
        <v>2</v>
      </c>
      <c r="D34" s="59"/>
      <c r="E34" s="61"/>
      <c r="F34" s="62"/>
      <c r="G34" s="61"/>
      <c r="H34" s="62"/>
      <c r="I34" s="63"/>
      <c r="J34" s="61"/>
      <c r="K34" s="61"/>
      <c r="L34" s="64"/>
      <c r="M34" s="65"/>
      <c r="N34" s="65"/>
      <c r="O34" s="65"/>
      <c r="P34" s="64"/>
      <c r="Q34" s="65"/>
      <c r="R34" s="65"/>
      <c r="S34" s="65"/>
      <c r="T34" s="64"/>
      <c r="U34" s="66"/>
      <c r="V34" s="65"/>
    </row>
    <row r="35">
      <c r="B35" s="59" t="s">
        <v>129</v>
      </c>
      <c r="C35" s="59">
        <f>if(countif(F26:F34,F35)&gt;1,0,1)</f>
        <v>1</v>
      </c>
      <c r="D35" s="59"/>
      <c r="E35" s="61"/>
      <c r="F35" s="62"/>
      <c r="G35" s="61"/>
      <c r="H35" s="62"/>
      <c r="I35" s="63"/>
      <c r="J35" s="61"/>
      <c r="K35" s="61"/>
      <c r="L35" s="64"/>
      <c r="M35" s="65"/>
      <c r="N35" s="65"/>
      <c r="O35" s="65"/>
      <c r="P35" s="64"/>
      <c r="Q35" s="65"/>
      <c r="R35" s="65"/>
      <c r="S35" s="65"/>
      <c r="T35" s="64"/>
      <c r="U35" s="66"/>
      <c r="V35" s="65"/>
    </row>
    <row r="36">
      <c r="A36" s="73">
        <v>145.0</v>
      </c>
      <c r="B36" s="68" t="s">
        <v>120</v>
      </c>
      <c r="C36" s="68">
        <v>12.0</v>
      </c>
      <c r="D36" s="68" t="str">
        <f>IFERROR(__xludf.DUMMYFUNCTION("ARRAY_CONSTRAIN(sort(filter(Mens_V_Tie_Breaker!D6:X265,Mens_V_Tie_Breaker!D6:D265=""145 V""),18,false,4,true,20,false,21,true),10,19)"),"#N/A")</f>
        <v>#N/A</v>
      </c>
      <c r="E36" s="69"/>
      <c r="F36" s="70"/>
      <c r="G36" s="69"/>
      <c r="H36" s="70"/>
      <c r="I36" s="71"/>
      <c r="J36" s="69"/>
      <c r="K36" s="69"/>
      <c r="L36" s="64"/>
      <c r="M36" s="72"/>
      <c r="N36" s="72"/>
      <c r="O36" s="72"/>
      <c r="P36" s="64"/>
      <c r="Q36" s="72"/>
      <c r="R36" s="72"/>
      <c r="S36" s="72"/>
      <c r="T36" s="64"/>
      <c r="U36" s="66"/>
      <c r="V36" s="72"/>
    </row>
    <row r="37">
      <c r="B37" s="68" t="s">
        <v>121</v>
      </c>
      <c r="C37" s="68">
        <v>9.0</v>
      </c>
      <c r="D37" s="68"/>
      <c r="E37" s="69"/>
      <c r="F37" s="70"/>
      <c r="G37" s="69"/>
      <c r="H37" s="70"/>
      <c r="I37" s="71"/>
      <c r="J37" s="69"/>
      <c r="K37" s="69"/>
      <c r="L37" s="64"/>
      <c r="M37" s="72"/>
      <c r="N37" s="72"/>
      <c r="O37" s="72"/>
      <c r="P37" s="64"/>
      <c r="Q37" s="72"/>
      <c r="R37" s="72"/>
      <c r="S37" s="72"/>
      <c r="T37" s="64"/>
      <c r="U37" s="66"/>
      <c r="V37" s="72"/>
    </row>
    <row r="38">
      <c r="B38" s="68" t="s">
        <v>122</v>
      </c>
      <c r="C38" s="68">
        <f>if(countif(F36:F37,F38)&gt;1,0,8)</f>
        <v>8</v>
      </c>
      <c r="D38" s="68"/>
      <c r="E38" s="69"/>
      <c r="F38" s="70"/>
      <c r="G38" s="69"/>
      <c r="H38" s="70"/>
      <c r="I38" s="71"/>
      <c r="J38" s="69"/>
      <c r="K38" s="69"/>
      <c r="L38" s="64"/>
      <c r="M38" s="72"/>
      <c r="N38" s="72"/>
      <c r="O38" s="72"/>
      <c r="P38" s="64"/>
      <c r="Q38" s="72"/>
      <c r="R38" s="72"/>
      <c r="S38" s="72"/>
      <c r="T38" s="64"/>
      <c r="U38" s="66"/>
      <c r="V38" s="72"/>
    </row>
    <row r="39">
      <c r="B39" s="68" t="s">
        <v>123</v>
      </c>
      <c r="C39" s="68">
        <f>if(countif(F36:F38,F39)&gt;1,0,7)</f>
        <v>7</v>
      </c>
      <c r="D39" s="68"/>
      <c r="E39" s="69"/>
      <c r="F39" s="70"/>
      <c r="G39" s="69"/>
      <c r="H39" s="70"/>
      <c r="I39" s="71"/>
      <c r="J39" s="69"/>
      <c r="K39" s="69"/>
      <c r="L39" s="64"/>
      <c r="M39" s="72"/>
      <c r="N39" s="72"/>
      <c r="O39" s="72"/>
      <c r="P39" s="64"/>
      <c r="Q39" s="72"/>
      <c r="R39" s="72"/>
      <c r="S39" s="72"/>
      <c r="T39" s="64"/>
      <c r="U39" s="66"/>
      <c r="V39" s="72"/>
    </row>
    <row r="40">
      <c r="B40" s="68" t="s">
        <v>124</v>
      </c>
      <c r="C40" s="68">
        <f>if(countif(F36:F39,F40)&gt;1,0,6)</f>
        <v>6</v>
      </c>
      <c r="D40" s="68"/>
      <c r="E40" s="69"/>
      <c r="F40" s="70"/>
      <c r="G40" s="69"/>
      <c r="H40" s="70"/>
      <c r="I40" s="71"/>
      <c r="J40" s="69"/>
      <c r="K40" s="69"/>
      <c r="L40" s="64"/>
      <c r="M40" s="72"/>
      <c r="N40" s="72"/>
      <c r="O40" s="72"/>
      <c r="P40" s="64"/>
      <c r="Q40" s="72"/>
      <c r="R40" s="72"/>
      <c r="S40" s="72"/>
      <c r="T40" s="64"/>
      <c r="U40" s="66"/>
      <c r="V40" s="72"/>
    </row>
    <row r="41">
      <c r="B41" s="68" t="s">
        <v>125</v>
      </c>
      <c r="C41" s="68">
        <f>if(countif(F36:F40,F41)&gt;1,0,5)</f>
        <v>5</v>
      </c>
      <c r="D41" s="68"/>
      <c r="E41" s="69"/>
      <c r="F41" s="70"/>
      <c r="G41" s="69"/>
      <c r="H41" s="70"/>
      <c r="I41" s="71"/>
      <c r="J41" s="69"/>
      <c r="K41" s="69"/>
      <c r="L41" s="64"/>
      <c r="M41" s="72"/>
      <c r="N41" s="72"/>
      <c r="O41" s="72"/>
      <c r="P41" s="64"/>
      <c r="Q41" s="72"/>
      <c r="R41" s="72"/>
      <c r="S41" s="72"/>
      <c r="T41" s="64"/>
      <c r="U41" s="66"/>
      <c r="V41" s="72"/>
    </row>
    <row r="42">
      <c r="B42" s="68" t="s">
        <v>126</v>
      </c>
      <c r="C42" s="68">
        <f>if(countif(F36:F41,F42)&gt;1,0,4)</f>
        <v>4</v>
      </c>
      <c r="D42" s="68"/>
      <c r="E42" s="69"/>
      <c r="F42" s="70"/>
      <c r="G42" s="69"/>
      <c r="H42" s="70"/>
      <c r="I42" s="71"/>
      <c r="J42" s="69"/>
      <c r="K42" s="69"/>
      <c r="L42" s="64"/>
      <c r="M42" s="72"/>
      <c r="N42" s="72"/>
      <c r="O42" s="72"/>
      <c r="P42" s="64"/>
      <c r="Q42" s="72"/>
      <c r="R42" s="72"/>
      <c r="S42" s="72"/>
      <c r="T42" s="64"/>
      <c r="U42" s="66"/>
      <c r="V42" s="72"/>
    </row>
    <row r="43">
      <c r="B43" s="68" t="s">
        <v>127</v>
      </c>
      <c r="C43" s="68">
        <f>if(countif(F36:F42,F43)&gt;1,0,3)</f>
        <v>3</v>
      </c>
      <c r="D43" s="68"/>
      <c r="E43" s="69"/>
      <c r="F43" s="70"/>
      <c r="G43" s="69"/>
      <c r="H43" s="70"/>
      <c r="I43" s="71"/>
      <c r="J43" s="69"/>
      <c r="K43" s="69"/>
      <c r="L43" s="64"/>
      <c r="M43" s="72"/>
      <c r="N43" s="72"/>
      <c r="O43" s="72"/>
      <c r="P43" s="64"/>
      <c r="Q43" s="72"/>
      <c r="R43" s="72"/>
      <c r="S43" s="72"/>
      <c r="T43" s="64"/>
      <c r="U43" s="66"/>
      <c r="V43" s="72"/>
    </row>
    <row r="44">
      <c r="B44" s="68" t="s">
        <v>128</v>
      </c>
      <c r="C44" s="68">
        <f>if(countif(F36:F43,F44)&gt;1,0,2)</f>
        <v>2</v>
      </c>
      <c r="D44" s="68"/>
      <c r="E44" s="69"/>
      <c r="F44" s="70"/>
      <c r="G44" s="69"/>
      <c r="H44" s="70"/>
      <c r="I44" s="71"/>
      <c r="J44" s="69"/>
      <c r="K44" s="69"/>
      <c r="L44" s="64"/>
      <c r="M44" s="72"/>
      <c r="N44" s="72"/>
      <c r="O44" s="72"/>
      <c r="P44" s="64"/>
      <c r="Q44" s="72"/>
      <c r="R44" s="72"/>
      <c r="S44" s="72"/>
      <c r="T44" s="64"/>
      <c r="U44" s="66"/>
      <c r="V44" s="72"/>
    </row>
    <row r="45">
      <c r="B45" s="68" t="s">
        <v>129</v>
      </c>
      <c r="C45" s="68">
        <f>if(countif(F36:F44,F45)&gt;1,0,1)</f>
        <v>1</v>
      </c>
      <c r="D45" s="68"/>
      <c r="E45" s="69"/>
      <c r="F45" s="70"/>
      <c r="G45" s="69"/>
      <c r="H45" s="70"/>
      <c r="I45" s="71"/>
      <c r="J45" s="69"/>
      <c r="K45" s="69"/>
      <c r="L45" s="64"/>
      <c r="M45" s="72"/>
      <c r="N45" s="72"/>
      <c r="O45" s="72"/>
      <c r="P45" s="64"/>
      <c r="Q45" s="72"/>
      <c r="R45" s="72"/>
      <c r="S45" s="72"/>
      <c r="T45" s="64"/>
      <c r="U45" s="66"/>
      <c r="V45" s="72"/>
    </row>
    <row r="46">
      <c r="A46" s="58">
        <v>155.0</v>
      </c>
      <c r="B46" s="59" t="s">
        <v>120</v>
      </c>
      <c r="C46" s="59">
        <v>12.0</v>
      </c>
      <c r="D46" s="60" t="str">
        <f>IFERROR(__xludf.DUMMYFUNCTION("ARRAY_CONSTRAIN(sort(filter(Mens_V_Tie_Breaker!D6:X265,Mens_V_Tie_Breaker!D6:D265=""155 V""),18,false,4,true,20,false,21,true),10,19)"),"#N/A")</f>
        <v>#N/A</v>
      </c>
      <c r="E46" s="61"/>
      <c r="F46" s="62"/>
      <c r="G46" s="61"/>
      <c r="H46" s="62"/>
      <c r="I46" s="63"/>
      <c r="J46" s="61"/>
      <c r="K46" s="61"/>
      <c r="L46" s="64"/>
      <c r="M46" s="65"/>
      <c r="N46" s="65"/>
      <c r="O46" s="65"/>
      <c r="P46" s="64"/>
      <c r="Q46" s="65"/>
      <c r="R46" s="65"/>
      <c r="S46" s="65"/>
      <c r="T46" s="64"/>
      <c r="U46" s="66"/>
      <c r="V46" s="65"/>
    </row>
    <row r="47">
      <c r="B47" s="59" t="s">
        <v>121</v>
      </c>
      <c r="C47" s="59">
        <v>9.0</v>
      </c>
      <c r="D47" s="59"/>
      <c r="E47" s="61"/>
      <c r="F47" s="62"/>
      <c r="G47" s="61"/>
      <c r="H47" s="62"/>
      <c r="I47" s="63"/>
      <c r="J47" s="61"/>
      <c r="K47" s="61"/>
      <c r="L47" s="64"/>
      <c r="M47" s="65"/>
      <c r="N47" s="65"/>
      <c r="O47" s="65"/>
      <c r="P47" s="64"/>
      <c r="Q47" s="65"/>
      <c r="R47" s="65"/>
      <c r="S47" s="65"/>
      <c r="T47" s="64"/>
      <c r="U47" s="66"/>
      <c r="V47" s="65"/>
    </row>
    <row r="48">
      <c r="B48" s="59" t="s">
        <v>122</v>
      </c>
      <c r="C48" s="59">
        <f>if(countif(F46:F47,F48)&gt;1,0,8)</f>
        <v>8</v>
      </c>
      <c r="D48" s="59"/>
      <c r="E48" s="61"/>
      <c r="F48" s="62"/>
      <c r="G48" s="61"/>
      <c r="H48" s="62"/>
      <c r="I48" s="63"/>
      <c r="J48" s="61"/>
      <c r="K48" s="61"/>
      <c r="L48" s="64"/>
      <c r="M48" s="65"/>
      <c r="N48" s="65"/>
      <c r="O48" s="65"/>
      <c r="P48" s="64"/>
      <c r="Q48" s="65"/>
      <c r="R48" s="65"/>
      <c r="S48" s="65"/>
      <c r="T48" s="64"/>
      <c r="U48" s="66"/>
      <c r="V48" s="65"/>
    </row>
    <row r="49">
      <c r="B49" s="59" t="s">
        <v>123</v>
      </c>
      <c r="C49" s="59">
        <f>if(countif(F46:F48,F49)&gt;1,0,7)</f>
        <v>7</v>
      </c>
      <c r="D49" s="59"/>
      <c r="E49" s="61"/>
      <c r="F49" s="62"/>
      <c r="G49" s="61"/>
      <c r="H49" s="62"/>
      <c r="I49" s="63"/>
      <c r="J49" s="61"/>
      <c r="K49" s="61"/>
      <c r="L49" s="64"/>
      <c r="M49" s="65"/>
      <c r="N49" s="65"/>
      <c r="O49" s="65"/>
      <c r="P49" s="64"/>
      <c r="Q49" s="65"/>
      <c r="R49" s="65"/>
      <c r="S49" s="65"/>
      <c r="T49" s="64"/>
      <c r="U49" s="66"/>
      <c r="V49" s="65"/>
    </row>
    <row r="50">
      <c r="B50" s="59" t="s">
        <v>124</v>
      </c>
      <c r="C50" s="59">
        <f>if(countif(F46:F49,F50)&gt;1,0,6)</f>
        <v>6</v>
      </c>
      <c r="D50" s="59"/>
      <c r="E50" s="61"/>
      <c r="F50" s="62"/>
      <c r="G50" s="61"/>
      <c r="H50" s="62"/>
      <c r="I50" s="63"/>
      <c r="J50" s="61"/>
      <c r="K50" s="61"/>
      <c r="L50" s="64"/>
      <c r="M50" s="65"/>
      <c r="N50" s="65"/>
      <c r="O50" s="65"/>
      <c r="P50" s="64"/>
      <c r="Q50" s="65"/>
      <c r="R50" s="65"/>
      <c r="S50" s="65"/>
      <c r="T50" s="64"/>
      <c r="U50" s="66"/>
      <c r="V50" s="65"/>
    </row>
    <row r="51">
      <c r="B51" s="59" t="s">
        <v>125</v>
      </c>
      <c r="C51" s="59">
        <f>if(countif(F46:F50,F51)&gt;1,0,5)</f>
        <v>5</v>
      </c>
      <c r="D51" s="59"/>
      <c r="E51" s="61"/>
      <c r="F51" s="62"/>
      <c r="G51" s="61"/>
      <c r="H51" s="62"/>
      <c r="I51" s="63"/>
      <c r="J51" s="61"/>
      <c r="K51" s="61"/>
      <c r="L51" s="64"/>
      <c r="M51" s="65"/>
      <c r="N51" s="65"/>
      <c r="O51" s="65"/>
      <c r="P51" s="64"/>
      <c r="Q51" s="65"/>
      <c r="R51" s="65"/>
      <c r="S51" s="65"/>
      <c r="T51" s="64"/>
      <c r="U51" s="66"/>
      <c r="V51" s="65"/>
    </row>
    <row r="52">
      <c r="B52" s="59" t="s">
        <v>126</v>
      </c>
      <c r="C52" s="59">
        <f>if(countif(F46:F51,F52)&gt;1,0,4)</f>
        <v>4</v>
      </c>
      <c r="D52" s="59"/>
      <c r="E52" s="61"/>
      <c r="F52" s="62"/>
      <c r="G52" s="61"/>
      <c r="H52" s="62"/>
      <c r="I52" s="63"/>
      <c r="J52" s="61"/>
      <c r="K52" s="61"/>
      <c r="L52" s="64"/>
      <c r="M52" s="65"/>
      <c r="N52" s="65"/>
      <c r="O52" s="65"/>
      <c r="P52" s="64"/>
      <c r="Q52" s="65"/>
      <c r="R52" s="65"/>
      <c r="S52" s="65"/>
      <c r="T52" s="64"/>
      <c r="U52" s="66"/>
      <c r="V52" s="65"/>
    </row>
    <row r="53">
      <c r="B53" s="59" t="s">
        <v>127</v>
      </c>
      <c r="C53" s="59">
        <f>if(countif(F46:F52,F53)&gt;1,0,3)</f>
        <v>3</v>
      </c>
      <c r="D53" s="59"/>
      <c r="E53" s="61"/>
      <c r="F53" s="62"/>
      <c r="G53" s="61"/>
      <c r="H53" s="62"/>
      <c r="I53" s="63"/>
      <c r="J53" s="61"/>
      <c r="K53" s="61"/>
      <c r="L53" s="64"/>
      <c r="M53" s="65"/>
      <c r="N53" s="65"/>
      <c r="O53" s="65"/>
      <c r="P53" s="64"/>
      <c r="Q53" s="65"/>
      <c r="R53" s="65"/>
      <c r="S53" s="65"/>
      <c r="T53" s="64"/>
      <c r="U53" s="66"/>
      <c r="V53" s="65"/>
    </row>
    <row r="54">
      <c r="B54" s="59" t="s">
        <v>128</v>
      </c>
      <c r="C54" s="59">
        <f>if(countif(F46:F53,F54)&gt;1,0,2)</f>
        <v>2</v>
      </c>
      <c r="D54" s="59"/>
      <c r="E54" s="61"/>
      <c r="F54" s="62"/>
      <c r="G54" s="61"/>
      <c r="H54" s="62"/>
      <c r="I54" s="63"/>
      <c r="J54" s="61"/>
      <c r="K54" s="61"/>
      <c r="L54" s="64"/>
      <c r="M54" s="65"/>
      <c r="N54" s="65"/>
      <c r="O54" s="65"/>
      <c r="P54" s="64"/>
      <c r="Q54" s="65"/>
      <c r="R54" s="65"/>
      <c r="S54" s="65"/>
      <c r="T54" s="64"/>
      <c r="U54" s="66"/>
      <c r="V54" s="65"/>
    </row>
    <row r="55">
      <c r="B55" s="59" t="s">
        <v>129</v>
      </c>
      <c r="C55" s="59">
        <f>if(countif(F46:F54,F55)&gt;1,0,1)</f>
        <v>1</v>
      </c>
      <c r="D55" s="59"/>
      <c r="E55" s="61"/>
      <c r="F55" s="62"/>
      <c r="G55" s="61"/>
      <c r="H55" s="62"/>
      <c r="I55" s="63"/>
      <c r="J55" s="61"/>
      <c r="K55" s="61"/>
      <c r="L55" s="64"/>
      <c r="M55" s="65"/>
      <c r="N55" s="65"/>
      <c r="O55" s="65"/>
      <c r="P55" s="64"/>
      <c r="Q55" s="65"/>
      <c r="R55" s="65"/>
      <c r="S55" s="65"/>
      <c r="T55" s="64"/>
      <c r="U55" s="66"/>
      <c r="V55" s="65"/>
    </row>
    <row r="56">
      <c r="A56" s="73">
        <v>165.0</v>
      </c>
      <c r="B56" s="68" t="s">
        <v>120</v>
      </c>
      <c r="C56" s="68">
        <v>12.0</v>
      </c>
      <c r="D56" s="68" t="str">
        <f>IFERROR(__xludf.DUMMYFUNCTION("ARRAY_CONSTRAIN(sort(filter(Mens_V_Tie_Breaker!D6:X265,Mens_V_Tie_Breaker!D6:D265=""165 V""),18,false,4,true,20,false,21,true),10,19)"),"#N/A")</f>
        <v>#N/A</v>
      </c>
      <c r="E56" s="69"/>
      <c r="F56" s="70"/>
      <c r="G56" s="69"/>
      <c r="H56" s="70"/>
      <c r="I56" s="71"/>
      <c r="J56" s="69"/>
      <c r="K56" s="69"/>
      <c r="L56" s="64"/>
      <c r="M56" s="72"/>
      <c r="N56" s="72"/>
      <c r="O56" s="72"/>
      <c r="P56" s="64"/>
      <c r="Q56" s="72"/>
      <c r="R56" s="72"/>
      <c r="S56" s="72"/>
      <c r="T56" s="64"/>
      <c r="U56" s="66"/>
      <c r="V56" s="72"/>
    </row>
    <row r="57">
      <c r="B57" s="68" t="s">
        <v>121</v>
      </c>
      <c r="C57" s="68">
        <v>9.0</v>
      </c>
      <c r="D57" s="68"/>
      <c r="E57" s="69"/>
      <c r="F57" s="70"/>
      <c r="G57" s="69"/>
      <c r="H57" s="70"/>
      <c r="I57" s="71"/>
      <c r="J57" s="69"/>
      <c r="K57" s="69"/>
      <c r="L57" s="64"/>
      <c r="M57" s="72"/>
      <c r="N57" s="72"/>
      <c r="O57" s="72"/>
      <c r="P57" s="64"/>
      <c r="Q57" s="72"/>
      <c r="R57" s="72"/>
      <c r="S57" s="72"/>
      <c r="T57" s="64"/>
      <c r="U57" s="66"/>
      <c r="V57" s="72"/>
    </row>
    <row r="58">
      <c r="B58" s="68" t="s">
        <v>122</v>
      </c>
      <c r="C58" s="68">
        <f>if(countif(F56:F57,F58)&gt;1,0,8)</f>
        <v>8</v>
      </c>
      <c r="D58" s="68"/>
      <c r="E58" s="69"/>
      <c r="F58" s="70"/>
      <c r="G58" s="69"/>
      <c r="H58" s="70"/>
      <c r="I58" s="71"/>
      <c r="J58" s="69"/>
      <c r="K58" s="69"/>
      <c r="L58" s="64"/>
      <c r="M58" s="72"/>
      <c r="N58" s="72"/>
      <c r="O58" s="72"/>
      <c r="P58" s="64"/>
      <c r="Q58" s="72"/>
      <c r="R58" s="72"/>
      <c r="S58" s="72"/>
      <c r="T58" s="64"/>
      <c r="U58" s="66"/>
      <c r="V58" s="72"/>
    </row>
    <row r="59">
      <c r="B59" s="68" t="s">
        <v>123</v>
      </c>
      <c r="C59" s="68">
        <f>if(countif(F56:F58,F59)&gt;1,0,7)</f>
        <v>7</v>
      </c>
      <c r="D59" s="68"/>
      <c r="E59" s="69"/>
      <c r="F59" s="70"/>
      <c r="G59" s="69"/>
      <c r="H59" s="70"/>
      <c r="I59" s="71"/>
      <c r="J59" s="69"/>
      <c r="K59" s="69"/>
      <c r="L59" s="64"/>
      <c r="M59" s="72"/>
      <c r="N59" s="72"/>
      <c r="O59" s="72"/>
      <c r="P59" s="64"/>
      <c r="Q59" s="72"/>
      <c r="R59" s="72"/>
      <c r="S59" s="72"/>
      <c r="T59" s="64"/>
      <c r="U59" s="66"/>
      <c r="V59" s="72"/>
    </row>
    <row r="60">
      <c r="B60" s="68" t="s">
        <v>124</v>
      </c>
      <c r="C60" s="68">
        <f>if(countif(F56:F59,F60)&gt;1,0,6)</f>
        <v>6</v>
      </c>
      <c r="D60" s="68"/>
      <c r="E60" s="69"/>
      <c r="F60" s="70"/>
      <c r="G60" s="69"/>
      <c r="H60" s="70"/>
      <c r="I60" s="71"/>
      <c r="J60" s="69"/>
      <c r="K60" s="69"/>
      <c r="L60" s="64"/>
      <c r="M60" s="72"/>
      <c r="N60" s="72"/>
      <c r="O60" s="72"/>
      <c r="P60" s="64"/>
      <c r="Q60" s="72"/>
      <c r="R60" s="72"/>
      <c r="S60" s="72"/>
      <c r="T60" s="64"/>
      <c r="U60" s="66"/>
      <c r="V60" s="72"/>
    </row>
    <row r="61">
      <c r="B61" s="68" t="s">
        <v>125</v>
      </c>
      <c r="C61" s="68">
        <f>if(countif(F56:F60,F61)&gt;1,0,5)</f>
        <v>5</v>
      </c>
      <c r="D61" s="68"/>
      <c r="E61" s="69"/>
      <c r="F61" s="70"/>
      <c r="G61" s="69"/>
      <c r="H61" s="70"/>
      <c r="I61" s="71"/>
      <c r="J61" s="69"/>
      <c r="K61" s="69"/>
      <c r="L61" s="64"/>
      <c r="M61" s="72"/>
      <c r="N61" s="72"/>
      <c r="O61" s="72"/>
      <c r="P61" s="64"/>
      <c r="Q61" s="72"/>
      <c r="R61" s="72"/>
      <c r="S61" s="72"/>
      <c r="T61" s="64"/>
      <c r="U61" s="66"/>
      <c r="V61" s="72"/>
    </row>
    <row r="62">
      <c r="B62" s="68" t="s">
        <v>126</v>
      </c>
      <c r="C62" s="68">
        <f>if(countif(F56:F61,F62)&gt;1,0,4)</f>
        <v>4</v>
      </c>
      <c r="D62" s="68"/>
      <c r="E62" s="69"/>
      <c r="F62" s="70"/>
      <c r="G62" s="69"/>
      <c r="H62" s="70"/>
      <c r="I62" s="71"/>
      <c r="J62" s="69"/>
      <c r="K62" s="69"/>
      <c r="L62" s="64"/>
      <c r="M62" s="72"/>
      <c r="N62" s="72"/>
      <c r="O62" s="72"/>
      <c r="P62" s="64"/>
      <c r="Q62" s="72"/>
      <c r="R62" s="72"/>
      <c r="S62" s="72"/>
      <c r="T62" s="64"/>
      <c r="U62" s="66"/>
      <c r="V62" s="72"/>
    </row>
    <row r="63">
      <c r="B63" s="68" t="s">
        <v>127</v>
      </c>
      <c r="C63" s="68">
        <f>if(countif(F56:F62,F63)&gt;1,0,3)</f>
        <v>3</v>
      </c>
      <c r="D63" s="68"/>
      <c r="E63" s="69"/>
      <c r="F63" s="70"/>
      <c r="G63" s="69"/>
      <c r="H63" s="70"/>
      <c r="I63" s="71"/>
      <c r="J63" s="69"/>
      <c r="K63" s="69"/>
      <c r="L63" s="64"/>
      <c r="M63" s="72"/>
      <c r="N63" s="72"/>
      <c r="O63" s="72"/>
      <c r="P63" s="64"/>
      <c r="Q63" s="72"/>
      <c r="R63" s="72"/>
      <c r="S63" s="72"/>
      <c r="T63" s="64"/>
      <c r="U63" s="66"/>
      <c r="V63" s="72"/>
    </row>
    <row r="64">
      <c r="B64" s="68" t="s">
        <v>128</v>
      </c>
      <c r="C64" s="68">
        <f>if(countif(F56:F63,F64)&gt;1,0,2)</f>
        <v>2</v>
      </c>
      <c r="D64" s="68"/>
      <c r="E64" s="69"/>
      <c r="F64" s="70"/>
      <c r="G64" s="69"/>
      <c r="H64" s="70"/>
      <c r="I64" s="71"/>
      <c r="J64" s="69"/>
      <c r="K64" s="69"/>
      <c r="L64" s="64"/>
      <c r="M64" s="72"/>
      <c r="N64" s="72"/>
      <c r="O64" s="72"/>
      <c r="P64" s="64"/>
      <c r="Q64" s="72"/>
      <c r="R64" s="72"/>
      <c r="S64" s="72"/>
      <c r="T64" s="64"/>
      <c r="U64" s="66"/>
      <c r="V64" s="72"/>
    </row>
    <row r="65">
      <c r="B65" s="68" t="s">
        <v>129</v>
      </c>
      <c r="C65" s="68">
        <f>if(countif(F56:F64,F65)&gt;1,0,1)</f>
        <v>1</v>
      </c>
      <c r="D65" s="68"/>
      <c r="E65" s="69"/>
      <c r="F65" s="70"/>
      <c r="G65" s="69"/>
      <c r="H65" s="70"/>
      <c r="I65" s="71"/>
      <c r="J65" s="69"/>
      <c r="K65" s="69"/>
      <c r="L65" s="64"/>
      <c r="M65" s="72"/>
      <c r="N65" s="72"/>
      <c r="O65" s="72"/>
      <c r="P65" s="64"/>
      <c r="Q65" s="72"/>
      <c r="R65" s="72"/>
      <c r="S65" s="72"/>
      <c r="T65" s="64"/>
      <c r="U65" s="66"/>
      <c r="V65" s="72"/>
    </row>
    <row r="66">
      <c r="A66" s="58">
        <v>181.0</v>
      </c>
      <c r="B66" s="59" t="s">
        <v>120</v>
      </c>
      <c r="C66" s="59">
        <v>12.0</v>
      </c>
      <c r="D66" s="59" t="str">
        <f>IFERROR(__xludf.DUMMYFUNCTION("ARRAY_CONSTRAIN(sort(filter(Mens_V_Tie_Breaker!D6:X265,Mens_V_Tie_Breaker!D6:D265=""181 V""),18,false,4,true,20,false,21,true),10,19)"),"#N/A")</f>
        <v>#N/A</v>
      </c>
      <c r="E66" s="60"/>
      <c r="F66" s="62"/>
      <c r="G66" s="61"/>
      <c r="H66" s="62"/>
      <c r="I66" s="63"/>
      <c r="J66" s="61"/>
      <c r="K66" s="61"/>
      <c r="L66" s="64"/>
      <c r="M66" s="65"/>
      <c r="N66" s="65"/>
      <c r="O66" s="65"/>
      <c r="P66" s="64"/>
      <c r="Q66" s="65"/>
      <c r="R66" s="65"/>
      <c r="S66" s="65"/>
      <c r="T66" s="64"/>
      <c r="U66" s="66"/>
      <c r="V66" s="65"/>
    </row>
    <row r="67">
      <c r="B67" s="59" t="s">
        <v>121</v>
      </c>
      <c r="C67" s="59">
        <v>9.0</v>
      </c>
      <c r="D67" s="59"/>
      <c r="E67" s="61"/>
      <c r="F67" s="62"/>
      <c r="G67" s="61"/>
      <c r="H67" s="62"/>
      <c r="I67" s="63"/>
      <c r="J67" s="61"/>
      <c r="K67" s="61"/>
      <c r="L67" s="64"/>
      <c r="M67" s="65"/>
      <c r="N67" s="65"/>
      <c r="O67" s="65"/>
      <c r="P67" s="64"/>
      <c r="Q67" s="65"/>
      <c r="R67" s="65"/>
      <c r="S67" s="65"/>
      <c r="T67" s="64"/>
      <c r="U67" s="66"/>
      <c r="V67" s="65"/>
    </row>
    <row r="68">
      <c r="B68" s="59" t="s">
        <v>122</v>
      </c>
      <c r="C68" s="59">
        <f>if(countif(F66:F67,F68)&gt;1,0,8)</f>
        <v>8</v>
      </c>
      <c r="D68" s="59"/>
      <c r="E68" s="61"/>
      <c r="F68" s="62"/>
      <c r="G68" s="61"/>
      <c r="H68" s="62"/>
      <c r="I68" s="63"/>
      <c r="J68" s="61"/>
      <c r="K68" s="61"/>
      <c r="L68" s="64"/>
      <c r="M68" s="65"/>
      <c r="N68" s="65"/>
      <c r="O68" s="65"/>
      <c r="P68" s="64"/>
      <c r="Q68" s="65"/>
      <c r="R68" s="65"/>
      <c r="S68" s="65"/>
      <c r="T68" s="64"/>
      <c r="U68" s="66"/>
      <c r="V68" s="65"/>
    </row>
    <row r="69">
      <c r="B69" s="59" t="s">
        <v>123</v>
      </c>
      <c r="C69" s="59">
        <f>if(countif(F66:F68,F69)&gt;1,0,7)</f>
        <v>7</v>
      </c>
      <c r="D69" s="59"/>
      <c r="E69" s="61"/>
      <c r="F69" s="62"/>
      <c r="G69" s="61"/>
      <c r="H69" s="62"/>
      <c r="I69" s="63"/>
      <c r="J69" s="61"/>
      <c r="K69" s="61"/>
      <c r="L69" s="64"/>
      <c r="M69" s="65"/>
      <c r="N69" s="65"/>
      <c r="O69" s="65"/>
      <c r="P69" s="64"/>
      <c r="Q69" s="65"/>
      <c r="R69" s="65"/>
      <c r="S69" s="65"/>
      <c r="T69" s="64"/>
      <c r="U69" s="66"/>
      <c r="V69" s="65"/>
    </row>
    <row r="70">
      <c r="B70" s="59" t="s">
        <v>124</v>
      </c>
      <c r="C70" s="59">
        <f>if(countif(F66:F69,F70)&gt;1,0,6)</f>
        <v>6</v>
      </c>
      <c r="D70" s="59"/>
      <c r="E70" s="61"/>
      <c r="F70" s="62"/>
      <c r="G70" s="61"/>
      <c r="H70" s="62"/>
      <c r="I70" s="63"/>
      <c r="J70" s="61"/>
      <c r="K70" s="61"/>
      <c r="L70" s="64"/>
      <c r="M70" s="65"/>
      <c r="N70" s="65"/>
      <c r="O70" s="65"/>
      <c r="P70" s="64"/>
      <c r="Q70" s="65"/>
      <c r="R70" s="65"/>
      <c r="S70" s="65"/>
      <c r="T70" s="64"/>
      <c r="U70" s="66"/>
      <c r="V70" s="65"/>
    </row>
    <row r="71">
      <c r="B71" s="59" t="s">
        <v>125</v>
      </c>
      <c r="C71" s="59">
        <f>if(countif(F66:F70,F71)&gt;1,0,5)</f>
        <v>5</v>
      </c>
      <c r="D71" s="59"/>
      <c r="E71" s="61"/>
      <c r="F71" s="62"/>
      <c r="G71" s="61"/>
      <c r="H71" s="62"/>
      <c r="I71" s="63"/>
      <c r="J71" s="61"/>
      <c r="K71" s="61"/>
      <c r="L71" s="64"/>
      <c r="M71" s="65"/>
      <c r="N71" s="65"/>
      <c r="O71" s="65"/>
      <c r="P71" s="64"/>
      <c r="Q71" s="65"/>
      <c r="R71" s="65"/>
      <c r="S71" s="65"/>
      <c r="T71" s="64"/>
      <c r="U71" s="66"/>
      <c r="V71" s="65"/>
    </row>
    <row r="72">
      <c r="B72" s="59" t="s">
        <v>126</v>
      </c>
      <c r="C72" s="59">
        <f>if(countif(F66:F71,F72)&gt;1,0,4)</f>
        <v>4</v>
      </c>
      <c r="D72" s="59"/>
      <c r="E72" s="61"/>
      <c r="F72" s="62"/>
      <c r="G72" s="61"/>
      <c r="H72" s="62"/>
      <c r="I72" s="63"/>
      <c r="J72" s="61"/>
      <c r="K72" s="61"/>
      <c r="L72" s="64"/>
      <c r="M72" s="65"/>
      <c r="N72" s="65"/>
      <c r="O72" s="65"/>
      <c r="P72" s="64"/>
      <c r="Q72" s="65"/>
      <c r="R72" s="65"/>
      <c r="S72" s="65"/>
      <c r="T72" s="64"/>
      <c r="U72" s="66"/>
      <c r="V72" s="65"/>
    </row>
    <row r="73">
      <c r="B73" s="59" t="s">
        <v>127</v>
      </c>
      <c r="C73" s="59">
        <f>if(countif(F66:F72,F73)&gt;1,0,3)</f>
        <v>3</v>
      </c>
      <c r="D73" s="59"/>
      <c r="E73" s="61"/>
      <c r="F73" s="62"/>
      <c r="G73" s="61"/>
      <c r="H73" s="62"/>
      <c r="I73" s="63"/>
      <c r="J73" s="61"/>
      <c r="K73" s="61"/>
      <c r="L73" s="64"/>
      <c r="M73" s="65"/>
      <c r="N73" s="65"/>
      <c r="O73" s="65"/>
      <c r="P73" s="64"/>
      <c r="Q73" s="65"/>
      <c r="R73" s="65"/>
      <c r="S73" s="65"/>
      <c r="T73" s="64"/>
      <c r="U73" s="66"/>
      <c r="V73" s="65"/>
    </row>
    <row r="74">
      <c r="B74" s="59" t="s">
        <v>128</v>
      </c>
      <c r="C74" s="59">
        <f>if(countif(F66:F73,F74)&gt;1,0,2)</f>
        <v>2</v>
      </c>
      <c r="D74" s="59"/>
      <c r="E74" s="61"/>
      <c r="F74" s="62"/>
      <c r="G74" s="61"/>
      <c r="H74" s="62"/>
      <c r="I74" s="63"/>
      <c r="J74" s="61"/>
      <c r="K74" s="61"/>
      <c r="L74" s="64"/>
      <c r="M74" s="65"/>
      <c r="N74" s="65"/>
      <c r="O74" s="65"/>
      <c r="P74" s="64"/>
      <c r="Q74" s="65"/>
      <c r="R74" s="65"/>
      <c r="S74" s="65"/>
      <c r="T74" s="64"/>
      <c r="U74" s="66"/>
      <c r="V74" s="65"/>
    </row>
    <row r="75">
      <c r="B75" s="59" t="s">
        <v>129</v>
      </c>
      <c r="C75" s="59">
        <f>if(countif(F66:F74,F75)&gt;1,0,1)</f>
        <v>1</v>
      </c>
      <c r="D75" s="59"/>
      <c r="E75" s="61"/>
      <c r="F75" s="62"/>
      <c r="G75" s="61"/>
      <c r="H75" s="62"/>
      <c r="I75" s="63"/>
      <c r="J75" s="61"/>
      <c r="K75" s="61"/>
      <c r="L75" s="64"/>
      <c r="M75" s="65"/>
      <c r="N75" s="65"/>
      <c r="O75" s="65"/>
      <c r="P75" s="64"/>
      <c r="Q75" s="65"/>
      <c r="R75" s="65"/>
      <c r="S75" s="65"/>
      <c r="T75" s="64"/>
      <c r="U75" s="66"/>
      <c r="V75" s="65"/>
    </row>
    <row r="76">
      <c r="A76" s="73">
        <v>194.0</v>
      </c>
      <c r="B76" s="68" t="s">
        <v>120</v>
      </c>
      <c r="C76" s="68">
        <v>12.0</v>
      </c>
      <c r="D76" s="68" t="str">
        <f>IFERROR(__xludf.DUMMYFUNCTION("ARRAY_CONSTRAIN(sort(filter(Mens_V_Tie_Breaker!D6:X265,Mens_V_Tie_Breaker!D6:D265=""194 V""),18,false,4,true,20,false,21,true),10,19)"),"#N/A")</f>
        <v>#N/A</v>
      </c>
      <c r="E76" s="69"/>
      <c r="F76" s="70"/>
      <c r="G76" s="69"/>
      <c r="H76" s="70"/>
      <c r="I76" s="71"/>
      <c r="J76" s="69"/>
      <c r="K76" s="69"/>
      <c r="L76" s="64"/>
      <c r="M76" s="72"/>
      <c r="N76" s="72"/>
      <c r="O76" s="72"/>
      <c r="P76" s="64"/>
      <c r="Q76" s="72"/>
      <c r="R76" s="72"/>
      <c r="S76" s="72"/>
      <c r="T76" s="64"/>
      <c r="U76" s="66"/>
      <c r="V76" s="72"/>
    </row>
    <row r="77">
      <c r="B77" s="68" t="s">
        <v>121</v>
      </c>
      <c r="C77" s="68">
        <v>9.0</v>
      </c>
      <c r="D77" s="68"/>
      <c r="E77" s="69"/>
      <c r="F77" s="70"/>
      <c r="G77" s="69"/>
      <c r="H77" s="70"/>
      <c r="I77" s="71"/>
      <c r="J77" s="69"/>
      <c r="K77" s="69"/>
      <c r="L77" s="64"/>
      <c r="M77" s="72"/>
      <c r="N77" s="72"/>
      <c r="O77" s="72"/>
      <c r="P77" s="64"/>
      <c r="Q77" s="72"/>
      <c r="R77" s="72"/>
      <c r="S77" s="72"/>
      <c r="T77" s="64"/>
      <c r="U77" s="66"/>
      <c r="V77" s="72"/>
    </row>
    <row r="78">
      <c r="B78" s="68" t="s">
        <v>122</v>
      </c>
      <c r="C78" s="68">
        <f>if(countif(F76:F77,F78)&gt;1,0,8)</f>
        <v>8</v>
      </c>
      <c r="D78" s="68"/>
      <c r="E78" s="69"/>
      <c r="F78" s="70"/>
      <c r="G78" s="69"/>
      <c r="H78" s="70"/>
      <c r="I78" s="71"/>
      <c r="J78" s="69"/>
      <c r="K78" s="69"/>
      <c r="L78" s="64"/>
      <c r="M78" s="72"/>
      <c r="N78" s="72"/>
      <c r="O78" s="72"/>
      <c r="P78" s="64"/>
      <c r="Q78" s="72"/>
      <c r="R78" s="72"/>
      <c r="S78" s="72"/>
      <c r="T78" s="64"/>
      <c r="U78" s="66"/>
      <c r="V78" s="72"/>
    </row>
    <row r="79">
      <c r="B79" s="68" t="s">
        <v>123</v>
      </c>
      <c r="C79" s="68">
        <f>if(countif(F76:F78,F79)&gt;1,0,7)</f>
        <v>7</v>
      </c>
      <c r="D79" s="68"/>
      <c r="E79" s="69"/>
      <c r="F79" s="70"/>
      <c r="G79" s="69"/>
      <c r="H79" s="70"/>
      <c r="I79" s="71"/>
      <c r="J79" s="69"/>
      <c r="K79" s="69"/>
      <c r="L79" s="64"/>
      <c r="M79" s="72"/>
      <c r="N79" s="72"/>
      <c r="O79" s="72"/>
      <c r="P79" s="64"/>
      <c r="Q79" s="72"/>
      <c r="R79" s="72"/>
      <c r="S79" s="72"/>
      <c r="T79" s="64"/>
      <c r="U79" s="66"/>
      <c r="V79" s="72"/>
    </row>
    <row r="80">
      <c r="B80" s="68" t="s">
        <v>124</v>
      </c>
      <c r="C80" s="68">
        <f>if(countif(F76:F79,F80)&gt;1,0,6)</f>
        <v>6</v>
      </c>
      <c r="D80" s="68"/>
      <c r="E80" s="69"/>
      <c r="F80" s="70"/>
      <c r="G80" s="69"/>
      <c r="H80" s="70"/>
      <c r="I80" s="71"/>
      <c r="J80" s="69"/>
      <c r="K80" s="69"/>
      <c r="L80" s="64"/>
      <c r="M80" s="72"/>
      <c r="N80" s="72"/>
      <c r="O80" s="72"/>
      <c r="P80" s="64"/>
      <c r="Q80" s="72"/>
      <c r="R80" s="72"/>
      <c r="S80" s="72"/>
      <c r="T80" s="64"/>
      <c r="U80" s="66"/>
      <c r="V80" s="72"/>
    </row>
    <row r="81">
      <c r="B81" s="68" t="s">
        <v>125</v>
      </c>
      <c r="C81" s="68">
        <f>if(countif(F76:F80,F81)&gt;1,0,5)</f>
        <v>5</v>
      </c>
      <c r="D81" s="68"/>
      <c r="E81" s="69"/>
      <c r="F81" s="70"/>
      <c r="G81" s="69"/>
      <c r="H81" s="70"/>
      <c r="I81" s="71"/>
      <c r="J81" s="69"/>
      <c r="K81" s="69"/>
      <c r="L81" s="64"/>
      <c r="M81" s="72"/>
      <c r="N81" s="72"/>
      <c r="O81" s="72"/>
      <c r="P81" s="64"/>
      <c r="Q81" s="72"/>
      <c r="R81" s="72"/>
      <c r="S81" s="72"/>
      <c r="T81" s="64"/>
      <c r="U81" s="66"/>
      <c r="V81" s="72"/>
    </row>
    <row r="82">
      <c r="B82" s="68" t="s">
        <v>126</v>
      </c>
      <c r="C82" s="68">
        <f>if(countif(F76:F81,F82)&gt;1,0,4)</f>
        <v>4</v>
      </c>
      <c r="D82" s="68"/>
      <c r="E82" s="69"/>
      <c r="F82" s="70"/>
      <c r="G82" s="69"/>
      <c r="H82" s="70"/>
      <c r="I82" s="71"/>
      <c r="J82" s="69"/>
      <c r="K82" s="69"/>
      <c r="L82" s="64"/>
      <c r="M82" s="72"/>
      <c r="N82" s="72"/>
      <c r="O82" s="72"/>
      <c r="P82" s="64"/>
      <c r="Q82" s="72"/>
      <c r="R82" s="72"/>
      <c r="S82" s="72"/>
      <c r="T82" s="64"/>
      <c r="U82" s="66"/>
      <c r="V82" s="72"/>
    </row>
    <row r="83">
      <c r="B83" s="68" t="s">
        <v>127</v>
      </c>
      <c r="C83" s="68">
        <f>if(countif(F76:F82,F83)&gt;1,0,3)</f>
        <v>3</v>
      </c>
      <c r="D83" s="68"/>
      <c r="E83" s="69"/>
      <c r="F83" s="70"/>
      <c r="G83" s="69"/>
      <c r="H83" s="70"/>
      <c r="I83" s="71"/>
      <c r="J83" s="69"/>
      <c r="K83" s="69"/>
      <c r="L83" s="64"/>
      <c r="M83" s="72"/>
      <c r="N83" s="72"/>
      <c r="O83" s="72"/>
      <c r="P83" s="64"/>
      <c r="Q83" s="72"/>
      <c r="R83" s="72"/>
      <c r="S83" s="72"/>
      <c r="T83" s="64"/>
      <c r="U83" s="66"/>
      <c r="V83" s="72"/>
    </row>
    <row r="84">
      <c r="B84" s="68" t="s">
        <v>128</v>
      </c>
      <c r="C84" s="68">
        <f>if(countif(F76:F83,F84)&gt;1,0,2)</f>
        <v>2</v>
      </c>
      <c r="D84" s="68"/>
      <c r="E84" s="69"/>
      <c r="F84" s="70"/>
      <c r="G84" s="69"/>
      <c r="H84" s="70"/>
      <c r="I84" s="71"/>
      <c r="J84" s="69"/>
      <c r="K84" s="69"/>
      <c r="L84" s="64"/>
      <c r="M84" s="72"/>
      <c r="N84" s="72"/>
      <c r="O84" s="72"/>
      <c r="P84" s="64"/>
      <c r="Q84" s="72"/>
      <c r="R84" s="72"/>
      <c r="S84" s="72"/>
      <c r="T84" s="64"/>
      <c r="U84" s="66"/>
      <c r="V84" s="72"/>
    </row>
    <row r="85">
      <c r="B85" s="68" t="s">
        <v>129</v>
      </c>
      <c r="C85" s="68">
        <f>if(countif(F76:F84,F85)&gt;1,0,1)</f>
        <v>1</v>
      </c>
      <c r="D85" s="68"/>
      <c r="E85" s="69"/>
      <c r="F85" s="70"/>
      <c r="G85" s="69"/>
      <c r="H85" s="70"/>
      <c r="I85" s="71"/>
      <c r="J85" s="69"/>
      <c r="K85" s="69"/>
      <c r="L85" s="64"/>
      <c r="M85" s="72"/>
      <c r="N85" s="72"/>
      <c r="O85" s="72"/>
      <c r="P85" s="64"/>
      <c r="Q85" s="72"/>
      <c r="R85" s="72"/>
      <c r="S85" s="72"/>
      <c r="T85" s="64"/>
      <c r="U85" s="66"/>
      <c r="V85" s="72"/>
    </row>
    <row r="86">
      <c r="A86" s="58">
        <v>207.0</v>
      </c>
      <c r="B86" s="59" t="s">
        <v>120</v>
      </c>
      <c r="C86" s="59">
        <v>12.0</v>
      </c>
      <c r="D86" s="59" t="str">
        <f>IFERROR(__xludf.DUMMYFUNCTION("ARRAY_CONSTRAIN(sort(filter(Mens_V_Tie_Breaker!D6:X265,Mens_V_Tie_Breaker!D6:D265=""207 V""),18,false,4,true,20,false,21,true),10,19)"),"#N/A")</f>
        <v>#N/A</v>
      </c>
      <c r="E86" s="61"/>
      <c r="F86" s="62"/>
      <c r="G86" s="61"/>
      <c r="H86" s="62"/>
      <c r="I86" s="63"/>
      <c r="J86" s="61"/>
      <c r="K86" s="61"/>
      <c r="L86" s="64"/>
      <c r="M86" s="65"/>
      <c r="N86" s="65"/>
      <c r="O86" s="65"/>
      <c r="P86" s="64"/>
      <c r="Q86" s="65"/>
      <c r="R86" s="65"/>
      <c r="S86" s="65"/>
      <c r="T86" s="64"/>
      <c r="U86" s="66"/>
      <c r="V86" s="65"/>
    </row>
    <row r="87">
      <c r="B87" s="59" t="s">
        <v>121</v>
      </c>
      <c r="C87" s="59">
        <v>9.0</v>
      </c>
      <c r="D87" s="59"/>
      <c r="E87" s="61"/>
      <c r="F87" s="62"/>
      <c r="G87" s="61"/>
      <c r="H87" s="62"/>
      <c r="I87" s="63"/>
      <c r="J87" s="61"/>
      <c r="K87" s="61"/>
      <c r="L87" s="64"/>
      <c r="M87" s="65"/>
      <c r="N87" s="65"/>
      <c r="O87" s="65"/>
      <c r="P87" s="64"/>
      <c r="Q87" s="65"/>
      <c r="R87" s="65"/>
      <c r="S87" s="65"/>
      <c r="T87" s="64"/>
      <c r="U87" s="66"/>
      <c r="V87" s="65"/>
    </row>
    <row r="88">
      <c r="B88" s="59" t="s">
        <v>122</v>
      </c>
      <c r="C88" s="59">
        <f>if(countif(F86:F87,F88)&gt;1,0,8)</f>
        <v>8</v>
      </c>
      <c r="D88" s="59"/>
      <c r="E88" s="61"/>
      <c r="F88" s="62"/>
      <c r="G88" s="61"/>
      <c r="H88" s="62"/>
      <c r="I88" s="63"/>
      <c r="J88" s="61"/>
      <c r="K88" s="61"/>
      <c r="L88" s="64"/>
      <c r="M88" s="65"/>
      <c r="N88" s="65"/>
      <c r="O88" s="65"/>
      <c r="P88" s="64"/>
      <c r="Q88" s="65"/>
      <c r="R88" s="65"/>
      <c r="S88" s="65"/>
      <c r="T88" s="64"/>
      <c r="U88" s="66"/>
      <c r="V88" s="65"/>
    </row>
    <row r="89">
      <c r="B89" s="59" t="s">
        <v>123</v>
      </c>
      <c r="C89" s="59">
        <f>if(countif(F86:F88,F89)&gt;1,0,7)</f>
        <v>7</v>
      </c>
      <c r="D89" s="59"/>
      <c r="E89" s="61"/>
      <c r="F89" s="62"/>
      <c r="G89" s="61"/>
      <c r="H89" s="62"/>
      <c r="I89" s="63"/>
      <c r="J89" s="61"/>
      <c r="K89" s="61"/>
      <c r="L89" s="64"/>
      <c r="M89" s="65"/>
      <c r="N89" s="65"/>
      <c r="O89" s="65"/>
      <c r="P89" s="64"/>
      <c r="Q89" s="65"/>
      <c r="R89" s="65"/>
      <c r="S89" s="65"/>
      <c r="T89" s="64"/>
      <c r="U89" s="66"/>
      <c r="V89" s="65"/>
    </row>
    <row r="90">
      <c r="B90" s="59" t="s">
        <v>124</v>
      </c>
      <c r="C90" s="59">
        <f>if(countif(F86:F89,F90)&gt;1,0,6)</f>
        <v>6</v>
      </c>
      <c r="D90" s="59"/>
      <c r="E90" s="61"/>
      <c r="F90" s="62"/>
      <c r="G90" s="61"/>
      <c r="H90" s="62"/>
      <c r="I90" s="63"/>
      <c r="J90" s="61"/>
      <c r="K90" s="61"/>
      <c r="L90" s="64"/>
      <c r="M90" s="65"/>
      <c r="N90" s="65"/>
      <c r="O90" s="65"/>
      <c r="P90" s="64"/>
      <c r="Q90" s="65"/>
      <c r="R90" s="65"/>
      <c r="S90" s="65"/>
      <c r="T90" s="64"/>
      <c r="U90" s="66"/>
      <c r="V90" s="65"/>
    </row>
    <row r="91">
      <c r="B91" s="59" t="s">
        <v>125</v>
      </c>
      <c r="C91" s="59">
        <f>if(countif(F86:F90,F91)&gt;1,0,5)</f>
        <v>5</v>
      </c>
      <c r="D91" s="59"/>
      <c r="E91" s="61"/>
      <c r="F91" s="62"/>
      <c r="G91" s="61"/>
      <c r="H91" s="62"/>
      <c r="I91" s="63"/>
      <c r="J91" s="61"/>
      <c r="K91" s="61"/>
      <c r="L91" s="64"/>
      <c r="M91" s="65"/>
      <c r="N91" s="65"/>
      <c r="O91" s="65"/>
      <c r="P91" s="64"/>
      <c r="Q91" s="65"/>
      <c r="R91" s="65"/>
      <c r="S91" s="65"/>
      <c r="T91" s="64"/>
      <c r="U91" s="66"/>
      <c r="V91" s="65"/>
    </row>
    <row r="92">
      <c r="B92" s="59" t="s">
        <v>126</v>
      </c>
      <c r="C92" s="59">
        <f>if(countif(F86:F91,F92)&gt;1,0,4)</f>
        <v>4</v>
      </c>
      <c r="D92" s="59"/>
      <c r="E92" s="61"/>
      <c r="F92" s="62"/>
      <c r="G92" s="61"/>
      <c r="H92" s="62"/>
      <c r="I92" s="63"/>
      <c r="J92" s="61"/>
      <c r="K92" s="61"/>
      <c r="L92" s="64"/>
      <c r="M92" s="65"/>
      <c r="N92" s="65"/>
      <c r="O92" s="65"/>
      <c r="P92" s="64"/>
      <c r="Q92" s="65"/>
      <c r="R92" s="65"/>
      <c r="S92" s="65"/>
      <c r="T92" s="64"/>
      <c r="U92" s="66"/>
      <c r="V92" s="65"/>
    </row>
    <row r="93">
      <c r="B93" s="59" t="s">
        <v>127</v>
      </c>
      <c r="C93" s="59">
        <f>if(countif(F86:F92,F93)&gt;1,0,3)</f>
        <v>3</v>
      </c>
      <c r="D93" s="59"/>
      <c r="E93" s="61"/>
      <c r="F93" s="62"/>
      <c r="G93" s="61"/>
      <c r="H93" s="62"/>
      <c r="I93" s="63"/>
      <c r="J93" s="61"/>
      <c r="K93" s="61"/>
      <c r="L93" s="64"/>
      <c r="M93" s="65"/>
      <c r="N93" s="65"/>
      <c r="O93" s="65"/>
      <c r="P93" s="64"/>
      <c r="Q93" s="65"/>
      <c r="R93" s="65"/>
      <c r="S93" s="65"/>
      <c r="T93" s="64"/>
      <c r="U93" s="66"/>
      <c r="V93" s="65"/>
    </row>
    <row r="94">
      <c r="B94" s="59" t="s">
        <v>128</v>
      </c>
      <c r="C94" s="59">
        <f>if(countif(F86:F93,F94)&gt;1,0,2)</f>
        <v>2</v>
      </c>
      <c r="D94" s="59"/>
      <c r="E94" s="61"/>
      <c r="F94" s="62"/>
      <c r="G94" s="61"/>
      <c r="H94" s="62"/>
      <c r="I94" s="63"/>
      <c r="J94" s="61"/>
      <c r="K94" s="61"/>
      <c r="L94" s="64"/>
      <c r="M94" s="65"/>
      <c r="N94" s="65"/>
      <c r="O94" s="65"/>
      <c r="P94" s="64"/>
      <c r="Q94" s="65"/>
      <c r="R94" s="65"/>
      <c r="S94" s="65"/>
      <c r="T94" s="64"/>
      <c r="U94" s="66"/>
      <c r="V94" s="65"/>
    </row>
    <row r="95">
      <c r="B95" s="59" t="s">
        <v>129</v>
      </c>
      <c r="C95" s="59">
        <f>if(countif(F86:F94,F95)&gt;1,0,1)</f>
        <v>1</v>
      </c>
      <c r="D95" s="59"/>
      <c r="E95" s="61"/>
      <c r="F95" s="62"/>
      <c r="G95" s="61"/>
      <c r="H95" s="62"/>
      <c r="I95" s="63"/>
      <c r="J95" s="61"/>
      <c r="K95" s="61"/>
      <c r="L95" s="64"/>
      <c r="M95" s="65"/>
      <c r="N95" s="65"/>
      <c r="O95" s="65"/>
      <c r="P95" s="64"/>
      <c r="Q95" s="65"/>
      <c r="R95" s="65"/>
      <c r="S95" s="65"/>
      <c r="T95" s="64"/>
      <c r="U95" s="66"/>
      <c r="V95" s="65"/>
    </row>
    <row r="96">
      <c r="A96" s="73">
        <v>220.0</v>
      </c>
      <c r="B96" s="68" t="s">
        <v>120</v>
      </c>
      <c r="C96" s="68">
        <v>12.0</v>
      </c>
      <c r="D96" s="68" t="str">
        <f>IFERROR(__xludf.DUMMYFUNCTION("ARRAY_CONSTRAIN(sort(filter(Mens_V_Tie_Breaker!D6:X265,Mens_V_Tie_Breaker!D6:D265=""220 V""),18,false,4,true,20,false,21,true),10,19)"),"#N/A")</f>
        <v>#N/A</v>
      </c>
      <c r="E96" s="69"/>
      <c r="F96" s="70"/>
      <c r="G96" s="69"/>
      <c r="H96" s="70"/>
      <c r="I96" s="71"/>
      <c r="J96" s="69"/>
      <c r="K96" s="69"/>
      <c r="L96" s="64"/>
      <c r="M96" s="72"/>
      <c r="N96" s="72"/>
      <c r="O96" s="72"/>
      <c r="P96" s="64"/>
      <c r="Q96" s="72"/>
      <c r="R96" s="72"/>
      <c r="S96" s="72"/>
      <c r="T96" s="64"/>
      <c r="U96" s="66"/>
      <c r="V96" s="72"/>
    </row>
    <row r="97">
      <c r="B97" s="68" t="s">
        <v>121</v>
      </c>
      <c r="C97" s="68">
        <v>9.0</v>
      </c>
      <c r="D97" s="68"/>
      <c r="E97" s="69"/>
      <c r="F97" s="70"/>
      <c r="G97" s="69"/>
      <c r="H97" s="70"/>
      <c r="I97" s="71"/>
      <c r="J97" s="69"/>
      <c r="K97" s="69"/>
      <c r="L97" s="64"/>
      <c r="M97" s="72"/>
      <c r="N97" s="72"/>
      <c r="O97" s="72"/>
      <c r="P97" s="64"/>
      <c r="Q97" s="72"/>
      <c r="R97" s="72"/>
      <c r="S97" s="72"/>
      <c r="T97" s="64"/>
      <c r="U97" s="66"/>
      <c r="V97" s="72"/>
    </row>
    <row r="98">
      <c r="B98" s="68" t="s">
        <v>122</v>
      </c>
      <c r="C98" s="68">
        <f>if(countif(F96:F97,F98)&gt;1,0,8)</f>
        <v>8</v>
      </c>
      <c r="D98" s="68"/>
      <c r="E98" s="69"/>
      <c r="F98" s="70"/>
      <c r="G98" s="69"/>
      <c r="H98" s="70"/>
      <c r="I98" s="71"/>
      <c r="J98" s="69"/>
      <c r="K98" s="69"/>
      <c r="L98" s="64"/>
      <c r="M98" s="72"/>
      <c r="N98" s="72"/>
      <c r="O98" s="72"/>
      <c r="P98" s="64"/>
      <c r="Q98" s="72"/>
      <c r="R98" s="72"/>
      <c r="S98" s="72"/>
      <c r="T98" s="64"/>
      <c r="U98" s="66"/>
      <c r="V98" s="72"/>
    </row>
    <row r="99">
      <c r="B99" s="68" t="s">
        <v>123</v>
      </c>
      <c r="C99" s="68">
        <f>if(countif(F96:F98,F99)&gt;1,0,7)</f>
        <v>7</v>
      </c>
      <c r="D99" s="68"/>
      <c r="E99" s="69"/>
      <c r="F99" s="70"/>
      <c r="G99" s="69"/>
      <c r="H99" s="70"/>
      <c r="I99" s="71"/>
      <c r="J99" s="69"/>
      <c r="K99" s="69"/>
      <c r="L99" s="64"/>
      <c r="M99" s="72"/>
      <c r="N99" s="72"/>
      <c r="O99" s="72"/>
      <c r="P99" s="64"/>
      <c r="Q99" s="72"/>
      <c r="R99" s="72"/>
      <c r="S99" s="72"/>
      <c r="T99" s="64"/>
      <c r="U99" s="66"/>
      <c r="V99" s="72"/>
    </row>
    <row r="100">
      <c r="B100" s="68" t="s">
        <v>124</v>
      </c>
      <c r="C100" s="68">
        <f>if(countif(F96:F99,F100)&gt;1,0,6)</f>
        <v>6</v>
      </c>
      <c r="D100" s="68"/>
      <c r="E100" s="69"/>
      <c r="F100" s="70"/>
      <c r="G100" s="69"/>
      <c r="H100" s="70"/>
      <c r="I100" s="71"/>
      <c r="J100" s="69"/>
      <c r="K100" s="69"/>
      <c r="L100" s="64"/>
      <c r="M100" s="72"/>
      <c r="N100" s="72"/>
      <c r="O100" s="72"/>
      <c r="P100" s="64"/>
      <c r="Q100" s="72"/>
      <c r="R100" s="72"/>
      <c r="S100" s="72"/>
      <c r="T100" s="64"/>
      <c r="U100" s="66"/>
      <c r="V100" s="72"/>
    </row>
    <row r="101">
      <c r="B101" s="68" t="s">
        <v>125</v>
      </c>
      <c r="C101" s="68">
        <f>if(countif(F96:F100,F101)&gt;1,0,5)</f>
        <v>5</v>
      </c>
      <c r="D101" s="68"/>
      <c r="E101" s="69"/>
      <c r="F101" s="70"/>
      <c r="G101" s="69"/>
      <c r="H101" s="70"/>
      <c r="I101" s="71"/>
      <c r="J101" s="69"/>
      <c r="K101" s="69"/>
      <c r="L101" s="64"/>
      <c r="M101" s="72"/>
      <c r="N101" s="72"/>
      <c r="O101" s="72"/>
      <c r="P101" s="64"/>
      <c r="Q101" s="72"/>
      <c r="R101" s="72"/>
      <c r="S101" s="72"/>
      <c r="T101" s="64"/>
      <c r="U101" s="66"/>
      <c r="V101" s="72"/>
    </row>
    <row r="102">
      <c r="B102" s="68" t="s">
        <v>126</v>
      </c>
      <c r="C102" s="68">
        <f>if(countif(F96:F101,F102)&gt;1,0,4)</f>
        <v>4</v>
      </c>
      <c r="D102" s="68"/>
      <c r="E102" s="69"/>
      <c r="F102" s="70"/>
      <c r="G102" s="69"/>
      <c r="H102" s="70"/>
      <c r="I102" s="71"/>
      <c r="J102" s="69"/>
      <c r="K102" s="69"/>
      <c r="L102" s="64"/>
      <c r="M102" s="72"/>
      <c r="N102" s="72"/>
      <c r="O102" s="72"/>
      <c r="P102" s="64"/>
      <c r="Q102" s="72"/>
      <c r="R102" s="72"/>
      <c r="S102" s="72"/>
      <c r="T102" s="64"/>
      <c r="U102" s="66"/>
      <c r="V102" s="72"/>
    </row>
    <row r="103">
      <c r="B103" s="68" t="s">
        <v>127</v>
      </c>
      <c r="C103" s="68">
        <f>if(countif(F96:F102,F103)&gt;1,0,3)</f>
        <v>3</v>
      </c>
      <c r="D103" s="68"/>
      <c r="E103" s="69"/>
      <c r="F103" s="70"/>
      <c r="G103" s="69"/>
      <c r="H103" s="70"/>
      <c r="I103" s="71"/>
      <c r="J103" s="69"/>
      <c r="K103" s="69"/>
      <c r="L103" s="64"/>
      <c r="M103" s="72"/>
      <c r="N103" s="72"/>
      <c r="O103" s="72"/>
      <c r="P103" s="64"/>
      <c r="Q103" s="72"/>
      <c r="R103" s="72"/>
      <c r="S103" s="72"/>
      <c r="T103" s="64"/>
      <c r="U103" s="66"/>
      <c r="V103" s="72"/>
    </row>
    <row r="104">
      <c r="B104" s="68" t="s">
        <v>128</v>
      </c>
      <c r="C104" s="68">
        <f>if(countif(F96:F103,F104)&gt;1,0,2)</f>
        <v>2</v>
      </c>
      <c r="D104" s="68"/>
      <c r="E104" s="69"/>
      <c r="F104" s="70"/>
      <c r="G104" s="69"/>
      <c r="H104" s="70"/>
      <c r="I104" s="71"/>
      <c r="J104" s="69"/>
      <c r="K104" s="69"/>
      <c r="L104" s="64"/>
      <c r="M104" s="72"/>
      <c r="N104" s="72"/>
      <c r="O104" s="72"/>
      <c r="P104" s="64"/>
      <c r="Q104" s="72"/>
      <c r="R104" s="72"/>
      <c r="S104" s="72"/>
      <c r="T104" s="64"/>
      <c r="U104" s="66"/>
      <c r="V104" s="72"/>
    </row>
    <row r="105">
      <c r="B105" s="68" t="s">
        <v>129</v>
      </c>
      <c r="C105" s="68">
        <f>if(countif(F96:F104,F105)&gt;1,0,1)</f>
        <v>1</v>
      </c>
      <c r="D105" s="68"/>
      <c r="E105" s="69"/>
      <c r="F105" s="70"/>
      <c r="G105" s="69"/>
      <c r="H105" s="70"/>
      <c r="I105" s="71"/>
      <c r="J105" s="69"/>
      <c r="K105" s="69"/>
      <c r="L105" s="64"/>
      <c r="M105" s="72"/>
      <c r="N105" s="72"/>
      <c r="O105" s="72"/>
      <c r="P105" s="64"/>
      <c r="Q105" s="72"/>
      <c r="R105" s="72"/>
      <c r="S105" s="72"/>
      <c r="T105" s="64"/>
      <c r="U105" s="66"/>
      <c r="V105" s="72"/>
    </row>
    <row r="106">
      <c r="A106" s="58">
        <v>242.0</v>
      </c>
      <c r="B106" s="59" t="s">
        <v>120</v>
      </c>
      <c r="C106" s="59">
        <v>12.0</v>
      </c>
      <c r="D106" s="59" t="str">
        <f>IFERROR(__xludf.DUMMYFUNCTION("ARRAY_CONSTRAIN(sort(filter(Mens_V_Tie_Breaker!D6:X265,Mens_V_Tie_Breaker!D6:D265=""242 V""),18,false,4,true,20,false,21,true),10,19)"),"#N/A")</f>
        <v>#N/A</v>
      </c>
      <c r="E106" s="61"/>
      <c r="F106" s="62"/>
      <c r="G106" s="61"/>
      <c r="H106" s="62"/>
      <c r="I106" s="63"/>
      <c r="J106" s="61"/>
      <c r="K106" s="61"/>
      <c r="L106" s="64"/>
      <c r="M106" s="65"/>
      <c r="N106" s="65"/>
      <c r="O106" s="65"/>
      <c r="P106" s="64"/>
      <c r="Q106" s="65"/>
      <c r="R106" s="65"/>
      <c r="S106" s="65"/>
      <c r="T106" s="64"/>
      <c r="U106" s="66"/>
      <c r="V106" s="65"/>
    </row>
    <row r="107">
      <c r="B107" s="59" t="s">
        <v>121</v>
      </c>
      <c r="C107" s="59">
        <v>9.0</v>
      </c>
      <c r="D107" s="59"/>
      <c r="E107" s="61"/>
      <c r="F107" s="62"/>
      <c r="G107" s="61"/>
      <c r="H107" s="62"/>
      <c r="I107" s="63"/>
      <c r="J107" s="61"/>
      <c r="K107" s="61"/>
      <c r="L107" s="64"/>
      <c r="M107" s="65"/>
      <c r="N107" s="65"/>
      <c r="O107" s="65"/>
      <c r="P107" s="64"/>
      <c r="Q107" s="65"/>
      <c r="R107" s="65"/>
      <c r="S107" s="65"/>
      <c r="T107" s="64"/>
      <c r="U107" s="66"/>
      <c r="V107" s="65"/>
    </row>
    <row r="108">
      <c r="B108" s="59" t="s">
        <v>122</v>
      </c>
      <c r="C108" s="59">
        <f>if(countif(F106:F107,F108)&gt;1,0,8)</f>
        <v>8</v>
      </c>
      <c r="D108" s="59"/>
      <c r="E108" s="61"/>
      <c r="F108" s="62"/>
      <c r="G108" s="61"/>
      <c r="H108" s="62"/>
      <c r="I108" s="63"/>
      <c r="J108" s="61"/>
      <c r="K108" s="61"/>
      <c r="L108" s="64"/>
      <c r="M108" s="65"/>
      <c r="N108" s="65"/>
      <c r="O108" s="65"/>
      <c r="P108" s="64"/>
      <c r="Q108" s="65"/>
      <c r="R108" s="65"/>
      <c r="S108" s="65"/>
      <c r="T108" s="64"/>
      <c r="U108" s="66"/>
      <c r="V108" s="65"/>
    </row>
    <row r="109">
      <c r="B109" s="59" t="s">
        <v>123</v>
      </c>
      <c r="C109" s="59">
        <f>if(countif(F106:F108,F109)&gt;1,0,7)</f>
        <v>7</v>
      </c>
      <c r="D109" s="59"/>
      <c r="E109" s="61"/>
      <c r="F109" s="62"/>
      <c r="G109" s="61"/>
      <c r="H109" s="62"/>
      <c r="I109" s="63"/>
      <c r="J109" s="61"/>
      <c r="K109" s="61"/>
      <c r="L109" s="64"/>
      <c r="M109" s="65"/>
      <c r="N109" s="65"/>
      <c r="O109" s="65"/>
      <c r="P109" s="64"/>
      <c r="Q109" s="65"/>
      <c r="R109" s="65"/>
      <c r="S109" s="65"/>
      <c r="T109" s="64"/>
      <c r="U109" s="66"/>
      <c r="V109" s="65"/>
    </row>
    <row r="110">
      <c r="B110" s="59" t="s">
        <v>124</v>
      </c>
      <c r="C110" s="59">
        <f>if(countif(F106:F109,F110)&gt;1,0,6)</f>
        <v>6</v>
      </c>
      <c r="D110" s="59"/>
      <c r="E110" s="61"/>
      <c r="F110" s="62"/>
      <c r="G110" s="61"/>
      <c r="H110" s="62"/>
      <c r="I110" s="63"/>
      <c r="J110" s="61"/>
      <c r="K110" s="61"/>
      <c r="L110" s="64"/>
      <c r="M110" s="65"/>
      <c r="N110" s="65"/>
      <c r="O110" s="65"/>
      <c r="P110" s="64"/>
      <c r="Q110" s="65"/>
      <c r="R110" s="65"/>
      <c r="S110" s="65"/>
      <c r="T110" s="64"/>
      <c r="U110" s="66"/>
      <c r="V110" s="65"/>
    </row>
    <row r="111">
      <c r="B111" s="59" t="s">
        <v>125</v>
      </c>
      <c r="C111" s="59">
        <f>if(countif(F106:F110,F111)&gt;1,0,5)</f>
        <v>5</v>
      </c>
      <c r="D111" s="59"/>
      <c r="E111" s="61"/>
      <c r="F111" s="62"/>
      <c r="G111" s="61"/>
      <c r="H111" s="62"/>
      <c r="I111" s="63"/>
      <c r="J111" s="61"/>
      <c r="K111" s="61"/>
      <c r="L111" s="64"/>
      <c r="M111" s="65"/>
      <c r="N111" s="65"/>
      <c r="O111" s="65"/>
      <c r="P111" s="64"/>
      <c r="Q111" s="65"/>
      <c r="R111" s="65"/>
      <c r="S111" s="65"/>
      <c r="T111" s="64"/>
      <c r="U111" s="66"/>
      <c r="V111" s="65"/>
    </row>
    <row r="112">
      <c r="B112" s="59" t="s">
        <v>126</v>
      </c>
      <c r="C112" s="59">
        <f>if(countif(F106:F111,F112)&gt;1,0,4)</f>
        <v>4</v>
      </c>
      <c r="D112" s="59"/>
      <c r="E112" s="61"/>
      <c r="F112" s="62"/>
      <c r="G112" s="61"/>
      <c r="H112" s="62"/>
      <c r="I112" s="63"/>
      <c r="J112" s="61"/>
      <c r="K112" s="61"/>
      <c r="L112" s="64"/>
      <c r="M112" s="65"/>
      <c r="N112" s="65"/>
      <c r="O112" s="65"/>
      <c r="P112" s="64"/>
      <c r="Q112" s="65"/>
      <c r="R112" s="65"/>
      <c r="S112" s="65"/>
      <c r="T112" s="64"/>
      <c r="U112" s="66"/>
      <c r="V112" s="65"/>
    </row>
    <row r="113">
      <c r="B113" s="59" t="s">
        <v>127</v>
      </c>
      <c r="C113" s="59">
        <f>if(countif(F106:F112,F113)&gt;1,0,3)</f>
        <v>3</v>
      </c>
      <c r="D113" s="59"/>
      <c r="E113" s="61"/>
      <c r="F113" s="62"/>
      <c r="G113" s="61"/>
      <c r="H113" s="62"/>
      <c r="I113" s="63"/>
      <c r="J113" s="61"/>
      <c r="K113" s="61"/>
      <c r="L113" s="64"/>
      <c r="M113" s="65"/>
      <c r="N113" s="65"/>
      <c r="O113" s="65"/>
      <c r="P113" s="64"/>
      <c r="Q113" s="65"/>
      <c r="R113" s="65"/>
      <c r="S113" s="65"/>
      <c r="T113" s="64"/>
      <c r="U113" s="66"/>
      <c r="V113" s="65"/>
    </row>
    <row r="114">
      <c r="B114" s="59" t="s">
        <v>128</v>
      </c>
      <c r="C114" s="59">
        <f>if(countif(F106:F113,F114)&gt;1,0,2)</f>
        <v>2</v>
      </c>
      <c r="D114" s="59"/>
      <c r="E114" s="61"/>
      <c r="F114" s="62"/>
      <c r="G114" s="61"/>
      <c r="H114" s="62"/>
      <c r="I114" s="63"/>
      <c r="J114" s="61"/>
      <c r="K114" s="61"/>
      <c r="L114" s="64"/>
      <c r="M114" s="65"/>
      <c r="N114" s="65"/>
      <c r="O114" s="65"/>
      <c r="P114" s="64"/>
      <c r="Q114" s="65"/>
      <c r="R114" s="65"/>
      <c r="S114" s="65"/>
      <c r="T114" s="64"/>
      <c r="U114" s="66"/>
      <c r="V114" s="65"/>
    </row>
    <row r="115">
      <c r="B115" s="59" t="s">
        <v>129</v>
      </c>
      <c r="C115" s="59">
        <f>if(countif(F106:F114,F115)&gt;1,0,1)</f>
        <v>1</v>
      </c>
      <c r="D115" s="59"/>
      <c r="E115" s="61"/>
      <c r="F115" s="62"/>
      <c r="G115" s="61"/>
      <c r="H115" s="62"/>
      <c r="I115" s="63"/>
      <c r="J115" s="61"/>
      <c r="K115" s="61"/>
      <c r="L115" s="64"/>
      <c r="M115" s="65"/>
      <c r="N115" s="65"/>
      <c r="O115" s="65"/>
      <c r="P115" s="64"/>
      <c r="Q115" s="65"/>
      <c r="R115" s="65"/>
      <c r="S115" s="65"/>
      <c r="T115" s="64"/>
      <c r="U115" s="66"/>
      <c r="V115" s="65"/>
    </row>
    <row r="116">
      <c r="A116" s="73">
        <v>275.0</v>
      </c>
      <c r="B116" s="68" t="s">
        <v>120</v>
      </c>
      <c r="C116" s="68">
        <v>12.0</v>
      </c>
      <c r="D116" s="68" t="str">
        <f>IFERROR(__xludf.DUMMYFUNCTION("ARRAY_CONSTRAIN(sort(filter(Mens_V_Tie_Breaker!D6:X265,Mens_V_Tie_Breaker!D6:D265=""275 V""),18,false,4,true,20,false,21,true),10,19)"),"#N/A")</f>
        <v>#N/A</v>
      </c>
      <c r="E116" s="69"/>
      <c r="F116" s="70"/>
      <c r="G116" s="69"/>
      <c r="H116" s="70"/>
      <c r="I116" s="71"/>
      <c r="J116" s="69"/>
      <c r="K116" s="69"/>
      <c r="L116" s="64"/>
      <c r="M116" s="72"/>
      <c r="N116" s="72"/>
      <c r="O116" s="72"/>
      <c r="P116" s="64"/>
      <c r="Q116" s="72"/>
      <c r="R116" s="72"/>
      <c r="S116" s="72"/>
      <c r="T116" s="64"/>
      <c r="U116" s="66"/>
      <c r="V116" s="72"/>
    </row>
    <row r="117">
      <c r="B117" s="68" t="s">
        <v>121</v>
      </c>
      <c r="C117" s="68">
        <v>9.0</v>
      </c>
      <c r="D117" s="68"/>
      <c r="E117" s="69"/>
      <c r="F117" s="70"/>
      <c r="G117" s="69"/>
      <c r="H117" s="70"/>
      <c r="I117" s="71"/>
      <c r="J117" s="69"/>
      <c r="K117" s="69"/>
      <c r="L117" s="64"/>
      <c r="M117" s="72"/>
      <c r="N117" s="72"/>
      <c r="O117" s="72"/>
      <c r="P117" s="64"/>
      <c r="Q117" s="72"/>
      <c r="R117" s="72"/>
      <c r="S117" s="72"/>
      <c r="T117" s="64"/>
      <c r="U117" s="66"/>
      <c r="V117" s="72"/>
    </row>
    <row r="118">
      <c r="B118" s="68" t="s">
        <v>122</v>
      </c>
      <c r="C118" s="68">
        <f>if(countif(F116:F117,F118)&gt;1,0,8)</f>
        <v>8</v>
      </c>
      <c r="D118" s="68"/>
      <c r="E118" s="69"/>
      <c r="F118" s="70"/>
      <c r="G118" s="69"/>
      <c r="H118" s="70"/>
      <c r="I118" s="71"/>
      <c r="J118" s="69"/>
      <c r="K118" s="69"/>
      <c r="L118" s="64"/>
      <c r="M118" s="72"/>
      <c r="N118" s="72"/>
      <c r="O118" s="72"/>
      <c r="P118" s="64"/>
      <c r="Q118" s="72"/>
      <c r="R118" s="72"/>
      <c r="S118" s="72"/>
      <c r="T118" s="64"/>
      <c r="U118" s="66"/>
      <c r="V118" s="72"/>
    </row>
    <row r="119">
      <c r="B119" s="68" t="s">
        <v>123</v>
      </c>
      <c r="C119" s="68">
        <f>if(countif(F116:F118,F119)&gt;1,0,7)</f>
        <v>7</v>
      </c>
      <c r="D119" s="68"/>
      <c r="E119" s="69"/>
      <c r="F119" s="70"/>
      <c r="G119" s="69"/>
      <c r="H119" s="70"/>
      <c r="I119" s="71"/>
      <c r="J119" s="69"/>
      <c r="K119" s="69"/>
      <c r="L119" s="64"/>
      <c r="M119" s="72"/>
      <c r="N119" s="72"/>
      <c r="O119" s="72"/>
      <c r="P119" s="64"/>
      <c r="Q119" s="72"/>
      <c r="R119" s="72"/>
      <c r="S119" s="72"/>
      <c r="T119" s="64"/>
      <c r="U119" s="66"/>
      <c r="V119" s="72"/>
    </row>
    <row r="120">
      <c r="B120" s="68" t="s">
        <v>124</v>
      </c>
      <c r="C120" s="68">
        <f>if(countif(F116:F119,F120)&gt;1,0,6)</f>
        <v>6</v>
      </c>
      <c r="D120" s="68"/>
      <c r="E120" s="69"/>
      <c r="F120" s="70"/>
      <c r="G120" s="69"/>
      <c r="H120" s="70"/>
      <c r="I120" s="71"/>
      <c r="J120" s="69"/>
      <c r="K120" s="69"/>
      <c r="L120" s="64"/>
      <c r="M120" s="72"/>
      <c r="N120" s="72"/>
      <c r="O120" s="72"/>
      <c r="P120" s="64"/>
      <c r="Q120" s="72"/>
      <c r="R120" s="72"/>
      <c r="S120" s="72"/>
      <c r="T120" s="64"/>
      <c r="U120" s="66"/>
      <c r="V120" s="72"/>
    </row>
    <row r="121">
      <c r="B121" s="68" t="s">
        <v>125</v>
      </c>
      <c r="C121" s="68">
        <f>if(countif(F116:F120,F121)&gt;1,0,5)</f>
        <v>5</v>
      </c>
      <c r="D121" s="68"/>
      <c r="E121" s="69"/>
      <c r="F121" s="70"/>
      <c r="G121" s="69"/>
      <c r="H121" s="70"/>
      <c r="I121" s="71"/>
      <c r="J121" s="69"/>
      <c r="K121" s="69"/>
      <c r="L121" s="64"/>
      <c r="M121" s="72"/>
      <c r="N121" s="72"/>
      <c r="O121" s="72"/>
      <c r="P121" s="64"/>
      <c r="Q121" s="72"/>
      <c r="R121" s="72"/>
      <c r="S121" s="72"/>
      <c r="T121" s="64"/>
      <c r="U121" s="66"/>
      <c r="V121" s="72"/>
    </row>
    <row r="122">
      <c r="B122" s="68" t="s">
        <v>126</v>
      </c>
      <c r="C122" s="68">
        <f>if(countif(F116:F121,F122)&gt;1,0,4)</f>
        <v>4</v>
      </c>
      <c r="D122" s="68"/>
      <c r="E122" s="69"/>
      <c r="F122" s="70"/>
      <c r="G122" s="69"/>
      <c r="H122" s="70"/>
      <c r="I122" s="71"/>
      <c r="J122" s="69"/>
      <c r="K122" s="69"/>
      <c r="L122" s="64"/>
      <c r="M122" s="72"/>
      <c r="N122" s="72"/>
      <c r="O122" s="72"/>
      <c r="P122" s="64"/>
      <c r="Q122" s="72"/>
      <c r="R122" s="72"/>
      <c r="S122" s="72"/>
      <c r="T122" s="64"/>
      <c r="U122" s="66"/>
      <c r="V122" s="72"/>
    </row>
    <row r="123">
      <c r="B123" s="68" t="s">
        <v>127</v>
      </c>
      <c r="C123" s="68">
        <f>if(countif(F116:F122,F123)&gt;1,0,3)</f>
        <v>3</v>
      </c>
      <c r="D123" s="68"/>
      <c r="E123" s="69"/>
      <c r="F123" s="70"/>
      <c r="G123" s="69"/>
      <c r="H123" s="70"/>
      <c r="I123" s="71"/>
      <c r="J123" s="69"/>
      <c r="K123" s="69"/>
      <c r="L123" s="64"/>
      <c r="M123" s="72"/>
      <c r="N123" s="72"/>
      <c r="O123" s="72"/>
      <c r="P123" s="64"/>
      <c r="Q123" s="72"/>
      <c r="R123" s="72"/>
      <c r="S123" s="72"/>
      <c r="T123" s="64"/>
      <c r="U123" s="66"/>
      <c r="V123" s="72"/>
    </row>
    <row r="124">
      <c r="B124" s="68" t="s">
        <v>128</v>
      </c>
      <c r="C124" s="68">
        <f>if(countif(F116:F123,F124)&gt;1,0,2)</f>
        <v>2</v>
      </c>
      <c r="D124" s="68"/>
      <c r="E124" s="69"/>
      <c r="F124" s="70"/>
      <c r="G124" s="69"/>
      <c r="H124" s="70"/>
      <c r="I124" s="71"/>
      <c r="J124" s="69"/>
      <c r="K124" s="69"/>
      <c r="L124" s="64"/>
      <c r="M124" s="72"/>
      <c r="N124" s="72"/>
      <c r="O124" s="72"/>
      <c r="P124" s="64"/>
      <c r="Q124" s="72"/>
      <c r="R124" s="72"/>
      <c r="S124" s="72"/>
      <c r="T124" s="64"/>
      <c r="U124" s="66"/>
      <c r="V124" s="72"/>
    </row>
    <row r="125">
      <c r="B125" s="68" t="s">
        <v>129</v>
      </c>
      <c r="C125" s="68">
        <f>if(countif(F116:F124,F125)&gt;1,0,1)</f>
        <v>1</v>
      </c>
      <c r="D125" s="68"/>
      <c r="E125" s="69"/>
      <c r="F125" s="70"/>
      <c r="G125" s="69"/>
      <c r="H125" s="70"/>
      <c r="I125" s="71"/>
      <c r="J125" s="69"/>
      <c r="K125" s="69"/>
      <c r="L125" s="64"/>
      <c r="M125" s="72"/>
      <c r="N125" s="72"/>
      <c r="O125" s="72"/>
      <c r="P125" s="64"/>
      <c r="Q125" s="72"/>
      <c r="R125" s="72"/>
      <c r="S125" s="72"/>
      <c r="T125" s="64"/>
      <c r="U125" s="66"/>
      <c r="V125" s="72"/>
    </row>
    <row r="126">
      <c r="A126" s="58" t="s">
        <v>130</v>
      </c>
      <c r="B126" s="59" t="s">
        <v>120</v>
      </c>
      <c r="C126" s="59">
        <v>12.0</v>
      </c>
      <c r="D126" s="59" t="str">
        <f>IFERROR(__xludf.DUMMYFUNCTION("ARRAY_CONSTRAIN(sort(filter(Mens_V_Tie_Breaker!D6:X265,Mens_V_Tie_Breaker!D6:D265=""SHW V""),18,false,4,true,20,false,21,true),10,19)"),"#N/A")</f>
        <v>#N/A</v>
      </c>
      <c r="E126" s="61"/>
      <c r="F126" s="62"/>
      <c r="G126" s="61"/>
      <c r="H126" s="62"/>
      <c r="I126" s="63"/>
      <c r="J126" s="61"/>
      <c r="K126" s="61"/>
      <c r="L126" s="64"/>
      <c r="M126" s="65"/>
      <c r="N126" s="65"/>
      <c r="O126" s="65"/>
      <c r="P126" s="64"/>
      <c r="Q126" s="65"/>
      <c r="R126" s="65"/>
      <c r="S126" s="65"/>
      <c r="T126" s="64"/>
      <c r="U126" s="66"/>
      <c r="V126" s="65"/>
    </row>
    <row r="127">
      <c r="B127" s="59" t="s">
        <v>121</v>
      </c>
      <c r="C127" s="59">
        <v>9.0</v>
      </c>
      <c r="D127" s="59"/>
      <c r="E127" s="61"/>
      <c r="F127" s="62"/>
      <c r="G127" s="61"/>
      <c r="H127" s="62"/>
      <c r="I127" s="63"/>
      <c r="J127" s="61"/>
      <c r="K127" s="61"/>
      <c r="L127" s="64"/>
      <c r="M127" s="65"/>
      <c r="N127" s="65"/>
      <c r="O127" s="65"/>
      <c r="P127" s="64"/>
      <c r="Q127" s="65"/>
      <c r="R127" s="65"/>
      <c r="S127" s="65"/>
      <c r="T127" s="64"/>
      <c r="U127" s="66"/>
      <c r="V127" s="65"/>
    </row>
    <row r="128">
      <c r="B128" s="59" t="s">
        <v>122</v>
      </c>
      <c r="C128" s="59">
        <f>if(countif(F126:F127,F128)&gt;1,0,8)</f>
        <v>8</v>
      </c>
      <c r="D128" s="59"/>
      <c r="E128" s="61"/>
      <c r="F128" s="62"/>
      <c r="G128" s="61"/>
      <c r="H128" s="62"/>
      <c r="I128" s="63"/>
      <c r="J128" s="61"/>
      <c r="K128" s="61"/>
      <c r="L128" s="64"/>
      <c r="M128" s="65"/>
      <c r="N128" s="65"/>
      <c r="O128" s="65"/>
      <c r="P128" s="64"/>
      <c r="Q128" s="65"/>
      <c r="R128" s="65"/>
      <c r="S128" s="65"/>
      <c r="T128" s="64"/>
      <c r="U128" s="66"/>
      <c r="V128" s="65"/>
    </row>
    <row r="129">
      <c r="B129" s="59" t="s">
        <v>123</v>
      </c>
      <c r="C129" s="59">
        <f>if(countif(F126:F128,F129)&gt;1,0,7)</f>
        <v>7</v>
      </c>
      <c r="D129" s="59"/>
      <c r="E129" s="61"/>
      <c r="F129" s="62"/>
      <c r="G129" s="61"/>
      <c r="H129" s="62"/>
      <c r="I129" s="63"/>
      <c r="J129" s="61"/>
      <c r="K129" s="61"/>
      <c r="L129" s="64"/>
      <c r="M129" s="65"/>
      <c r="N129" s="65"/>
      <c r="O129" s="65"/>
      <c r="P129" s="64"/>
      <c r="Q129" s="65"/>
      <c r="R129" s="65"/>
      <c r="S129" s="65"/>
      <c r="T129" s="64"/>
      <c r="U129" s="66"/>
      <c r="V129" s="65"/>
    </row>
    <row r="130">
      <c r="B130" s="59" t="s">
        <v>124</v>
      </c>
      <c r="C130" s="59">
        <f>if(countif(F126:F129,F130)&gt;1,0,6)</f>
        <v>6</v>
      </c>
      <c r="D130" s="59"/>
      <c r="E130" s="61"/>
      <c r="F130" s="62"/>
      <c r="G130" s="61"/>
      <c r="H130" s="62"/>
      <c r="I130" s="63"/>
      <c r="J130" s="61"/>
      <c r="K130" s="61"/>
      <c r="L130" s="64"/>
      <c r="M130" s="65"/>
      <c r="N130" s="65"/>
      <c r="O130" s="65"/>
      <c r="P130" s="64"/>
      <c r="Q130" s="65"/>
      <c r="R130" s="65"/>
      <c r="S130" s="65"/>
      <c r="T130" s="64"/>
      <c r="U130" s="66"/>
      <c r="V130" s="65"/>
    </row>
    <row r="131">
      <c r="B131" s="59" t="s">
        <v>125</v>
      </c>
      <c r="C131" s="59">
        <f>if(countif(F126:F130,F131)&gt;1,0,5)</f>
        <v>5</v>
      </c>
      <c r="D131" s="59"/>
      <c r="E131" s="61"/>
      <c r="F131" s="62"/>
      <c r="G131" s="61"/>
      <c r="H131" s="62"/>
      <c r="I131" s="63"/>
      <c r="J131" s="61"/>
      <c r="K131" s="61"/>
      <c r="L131" s="64"/>
      <c r="M131" s="65"/>
      <c r="N131" s="65"/>
      <c r="O131" s="65"/>
      <c r="P131" s="64"/>
      <c r="Q131" s="65"/>
      <c r="R131" s="65"/>
      <c r="S131" s="65"/>
      <c r="T131" s="64"/>
      <c r="U131" s="66"/>
      <c r="V131" s="65"/>
    </row>
    <row r="132">
      <c r="B132" s="59" t="s">
        <v>126</v>
      </c>
      <c r="C132" s="59">
        <f>if(countif(F126:F131,F132)&gt;1,0,4)</f>
        <v>4</v>
      </c>
      <c r="D132" s="59"/>
      <c r="E132" s="61"/>
      <c r="F132" s="62"/>
      <c r="G132" s="61"/>
      <c r="H132" s="62"/>
      <c r="I132" s="63"/>
      <c r="J132" s="61"/>
      <c r="K132" s="61"/>
      <c r="L132" s="64"/>
      <c r="M132" s="65"/>
      <c r="N132" s="65"/>
      <c r="O132" s="65"/>
      <c r="P132" s="64"/>
      <c r="Q132" s="65"/>
      <c r="R132" s="65"/>
      <c r="S132" s="65"/>
      <c r="T132" s="64"/>
      <c r="U132" s="66"/>
      <c r="V132" s="65"/>
    </row>
    <row r="133">
      <c r="B133" s="59" t="s">
        <v>127</v>
      </c>
      <c r="C133" s="59">
        <f>if(countif(F126:F132,F133)&gt;1,0,3)</f>
        <v>3</v>
      </c>
      <c r="D133" s="59"/>
      <c r="E133" s="61"/>
      <c r="F133" s="62"/>
      <c r="G133" s="61"/>
      <c r="H133" s="62"/>
      <c r="I133" s="63"/>
      <c r="J133" s="61"/>
      <c r="K133" s="61"/>
      <c r="L133" s="64"/>
      <c r="M133" s="65"/>
      <c r="N133" s="65"/>
      <c r="O133" s="65"/>
      <c r="P133" s="64"/>
      <c r="Q133" s="65"/>
      <c r="R133" s="65"/>
      <c r="S133" s="65"/>
      <c r="T133" s="64"/>
      <c r="U133" s="66"/>
      <c r="V133" s="65"/>
    </row>
    <row r="134">
      <c r="B134" s="59" t="s">
        <v>128</v>
      </c>
      <c r="C134" s="59">
        <f>if(countif(F126:F133,F134)&gt;1,0,2)</f>
        <v>2</v>
      </c>
      <c r="D134" s="59"/>
      <c r="E134" s="61"/>
      <c r="F134" s="62"/>
      <c r="G134" s="61"/>
      <c r="H134" s="62"/>
      <c r="I134" s="63"/>
      <c r="J134" s="61"/>
      <c r="K134" s="61"/>
      <c r="L134" s="64"/>
      <c r="M134" s="65"/>
      <c r="N134" s="65"/>
      <c r="O134" s="65"/>
      <c r="P134" s="64"/>
      <c r="Q134" s="65"/>
      <c r="R134" s="65"/>
      <c r="S134" s="65"/>
      <c r="T134" s="64"/>
      <c r="U134" s="66"/>
      <c r="V134" s="65"/>
    </row>
    <row r="135">
      <c r="B135" s="59" t="s">
        <v>129</v>
      </c>
      <c r="C135" s="59">
        <f>if(countif(F126:F134,F135)&gt;1,0,1)</f>
        <v>1</v>
      </c>
      <c r="D135" s="59"/>
      <c r="E135" s="61"/>
      <c r="F135" s="62"/>
      <c r="G135" s="61"/>
      <c r="H135" s="62"/>
      <c r="I135" s="63"/>
      <c r="J135" s="61"/>
      <c r="K135" s="61"/>
      <c r="L135" s="64"/>
      <c r="M135" s="65"/>
      <c r="N135" s="65"/>
      <c r="O135" s="65"/>
      <c r="P135" s="64"/>
      <c r="Q135" s="65"/>
      <c r="R135" s="65"/>
      <c r="S135" s="65"/>
      <c r="T135" s="64"/>
      <c r="U135" s="66"/>
      <c r="V135" s="65"/>
    </row>
  </sheetData>
  <mergeCells count="19">
    <mergeCell ref="A76:A85"/>
    <mergeCell ref="A66:A75"/>
    <mergeCell ref="A86:A95"/>
    <mergeCell ref="A116:A125"/>
    <mergeCell ref="A106:A115"/>
    <mergeCell ref="A126:A135"/>
    <mergeCell ref="A96:A105"/>
    <mergeCell ref="A56:A65"/>
    <mergeCell ref="A36:A45"/>
    <mergeCell ref="A46:A55"/>
    <mergeCell ref="A4:W4"/>
    <mergeCell ref="A1:W3"/>
    <mergeCell ref="A26:A35"/>
    <mergeCell ref="M5:O5"/>
    <mergeCell ref="I5:K5"/>
    <mergeCell ref="A16:A25"/>
    <mergeCell ref="Q5:S5"/>
    <mergeCell ref="A6:A15"/>
    <mergeCell ref="W5:W135"/>
  </mergeCells>
  <conditionalFormatting sqref="U5">
    <cfRule type="containsText" dxfId="0" priority="1" operator="containsText" text="There are same totals">
      <formula>NOT(ISERROR(SEARCH(("There are same totals"),(U5))))</formula>
    </cfRule>
  </conditionalFormatting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75"/>
  <cols>
    <col customWidth="1" min="1" max="1" width="5.43"/>
    <col customWidth="1" min="2" max="2" width="4.71"/>
    <col customWidth="1" min="3" max="3" width="5.71"/>
    <col customWidth="1" min="4" max="4" width="7.29"/>
    <col customWidth="1" min="5" max="5" width="6.14"/>
    <col customWidth="1" min="6" max="6" width="15.86"/>
    <col customWidth="1" min="7" max="7" width="8.0"/>
    <col customWidth="1" min="8" max="8" width="18.29"/>
    <col customWidth="1" min="9" max="22" width="5.43"/>
    <col customWidth="1" min="23" max="23" width="4.14"/>
  </cols>
  <sheetData>
    <row r="1">
      <c r="A1" s="56" t="s">
        <v>131</v>
      </c>
    </row>
    <row r="4" ht="3.0" customHeight="1">
      <c r="A4" s="4"/>
    </row>
    <row r="5" ht="18.75" customHeight="1">
      <c r="A5" s="14"/>
      <c r="B5" s="14"/>
      <c r="C5" s="14"/>
      <c r="D5" s="14"/>
      <c r="E5" s="16" t="s">
        <v>35</v>
      </c>
      <c r="F5" s="18" t="s">
        <v>22</v>
      </c>
      <c r="G5" s="57" t="s">
        <v>23</v>
      </c>
      <c r="H5" s="18" t="s">
        <v>25</v>
      </c>
      <c r="I5" s="57" t="s">
        <v>115</v>
      </c>
      <c r="L5" s="57"/>
      <c r="M5" s="57" t="s">
        <v>116</v>
      </c>
      <c r="P5" s="57"/>
      <c r="Q5" s="57" t="s">
        <v>117</v>
      </c>
      <c r="T5" s="57"/>
      <c r="U5" s="57" t="s">
        <v>118</v>
      </c>
      <c r="V5" s="57" t="s">
        <v>119</v>
      </c>
      <c r="W5" s="57"/>
    </row>
    <row r="6">
      <c r="A6" s="58">
        <v>97.0</v>
      </c>
      <c r="B6" s="59" t="s">
        <v>120</v>
      </c>
      <c r="C6" s="59">
        <v>12.0</v>
      </c>
      <c r="D6" s="60" t="str">
        <f>IFERROR(__xludf.DUMMYFUNCTION("ARRAY_CONSTRAIN(sort(filter(W_Tie_Breaker!D6:X285,W_Tie_Breaker!D6:D285=""97 W""),18,false,4,true,20,false,21,true),10,19)"),"#N/A")</f>
        <v>#N/A</v>
      </c>
      <c r="E6" s="61"/>
      <c r="F6" s="62"/>
      <c r="G6" s="61"/>
      <c r="H6" s="62"/>
      <c r="I6" s="63"/>
      <c r="J6" s="61"/>
      <c r="K6" s="61"/>
      <c r="L6" s="64"/>
      <c r="M6" s="65"/>
      <c r="N6" s="65"/>
      <c r="O6" s="65"/>
      <c r="P6" s="64"/>
      <c r="Q6" s="65"/>
      <c r="R6" s="65"/>
      <c r="S6" s="65"/>
      <c r="T6" s="64"/>
      <c r="U6" s="66"/>
      <c r="V6" s="65"/>
    </row>
    <row r="7">
      <c r="B7" s="59" t="s">
        <v>121</v>
      </c>
      <c r="C7" s="59">
        <v>9.0</v>
      </c>
      <c r="D7" s="59"/>
      <c r="E7" s="61"/>
      <c r="F7" s="62"/>
      <c r="G7" s="61"/>
      <c r="H7" s="62"/>
      <c r="I7" s="63"/>
      <c r="J7" s="61"/>
      <c r="K7" s="61"/>
      <c r="L7" s="64"/>
      <c r="M7" s="65"/>
      <c r="N7" s="65"/>
      <c r="O7" s="65"/>
      <c r="P7" s="64"/>
      <c r="Q7" s="65"/>
      <c r="R7" s="65"/>
      <c r="S7" s="65"/>
      <c r="T7" s="64"/>
      <c r="U7" s="66"/>
      <c r="V7" s="65"/>
    </row>
    <row r="8">
      <c r="B8" s="59" t="s">
        <v>122</v>
      </c>
      <c r="C8" s="59">
        <f>if(countif(F6:F7,F8)&gt;1,0,8)</f>
        <v>8</v>
      </c>
      <c r="D8" s="59"/>
      <c r="E8" s="61"/>
      <c r="F8" s="62"/>
      <c r="G8" s="61"/>
      <c r="H8" s="62"/>
      <c r="I8" s="63"/>
      <c r="J8" s="61"/>
      <c r="K8" s="61"/>
      <c r="L8" s="64"/>
      <c r="M8" s="65"/>
      <c r="N8" s="65"/>
      <c r="O8" s="65"/>
      <c r="P8" s="64"/>
      <c r="Q8" s="65"/>
      <c r="R8" s="65"/>
      <c r="S8" s="65"/>
      <c r="T8" s="64"/>
      <c r="U8" s="66"/>
      <c r="V8" s="65"/>
    </row>
    <row r="9">
      <c r="B9" s="59" t="s">
        <v>123</v>
      </c>
      <c r="C9" s="59">
        <f>if(countif(F6:F8,F9)&gt;1,0,7)</f>
        <v>7</v>
      </c>
      <c r="D9" s="59"/>
      <c r="E9" s="61"/>
      <c r="F9" s="62"/>
      <c r="G9" s="61"/>
      <c r="H9" s="62"/>
      <c r="I9" s="63"/>
      <c r="J9" s="61"/>
      <c r="K9" s="61"/>
      <c r="L9" s="64"/>
      <c r="M9" s="65"/>
      <c r="N9" s="65"/>
      <c r="O9" s="65"/>
      <c r="P9" s="64"/>
      <c r="Q9" s="65"/>
      <c r="R9" s="65"/>
      <c r="S9" s="65"/>
      <c r="T9" s="64"/>
      <c r="U9" s="66"/>
      <c r="V9" s="65"/>
    </row>
    <row r="10">
      <c r="B10" s="59" t="s">
        <v>124</v>
      </c>
      <c r="C10" s="59">
        <f>if(countif(F6:F9,F10)&gt;1,0,6)</f>
        <v>6</v>
      </c>
      <c r="D10" s="59"/>
      <c r="E10" s="61"/>
      <c r="F10" s="62"/>
      <c r="G10" s="61"/>
      <c r="H10" s="62"/>
      <c r="I10" s="63"/>
      <c r="J10" s="61"/>
      <c r="K10" s="61"/>
      <c r="L10" s="64"/>
      <c r="M10" s="65"/>
      <c r="N10" s="65"/>
      <c r="O10" s="65"/>
      <c r="P10" s="64"/>
      <c r="Q10" s="65"/>
      <c r="R10" s="65"/>
      <c r="S10" s="65"/>
      <c r="T10" s="64"/>
      <c r="U10" s="66"/>
      <c r="V10" s="65"/>
    </row>
    <row r="11">
      <c r="B11" s="59" t="s">
        <v>125</v>
      </c>
      <c r="C11" s="59">
        <f>if(countif(F6:F10,F11)&gt;1,0,5)</f>
        <v>5</v>
      </c>
      <c r="D11" s="59"/>
      <c r="E11" s="61"/>
      <c r="F11" s="62"/>
      <c r="G11" s="61"/>
      <c r="H11" s="62"/>
      <c r="I11" s="63"/>
      <c r="J11" s="61"/>
      <c r="K11" s="61"/>
      <c r="L11" s="64"/>
      <c r="M11" s="65"/>
      <c r="N11" s="65"/>
      <c r="O11" s="65"/>
      <c r="P11" s="64"/>
      <c r="Q11" s="65"/>
      <c r="R11" s="65"/>
      <c r="S11" s="65"/>
      <c r="T11" s="64"/>
      <c r="U11" s="66"/>
      <c r="V11" s="65"/>
    </row>
    <row r="12">
      <c r="B12" s="59" t="s">
        <v>126</v>
      </c>
      <c r="C12" s="59">
        <f>if(countif(F6:F11,F12)&gt;1,0,4)</f>
        <v>4</v>
      </c>
      <c r="D12" s="59"/>
      <c r="E12" s="61"/>
      <c r="F12" s="62"/>
      <c r="G12" s="61"/>
      <c r="H12" s="62"/>
      <c r="I12" s="63"/>
      <c r="J12" s="61"/>
      <c r="K12" s="61"/>
      <c r="L12" s="64"/>
      <c r="M12" s="65"/>
      <c r="N12" s="65"/>
      <c r="O12" s="65"/>
      <c r="P12" s="64"/>
      <c r="Q12" s="65"/>
      <c r="R12" s="65"/>
      <c r="S12" s="65"/>
      <c r="T12" s="64"/>
      <c r="U12" s="66"/>
      <c r="V12" s="65"/>
    </row>
    <row r="13">
      <c r="B13" s="59" t="s">
        <v>127</v>
      </c>
      <c r="C13" s="59">
        <f>if(countif(F6:F12,F13)&gt;1,0,3)</f>
        <v>3</v>
      </c>
      <c r="D13" s="59"/>
      <c r="E13" s="61"/>
      <c r="F13" s="62"/>
      <c r="G13" s="61"/>
      <c r="H13" s="62"/>
      <c r="I13" s="63"/>
      <c r="J13" s="61"/>
      <c r="K13" s="61"/>
      <c r="L13" s="64"/>
      <c r="M13" s="65"/>
      <c r="N13" s="65"/>
      <c r="O13" s="65"/>
      <c r="P13" s="64"/>
      <c r="Q13" s="65"/>
      <c r="R13" s="65"/>
      <c r="S13" s="65"/>
      <c r="T13" s="64"/>
      <c r="U13" s="66"/>
      <c r="V13" s="65"/>
    </row>
    <row r="14">
      <c r="B14" s="59" t="s">
        <v>128</v>
      </c>
      <c r="C14" s="59">
        <f>if(countif(F6:F13,F14)&gt;1,0,2)</f>
        <v>2</v>
      </c>
      <c r="D14" s="59"/>
      <c r="E14" s="61"/>
      <c r="F14" s="62"/>
      <c r="G14" s="61"/>
      <c r="H14" s="62"/>
      <c r="I14" s="63"/>
      <c r="J14" s="61"/>
      <c r="K14" s="61"/>
      <c r="L14" s="64"/>
      <c r="M14" s="65"/>
      <c r="N14" s="65"/>
      <c r="O14" s="65"/>
      <c r="P14" s="64"/>
      <c r="Q14" s="65"/>
      <c r="R14" s="65"/>
      <c r="S14" s="65"/>
      <c r="T14" s="64"/>
      <c r="U14" s="66"/>
      <c r="V14" s="65"/>
    </row>
    <row r="15">
      <c r="B15" s="59" t="s">
        <v>129</v>
      </c>
      <c r="C15" s="59">
        <f>if(countif(F6:F14,F15)&gt;1,0,1)</f>
        <v>1</v>
      </c>
      <c r="D15" s="59"/>
      <c r="E15" s="61"/>
      <c r="F15" s="62"/>
      <c r="G15" s="61"/>
      <c r="H15" s="62"/>
      <c r="I15" s="63"/>
      <c r="J15" s="61"/>
      <c r="K15" s="61"/>
      <c r="L15" s="64"/>
      <c r="M15" s="65"/>
      <c r="N15" s="65"/>
      <c r="O15" s="65"/>
      <c r="P15" s="64"/>
      <c r="Q15" s="65"/>
      <c r="R15" s="65"/>
      <c r="S15" s="65"/>
      <c r="T15" s="64"/>
      <c r="U15" s="66"/>
      <c r="V15" s="65"/>
    </row>
    <row r="16">
      <c r="A16" s="67">
        <v>105.0</v>
      </c>
      <c r="B16" s="68" t="s">
        <v>120</v>
      </c>
      <c r="C16" s="68">
        <v>12.0</v>
      </c>
      <c r="D16" s="68" t="str">
        <f>IFERROR(__xludf.DUMMYFUNCTION("ARRAY_CONSTRAIN(sort(filter(W_Tie_Breaker!D6:X285,W_Tie_Breaker!D6:D285=""105 W""),18,false,4,true,20,false,21,true),10,19)"),"#N/A")</f>
        <v>#N/A</v>
      </c>
      <c r="E16" s="69"/>
      <c r="F16" s="70"/>
      <c r="G16" s="69"/>
      <c r="H16" s="70"/>
      <c r="I16" s="71"/>
      <c r="J16" s="69"/>
      <c r="K16" s="69"/>
      <c r="L16" s="64"/>
      <c r="M16" s="72"/>
      <c r="N16" s="72"/>
      <c r="O16" s="72"/>
      <c r="P16" s="64"/>
      <c r="Q16" s="72"/>
      <c r="R16" s="72"/>
      <c r="S16" s="72"/>
      <c r="T16" s="64"/>
      <c r="U16" s="66"/>
      <c r="V16" s="72"/>
    </row>
    <row r="17">
      <c r="B17" s="68" t="s">
        <v>121</v>
      </c>
      <c r="C17" s="68">
        <v>9.0</v>
      </c>
      <c r="D17" s="68"/>
      <c r="E17" s="69"/>
      <c r="F17" s="70"/>
      <c r="G17" s="69"/>
      <c r="H17" s="70"/>
      <c r="I17" s="71"/>
      <c r="J17" s="69"/>
      <c r="K17" s="69"/>
      <c r="L17" s="64"/>
      <c r="M17" s="72"/>
      <c r="N17" s="72"/>
      <c r="O17" s="72"/>
      <c r="P17" s="64"/>
      <c r="Q17" s="72"/>
      <c r="R17" s="72"/>
      <c r="S17" s="72"/>
      <c r="T17" s="64"/>
      <c r="U17" s="66"/>
      <c r="V17" s="72"/>
    </row>
    <row r="18">
      <c r="B18" s="68" t="s">
        <v>122</v>
      </c>
      <c r="C18" s="68">
        <f>if(countif(F16:F17,F18)&gt;1,0,8)</f>
        <v>8</v>
      </c>
      <c r="D18" s="68"/>
      <c r="E18" s="69"/>
      <c r="F18" s="70"/>
      <c r="G18" s="69"/>
      <c r="H18" s="70"/>
      <c r="I18" s="71"/>
      <c r="J18" s="69"/>
      <c r="K18" s="69"/>
      <c r="L18" s="64"/>
      <c r="M18" s="72"/>
      <c r="N18" s="72"/>
      <c r="O18" s="72"/>
      <c r="P18" s="64"/>
      <c r="Q18" s="72"/>
      <c r="R18" s="72"/>
      <c r="S18" s="72"/>
      <c r="T18" s="64"/>
      <c r="U18" s="66"/>
      <c r="V18" s="72"/>
    </row>
    <row r="19">
      <c r="B19" s="68" t="s">
        <v>123</v>
      </c>
      <c r="C19" s="68">
        <f>if(countif(F16:F18,F19)&gt;1,0,7)</f>
        <v>7</v>
      </c>
      <c r="D19" s="68"/>
      <c r="E19" s="69"/>
      <c r="F19" s="70"/>
      <c r="G19" s="69"/>
      <c r="H19" s="70"/>
      <c r="I19" s="71"/>
      <c r="J19" s="69"/>
      <c r="K19" s="69"/>
      <c r="L19" s="64"/>
      <c r="M19" s="72"/>
      <c r="N19" s="72"/>
      <c r="O19" s="72"/>
      <c r="P19" s="64"/>
      <c r="Q19" s="72"/>
      <c r="R19" s="72"/>
      <c r="S19" s="72"/>
      <c r="T19" s="64"/>
      <c r="U19" s="66"/>
      <c r="V19" s="72"/>
    </row>
    <row r="20">
      <c r="B20" s="68" t="s">
        <v>124</v>
      </c>
      <c r="C20" s="68">
        <f>if(countif(F16:F19,F20)&gt;1,0,6)</f>
        <v>6</v>
      </c>
      <c r="D20" s="68"/>
      <c r="E20" s="69"/>
      <c r="F20" s="70"/>
      <c r="G20" s="69"/>
      <c r="H20" s="70"/>
      <c r="I20" s="71"/>
      <c r="J20" s="69"/>
      <c r="K20" s="69"/>
      <c r="L20" s="64"/>
      <c r="M20" s="72"/>
      <c r="N20" s="72"/>
      <c r="O20" s="72"/>
      <c r="P20" s="64"/>
      <c r="Q20" s="72"/>
      <c r="R20" s="72"/>
      <c r="S20" s="72"/>
      <c r="T20" s="64"/>
      <c r="U20" s="66"/>
      <c r="V20" s="72"/>
    </row>
    <row r="21">
      <c r="B21" s="68" t="s">
        <v>125</v>
      </c>
      <c r="C21" s="68">
        <f>if(countif(F16:F20,F21)&gt;1,0,5)</f>
        <v>5</v>
      </c>
      <c r="D21" s="68"/>
      <c r="E21" s="69"/>
      <c r="F21" s="70"/>
      <c r="G21" s="69"/>
      <c r="H21" s="70"/>
      <c r="I21" s="71"/>
      <c r="J21" s="69"/>
      <c r="K21" s="69"/>
      <c r="L21" s="64"/>
      <c r="M21" s="72"/>
      <c r="N21" s="72"/>
      <c r="O21" s="72"/>
      <c r="P21" s="64"/>
      <c r="Q21" s="72"/>
      <c r="R21" s="72"/>
      <c r="S21" s="72"/>
      <c r="T21" s="64"/>
      <c r="U21" s="66"/>
      <c r="V21" s="72"/>
    </row>
    <row r="22">
      <c r="B22" s="68" t="s">
        <v>126</v>
      </c>
      <c r="C22" s="68">
        <f>if(countif(F16:F21,F22)&gt;1,0,4)</f>
        <v>4</v>
      </c>
      <c r="D22" s="68"/>
      <c r="E22" s="69"/>
      <c r="F22" s="70"/>
      <c r="G22" s="69"/>
      <c r="H22" s="70"/>
      <c r="I22" s="71"/>
      <c r="J22" s="69"/>
      <c r="K22" s="69"/>
      <c r="L22" s="64"/>
      <c r="M22" s="72"/>
      <c r="N22" s="72"/>
      <c r="O22" s="72"/>
      <c r="P22" s="64"/>
      <c r="Q22" s="72"/>
      <c r="R22" s="72"/>
      <c r="S22" s="72"/>
      <c r="T22" s="64"/>
      <c r="U22" s="66"/>
      <c r="V22" s="72"/>
    </row>
    <row r="23">
      <c r="B23" s="68" t="s">
        <v>127</v>
      </c>
      <c r="C23" s="68">
        <f>if(countif(F16:F22,F23)&gt;1,0,3)</f>
        <v>3</v>
      </c>
      <c r="D23" s="68"/>
      <c r="E23" s="69"/>
      <c r="F23" s="70"/>
      <c r="G23" s="69"/>
      <c r="H23" s="70"/>
      <c r="I23" s="71"/>
      <c r="J23" s="69"/>
      <c r="K23" s="69"/>
      <c r="L23" s="64"/>
      <c r="M23" s="72"/>
      <c r="N23" s="72"/>
      <c r="O23" s="72"/>
      <c r="P23" s="64"/>
      <c r="Q23" s="72"/>
      <c r="R23" s="72"/>
      <c r="S23" s="72"/>
      <c r="T23" s="64"/>
      <c r="U23" s="66"/>
      <c r="V23" s="72"/>
    </row>
    <row r="24">
      <c r="B24" s="68" t="s">
        <v>128</v>
      </c>
      <c r="C24" s="68">
        <f>if(countif(F16:F23,F24)&gt;1,0,2)</f>
        <v>2</v>
      </c>
      <c r="D24" s="68"/>
      <c r="E24" s="69"/>
      <c r="F24" s="70"/>
      <c r="G24" s="69"/>
      <c r="H24" s="70"/>
      <c r="I24" s="71"/>
      <c r="J24" s="69"/>
      <c r="K24" s="69"/>
      <c r="L24" s="64"/>
      <c r="M24" s="72"/>
      <c r="N24" s="72"/>
      <c r="O24" s="72"/>
      <c r="P24" s="64"/>
      <c r="Q24" s="72"/>
      <c r="R24" s="72"/>
      <c r="S24" s="72"/>
      <c r="T24" s="64"/>
      <c r="U24" s="66"/>
      <c r="V24" s="72"/>
    </row>
    <row r="25">
      <c r="B25" s="68" t="s">
        <v>129</v>
      </c>
      <c r="C25" s="68">
        <f>if(countif(F16:F24,F25)&gt;1,0,1)</f>
        <v>1</v>
      </c>
      <c r="D25" s="68"/>
      <c r="E25" s="69"/>
      <c r="F25" s="70"/>
      <c r="G25" s="69"/>
      <c r="H25" s="70"/>
      <c r="I25" s="71"/>
      <c r="J25" s="69"/>
      <c r="K25" s="69"/>
      <c r="L25" s="64"/>
      <c r="M25" s="72"/>
      <c r="N25" s="72"/>
      <c r="O25" s="72"/>
      <c r="P25" s="64"/>
      <c r="Q25" s="72"/>
      <c r="R25" s="72"/>
      <c r="S25" s="72"/>
      <c r="T25" s="64"/>
      <c r="U25" s="66"/>
      <c r="V25" s="72"/>
    </row>
    <row r="26">
      <c r="A26" s="58">
        <v>114.0</v>
      </c>
      <c r="B26" s="59" t="s">
        <v>120</v>
      </c>
      <c r="C26" s="59">
        <v>12.0</v>
      </c>
      <c r="D26" s="59" t="str">
        <f>IFERROR(__xludf.DUMMYFUNCTION("ARRAY_CONSTRAIN(sort(filter(W_Tie_Breaker!D6:X285,W_Tie_Breaker!D6:D285=""114 W""),18,false,4,true,20,false,21,true),10,19)"),"#N/A")</f>
        <v>#N/A</v>
      </c>
      <c r="E26" s="61"/>
      <c r="F26" s="62"/>
      <c r="G26" s="61"/>
      <c r="H26" s="62"/>
      <c r="I26" s="63"/>
      <c r="J26" s="61"/>
      <c r="K26" s="61"/>
      <c r="L26" s="64"/>
      <c r="M26" s="65"/>
      <c r="N26" s="65"/>
      <c r="O26" s="65"/>
      <c r="P26" s="64"/>
      <c r="Q26" s="65"/>
      <c r="R26" s="65"/>
      <c r="S26" s="65"/>
      <c r="T26" s="64"/>
      <c r="U26" s="66"/>
      <c r="V26" s="65"/>
    </row>
    <row r="27">
      <c r="B27" s="59" t="s">
        <v>121</v>
      </c>
      <c r="C27" s="59">
        <v>9.0</v>
      </c>
      <c r="D27" s="59"/>
      <c r="E27" s="61"/>
      <c r="F27" s="62"/>
      <c r="G27" s="61"/>
      <c r="H27" s="62"/>
      <c r="I27" s="63"/>
      <c r="J27" s="61"/>
      <c r="K27" s="61"/>
      <c r="L27" s="64"/>
      <c r="M27" s="65"/>
      <c r="N27" s="65"/>
      <c r="O27" s="65"/>
      <c r="P27" s="64"/>
      <c r="Q27" s="65"/>
      <c r="R27" s="65"/>
      <c r="S27" s="65"/>
      <c r="T27" s="64"/>
      <c r="U27" s="66"/>
      <c r="V27" s="65"/>
    </row>
    <row r="28">
      <c r="B28" s="59" t="s">
        <v>122</v>
      </c>
      <c r="C28" s="59">
        <f>if(countif(F26:F27,F28)&gt;1,0,8)</f>
        <v>8</v>
      </c>
      <c r="D28" s="59"/>
      <c r="E28" s="61"/>
      <c r="F28" s="62"/>
      <c r="G28" s="61"/>
      <c r="H28" s="62"/>
      <c r="I28" s="63"/>
      <c r="J28" s="61"/>
      <c r="K28" s="61"/>
      <c r="L28" s="64"/>
      <c r="M28" s="65"/>
      <c r="N28" s="65"/>
      <c r="O28" s="65"/>
      <c r="P28" s="64"/>
      <c r="Q28" s="65"/>
      <c r="R28" s="65"/>
      <c r="S28" s="65"/>
      <c r="T28" s="64"/>
      <c r="U28" s="66"/>
      <c r="V28" s="65"/>
    </row>
    <row r="29">
      <c r="B29" s="59" t="s">
        <v>123</v>
      </c>
      <c r="C29" s="59">
        <f>if(countif(F26:F28,F29)&gt;1,0,7)</f>
        <v>7</v>
      </c>
      <c r="D29" s="59"/>
      <c r="E29" s="61"/>
      <c r="F29" s="62"/>
      <c r="G29" s="61"/>
      <c r="H29" s="62"/>
      <c r="I29" s="63"/>
      <c r="J29" s="61"/>
      <c r="K29" s="61"/>
      <c r="L29" s="64"/>
      <c r="M29" s="65"/>
      <c r="N29" s="65"/>
      <c r="O29" s="65"/>
      <c r="P29" s="64"/>
      <c r="Q29" s="65"/>
      <c r="R29" s="65"/>
      <c r="S29" s="65"/>
      <c r="T29" s="64"/>
      <c r="U29" s="66"/>
      <c r="V29" s="65"/>
    </row>
    <row r="30">
      <c r="B30" s="59" t="s">
        <v>124</v>
      </c>
      <c r="C30" s="59">
        <f>if(countif(F26:F29,F30)&gt;1,0,6)</f>
        <v>6</v>
      </c>
      <c r="D30" s="59"/>
      <c r="E30" s="61"/>
      <c r="F30" s="62"/>
      <c r="G30" s="61"/>
      <c r="H30" s="62"/>
      <c r="I30" s="63"/>
      <c r="J30" s="61"/>
      <c r="K30" s="61"/>
      <c r="L30" s="64"/>
      <c r="M30" s="65"/>
      <c r="N30" s="65"/>
      <c r="O30" s="65"/>
      <c r="P30" s="64"/>
      <c r="Q30" s="65"/>
      <c r="R30" s="65"/>
      <c r="S30" s="65"/>
      <c r="T30" s="64"/>
      <c r="U30" s="66"/>
      <c r="V30" s="65"/>
    </row>
    <row r="31">
      <c r="B31" s="59" t="s">
        <v>125</v>
      </c>
      <c r="C31" s="59">
        <f>if(countif(F26:F30,F31)&gt;1,0,5)</f>
        <v>5</v>
      </c>
      <c r="D31" s="59"/>
      <c r="E31" s="61"/>
      <c r="F31" s="62"/>
      <c r="G31" s="61"/>
      <c r="H31" s="62"/>
      <c r="I31" s="63"/>
      <c r="J31" s="61"/>
      <c r="K31" s="61"/>
      <c r="L31" s="64"/>
      <c r="M31" s="65"/>
      <c r="N31" s="65"/>
      <c r="O31" s="65"/>
      <c r="P31" s="64"/>
      <c r="Q31" s="65"/>
      <c r="R31" s="65"/>
      <c r="S31" s="65"/>
      <c r="T31" s="64"/>
      <c r="U31" s="66"/>
      <c r="V31" s="65"/>
    </row>
    <row r="32">
      <c r="B32" s="59" t="s">
        <v>126</v>
      </c>
      <c r="C32" s="59">
        <f>if(countif(F26:F31,F32)&gt;1,0,4)</f>
        <v>4</v>
      </c>
      <c r="D32" s="59"/>
      <c r="E32" s="61"/>
      <c r="F32" s="62"/>
      <c r="G32" s="61"/>
      <c r="H32" s="62"/>
      <c r="I32" s="63"/>
      <c r="J32" s="61"/>
      <c r="K32" s="61"/>
      <c r="L32" s="64"/>
      <c r="M32" s="65"/>
      <c r="N32" s="65"/>
      <c r="O32" s="65"/>
      <c r="P32" s="64"/>
      <c r="Q32" s="65"/>
      <c r="R32" s="65"/>
      <c r="S32" s="65"/>
      <c r="T32" s="64"/>
      <c r="U32" s="66"/>
      <c r="V32" s="65"/>
    </row>
    <row r="33">
      <c r="B33" s="59" t="s">
        <v>127</v>
      </c>
      <c r="C33" s="59">
        <f>if(countif(F26:F32,F33)&gt;1,0,3)</f>
        <v>3</v>
      </c>
      <c r="D33" s="59"/>
      <c r="E33" s="61"/>
      <c r="F33" s="62"/>
      <c r="G33" s="61"/>
      <c r="H33" s="62"/>
      <c r="I33" s="63"/>
      <c r="J33" s="61"/>
      <c r="K33" s="61"/>
      <c r="L33" s="64"/>
      <c r="M33" s="65"/>
      <c r="N33" s="65"/>
      <c r="O33" s="65"/>
      <c r="P33" s="64"/>
      <c r="Q33" s="65"/>
      <c r="R33" s="65"/>
      <c r="S33" s="65"/>
      <c r="T33" s="64"/>
      <c r="U33" s="66"/>
      <c r="V33" s="65"/>
    </row>
    <row r="34">
      <c r="B34" s="59" t="s">
        <v>128</v>
      </c>
      <c r="C34" s="59">
        <f>if(countif(F26:F33,F34)&gt;1,0,2)</f>
        <v>2</v>
      </c>
      <c r="D34" s="59"/>
      <c r="E34" s="61"/>
      <c r="F34" s="62"/>
      <c r="G34" s="61"/>
      <c r="H34" s="62"/>
      <c r="I34" s="63"/>
      <c r="J34" s="61"/>
      <c r="K34" s="61"/>
      <c r="L34" s="64"/>
      <c r="M34" s="65"/>
      <c r="N34" s="65"/>
      <c r="O34" s="65"/>
      <c r="P34" s="64"/>
      <c r="Q34" s="65"/>
      <c r="R34" s="65"/>
      <c r="S34" s="65"/>
      <c r="T34" s="64"/>
      <c r="U34" s="75" t="s">
        <v>132</v>
      </c>
      <c r="V34" s="65"/>
    </row>
    <row r="35">
      <c r="B35" s="59" t="s">
        <v>129</v>
      </c>
      <c r="C35" s="59">
        <f>if(countif(F26:F34,F35)&gt;1,0,1)</f>
        <v>1</v>
      </c>
      <c r="D35" s="59"/>
      <c r="E35" s="61"/>
      <c r="F35" s="62"/>
      <c r="G35" s="61"/>
      <c r="H35" s="62"/>
      <c r="I35" s="63"/>
      <c r="J35" s="61"/>
      <c r="K35" s="61"/>
      <c r="L35" s="64"/>
      <c r="M35" s="65"/>
      <c r="N35" s="65"/>
      <c r="O35" s="65"/>
      <c r="P35" s="64"/>
      <c r="Q35" s="65"/>
      <c r="R35" s="65"/>
      <c r="S35" s="65"/>
      <c r="T35" s="64"/>
      <c r="U35" s="66"/>
      <c r="V35" s="65"/>
    </row>
    <row r="36">
      <c r="A36" s="73">
        <v>123.0</v>
      </c>
      <c r="B36" s="68" t="s">
        <v>120</v>
      </c>
      <c r="C36" s="68">
        <v>12.0</v>
      </c>
      <c r="D36" s="68" t="str">
        <f>IFERROR(__xludf.DUMMYFUNCTION("ARRAY_CONSTRAIN(sort(filter(W_Tie_Breaker!D6:X285,W_Tie_Breaker!D6:D285=""123 W""),18,false,4,true,20,false,21,true),10,19)"),"#N/A")</f>
        <v>#N/A</v>
      </c>
      <c r="E36" s="69"/>
      <c r="F36" s="70"/>
      <c r="G36" s="69"/>
      <c r="H36" s="70"/>
      <c r="I36" s="71"/>
      <c r="J36" s="69"/>
      <c r="K36" s="69"/>
      <c r="L36" s="64"/>
      <c r="M36" s="72"/>
      <c r="N36" s="72"/>
      <c r="O36" s="72"/>
      <c r="P36" s="64"/>
      <c r="Q36" s="72"/>
      <c r="R36" s="72"/>
      <c r="S36" s="72"/>
      <c r="T36" s="64"/>
      <c r="U36" s="66"/>
      <c r="V36" s="72"/>
    </row>
    <row r="37">
      <c r="B37" s="68" t="s">
        <v>121</v>
      </c>
      <c r="C37" s="68">
        <v>9.0</v>
      </c>
      <c r="D37" s="68"/>
      <c r="E37" s="69"/>
      <c r="F37" s="70"/>
      <c r="G37" s="69"/>
      <c r="H37" s="70"/>
      <c r="I37" s="71"/>
      <c r="J37" s="69"/>
      <c r="K37" s="69"/>
      <c r="L37" s="64"/>
      <c r="M37" s="72"/>
      <c r="N37" s="72"/>
      <c r="O37" s="72"/>
      <c r="P37" s="64"/>
      <c r="Q37" s="72"/>
      <c r="R37" s="72"/>
      <c r="S37" s="72"/>
      <c r="T37" s="64"/>
      <c r="U37" s="66"/>
      <c r="V37" s="72"/>
    </row>
    <row r="38">
      <c r="B38" s="68" t="s">
        <v>122</v>
      </c>
      <c r="C38" s="68">
        <f>if(countif(F36:F37,F38)&gt;1,0,8)</f>
        <v>8</v>
      </c>
      <c r="D38" s="68"/>
      <c r="E38" s="69"/>
      <c r="F38" s="70"/>
      <c r="G38" s="69"/>
      <c r="H38" s="70"/>
      <c r="I38" s="71"/>
      <c r="J38" s="69"/>
      <c r="K38" s="69"/>
      <c r="L38" s="64"/>
      <c r="M38" s="72"/>
      <c r="N38" s="72"/>
      <c r="O38" s="72"/>
      <c r="P38" s="64"/>
      <c r="Q38" s="72"/>
      <c r="R38" s="72"/>
      <c r="S38" s="72"/>
      <c r="T38" s="64"/>
      <c r="U38" s="66"/>
      <c r="V38" s="72"/>
    </row>
    <row r="39">
      <c r="B39" s="68" t="s">
        <v>123</v>
      </c>
      <c r="C39" s="68">
        <f>if(countif(F36:F38,F39)&gt;1,0,7)</f>
        <v>7</v>
      </c>
      <c r="D39" s="68"/>
      <c r="E39" s="69"/>
      <c r="F39" s="70"/>
      <c r="G39" s="69"/>
      <c r="H39" s="70"/>
      <c r="I39" s="71"/>
      <c r="J39" s="69"/>
      <c r="K39" s="69"/>
      <c r="L39" s="64"/>
      <c r="M39" s="72"/>
      <c r="N39" s="72"/>
      <c r="O39" s="72"/>
      <c r="P39" s="64"/>
      <c r="Q39" s="72"/>
      <c r="R39" s="72"/>
      <c r="S39" s="72"/>
      <c r="T39" s="64"/>
      <c r="U39" s="66"/>
      <c r="V39" s="72"/>
    </row>
    <row r="40">
      <c r="B40" s="68" t="s">
        <v>124</v>
      </c>
      <c r="C40" s="68">
        <f>if(countif(F36:F39,F40)&gt;1,0,6)</f>
        <v>6</v>
      </c>
      <c r="D40" s="68"/>
      <c r="E40" s="69"/>
      <c r="F40" s="70"/>
      <c r="G40" s="69"/>
      <c r="H40" s="70"/>
      <c r="I40" s="71"/>
      <c r="J40" s="69"/>
      <c r="K40" s="69"/>
      <c r="L40" s="64"/>
      <c r="M40" s="72"/>
      <c r="N40" s="72"/>
      <c r="O40" s="72"/>
      <c r="P40" s="64"/>
      <c r="Q40" s="72"/>
      <c r="R40" s="72"/>
      <c r="S40" s="72"/>
      <c r="T40" s="64"/>
      <c r="U40" s="66"/>
      <c r="V40" s="72"/>
    </row>
    <row r="41">
      <c r="B41" s="68" t="s">
        <v>125</v>
      </c>
      <c r="C41" s="68">
        <f>if(countif(F36:F40,F41)&gt;1,0,5)</f>
        <v>5</v>
      </c>
      <c r="D41" s="68"/>
      <c r="E41" s="69"/>
      <c r="F41" s="70"/>
      <c r="G41" s="69"/>
      <c r="H41" s="70"/>
      <c r="I41" s="71"/>
      <c r="J41" s="69"/>
      <c r="K41" s="69"/>
      <c r="L41" s="64"/>
      <c r="M41" s="72"/>
      <c r="N41" s="72"/>
      <c r="O41" s="72"/>
      <c r="P41" s="64"/>
      <c r="Q41" s="72"/>
      <c r="R41" s="72"/>
      <c r="S41" s="72"/>
      <c r="T41" s="64"/>
      <c r="U41" s="66"/>
      <c r="V41" s="72"/>
    </row>
    <row r="42">
      <c r="B42" s="68" t="s">
        <v>126</v>
      </c>
      <c r="C42" s="68">
        <f>if(countif(F36:F41,F42)&gt;1,0,4)</f>
        <v>4</v>
      </c>
      <c r="D42" s="68"/>
      <c r="E42" s="69"/>
      <c r="F42" s="70"/>
      <c r="G42" s="69"/>
      <c r="H42" s="70"/>
      <c r="I42" s="71"/>
      <c r="J42" s="69"/>
      <c r="K42" s="69"/>
      <c r="L42" s="64"/>
      <c r="M42" s="72"/>
      <c r="N42" s="72"/>
      <c r="O42" s="72"/>
      <c r="P42" s="64"/>
      <c r="Q42" s="72"/>
      <c r="R42" s="72"/>
      <c r="S42" s="72"/>
      <c r="T42" s="64"/>
      <c r="U42" s="66"/>
      <c r="V42" s="72"/>
    </row>
    <row r="43">
      <c r="B43" s="68" t="s">
        <v>127</v>
      </c>
      <c r="C43" s="68">
        <f>if(countif(F36:F42,F43)&gt;1,0,3)</f>
        <v>3</v>
      </c>
      <c r="D43" s="68"/>
      <c r="E43" s="69"/>
      <c r="F43" s="70"/>
      <c r="G43" s="69"/>
      <c r="H43" s="70"/>
      <c r="I43" s="71"/>
      <c r="J43" s="69"/>
      <c r="K43" s="69"/>
      <c r="L43" s="64"/>
      <c r="M43" s="72"/>
      <c r="N43" s="72"/>
      <c r="O43" s="72"/>
      <c r="P43" s="64"/>
      <c r="Q43" s="72"/>
      <c r="R43" s="72"/>
      <c r="S43" s="72"/>
      <c r="T43" s="64"/>
      <c r="U43" s="66"/>
      <c r="V43" s="72"/>
    </row>
    <row r="44">
      <c r="B44" s="68" t="s">
        <v>128</v>
      </c>
      <c r="C44" s="68">
        <f>if(countif(F36:F43,F44)&gt;1,0,2)</f>
        <v>2</v>
      </c>
      <c r="D44" s="68"/>
      <c r="E44" s="69"/>
      <c r="F44" s="70"/>
      <c r="G44" s="69"/>
      <c r="H44" s="70"/>
      <c r="I44" s="71"/>
      <c r="J44" s="69"/>
      <c r="K44" s="69"/>
      <c r="L44" s="64"/>
      <c r="M44" s="72"/>
      <c r="N44" s="72"/>
      <c r="O44" s="72"/>
      <c r="P44" s="64"/>
      <c r="Q44" s="72"/>
      <c r="R44" s="72"/>
      <c r="S44" s="72"/>
      <c r="T44" s="64"/>
      <c r="U44" s="66"/>
      <c r="V44" s="72"/>
    </row>
    <row r="45">
      <c r="B45" s="68" t="s">
        <v>129</v>
      </c>
      <c r="C45" s="68">
        <f>if(countif(F36:F44,F45)&gt;1,0,1)</f>
        <v>1</v>
      </c>
      <c r="D45" s="68"/>
      <c r="E45" s="69"/>
      <c r="F45" s="70"/>
      <c r="G45" s="69"/>
      <c r="H45" s="70"/>
      <c r="I45" s="71"/>
      <c r="J45" s="69"/>
      <c r="K45" s="69"/>
      <c r="L45" s="64"/>
      <c r="M45" s="72"/>
      <c r="N45" s="72"/>
      <c r="O45" s="72"/>
      <c r="P45" s="64"/>
      <c r="Q45" s="72"/>
      <c r="R45" s="72"/>
      <c r="S45" s="72"/>
      <c r="T45" s="64"/>
      <c r="U45" s="66"/>
      <c r="V45" s="72"/>
    </row>
    <row r="46">
      <c r="A46" s="58">
        <v>132.0</v>
      </c>
      <c r="B46" s="59" t="s">
        <v>120</v>
      </c>
      <c r="C46" s="59">
        <v>12.0</v>
      </c>
      <c r="D46" s="60" t="str">
        <f>IFERROR(__xludf.DUMMYFUNCTION("ARRAY_CONSTRAIN(sort(filter(W_Tie_Breaker!D6:X285,W_Tie_Breaker!D6:D285=""132 W""),18,false,4,true,20,false,21,true),10,19)"),"#N/A")</f>
        <v>#N/A</v>
      </c>
      <c r="E46" s="61"/>
      <c r="F46" s="62"/>
      <c r="G46" s="61"/>
      <c r="H46" s="62"/>
      <c r="I46" s="63"/>
      <c r="J46" s="61"/>
      <c r="K46" s="61"/>
      <c r="L46" s="64"/>
      <c r="M46" s="65"/>
      <c r="N46" s="65"/>
      <c r="O46" s="65"/>
      <c r="P46" s="64"/>
      <c r="Q46" s="65"/>
      <c r="R46" s="65"/>
      <c r="S46" s="65"/>
      <c r="T46" s="64"/>
      <c r="U46" s="66"/>
      <c r="V46" s="65"/>
    </row>
    <row r="47">
      <c r="B47" s="59" t="s">
        <v>121</v>
      </c>
      <c r="C47" s="59">
        <v>9.0</v>
      </c>
      <c r="D47" s="59"/>
      <c r="E47" s="61"/>
      <c r="F47" s="62"/>
      <c r="G47" s="61"/>
      <c r="H47" s="62"/>
      <c r="I47" s="63"/>
      <c r="J47" s="61"/>
      <c r="K47" s="61"/>
      <c r="L47" s="64"/>
      <c r="M47" s="65"/>
      <c r="N47" s="65"/>
      <c r="O47" s="65"/>
      <c r="P47" s="64"/>
      <c r="Q47" s="65"/>
      <c r="R47" s="65"/>
      <c r="S47" s="65"/>
      <c r="T47" s="64"/>
      <c r="U47" s="66"/>
      <c r="V47" s="65"/>
    </row>
    <row r="48">
      <c r="B48" s="59" t="s">
        <v>122</v>
      </c>
      <c r="C48" s="59">
        <f>if(countif(F46:F47,F48)&gt;1,0,8)</f>
        <v>8</v>
      </c>
      <c r="D48" s="59"/>
      <c r="E48" s="61"/>
      <c r="F48" s="62"/>
      <c r="G48" s="61"/>
      <c r="H48" s="62"/>
      <c r="I48" s="63"/>
      <c r="J48" s="61"/>
      <c r="K48" s="61"/>
      <c r="L48" s="64"/>
      <c r="M48" s="65"/>
      <c r="N48" s="65"/>
      <c r="O48" s="65"/>
      <c r="P48" s="64"/>
      <c r="Q48" s="65"/>
      <c r="R48" s="65"/>
      <c r="S48" s="65"/>
      <c r="T48" s="64"/>
      <c r="U48" s="66"/>
      <c r="V48" s="65"/>
    </row>
    <row r="49">
      <c r="B49" s="59" t="s">
        <v>123</v>
      </c>
      <c r="C49" s="59">
        <f>if(countif(F46:F48,F49)&gt;1,0,7)</f>
        <v>7</v>
      </c>
      <c r="D49" s="59"/>
      <c r="E49" s="61"/>
      <c r="F49" s="62"/>
      <c r="G49" s="61"/>
      <c r="H49" s="62"/>
      <c r="I49" s="63"/>
      <c r="J49" s="61"/>
      <c r="K49" s="61"/>
      <c r="L49" s="64"/>
      <c r="M49" s="65"/>
      <c r="N49" s="65"/>
      <c r="O49" s="65"/>
      <c r="P49" s="64"/>
      <c r="Q49" s="65"/>
      <c r="R49" s="65"/>
      <c r="S49" s="65"/>
      <c r="T49" s="64"/>
      <c r="U49" s="66"/>
      <c r="V49" s="65"/>
    </row>
    <row r="50">
      <c r="B50" s="59" t="s">
        <v>124</v>
      </c>
      <c r="C50" s="59">
        <f>if(countif(F46:F49,F50)&gt;1,0,6)</f>
        <v>6</v>
      </c>
      <c r="D50" s="59"/>
      <c r="E50" s="61"/>
      <c r="F50" s="62"/>
      <c r="G50" s="61"/>
      <c r="H50" s="62"/>
      <c r="I50" s="63"/>
      <c r="J50" s="61"/>
      <c r="K50" s="61"/>
      <c r="L50" s="64"/>
      <c r="M50" s="65"/>
      <c r="N50" s="65"/>
      <c r="O50" s="65"/>
      <c r="P50" s="64"/>
      <c r="Q50" s="65"/>
      <c r="R50" s="65"/>
      <c r="S50" s="65"/>
      <c r="T50" s="64"/>
      <c r="U50" s="66"/>
      <c r="V50" s="65"/>
    </row>
    <row r="51">
      <c r="B51" s="59" t="s">
        <v>125</v>
      </c>
      <c r="C51" s="59">
        <f>if(countif(F46:F50,F51)&gt;1,0,5)</f>
        <v>5</v>
      </c>
      <c r="D51" s="59"/>
      <c r="E51" s="61"/>
      <c r="F51" s="62"/>
      <c r="G51" s="61"/>
      <c r="H51" s="62"/>
      <c r="I51" s="63"/>
      <c r="J51" s="61"/>
      <c r="K51" s="61"/>
      <c r="L51" s="64"/>
      <c r="M51" s="65"/>
      <c r="N51" s="65"/>
      <c r="O51" s="65"/>
      <c r="P51" s="64"/>
      <c r="Q51" s="65"/>
      <c r="R51" s="65"/>
      <c r="S51" s="65"/>
      <c r="T51" s="64"/>
      <c r="U51" s="66"/>
      <c r="V51" s="65"/>
    </row>
    <row r="52">
      <c r="B52" s="59" t="s">
        <v>126</v>
      </c>
      <c r="C52" s="59">
        <f>if(countif(F46:F51,F52)&gt;1,0,4)</f>
        <v>4</v>
      </c>
      <c r="D52" s="59"/>
      <c r="E52" s="61"/>
      <c r="F52" s="62"/>
      <c r="G52" s="61"/>
      <c r="H52" s="62"/>
      <c r="I52" s="63"/>
      <c r="J52" s="61"/>
      <c r="K52" s="61"/>
      <c r="L52" s="64"/>
      <c r="M52" s="65"/>
      <c r="N52" s="65"/>
      <c r="O52" s="65"/>
      <c r="P52" s="64"/>
      <c r="Q52" s="65"/>
      <c r="R52" s="65"/>
      <c r="S52" s="65"/>
      <c r="T52" s="64"/>
      <c r="U52" s="66"/>
      <c r="V52" s="65"/>
    </row>
    <row r="53">
      <c r="B53" s="59" t="s">
        <v>127</v>
      </c>
      <c r="C53" s="59">
        <f>if(countif(F46:F52,F53)&gt;1,0,3)</f>
        <v>3</v>
      </c>
      <c r="D53" s="59"/>
      <c r="E53" s="61"/>
      <c r="F53" s="62"/>
      <c r="G53" s="61"/>
      <c r="H53" s="62"/>
      <c r="I53" s="63"/>
      <c r="J53" s="61"/>
      <c r="K53" s="61"/>
      <c r="L53" s="64"/>
      <c r="M53" s="65"/>
      <c r="N53" s="65"/>
      <c r="O53" s="65"/>
      <c r="P53" s="64"/>
      <c r="Q53" s="65"/>
      <c r="R53" s="65"/>
      <c r="S53" s="65"/>
      <c r="T53" s="64"/>
      <c r="U53" s="66"/>
      <c r="V53" s="65"/>
    </row>
    <row r="54">
      <c r="B54" s="59" t="s">
        <v>128</v>
      </c>
      <c r="C54" s="59">
        <f>if(countif(F46:F53,F54)&gt;1,0,2)</f>
        <v>2</v>
      </c>
      <c r="D54" s="59"/>
      <c r="E54" s="61"/>
      <c r="F54" s="62"/>
      <c r="G54" s="61"/>
      <c r="H54" s="62"/>
      <c r="I54" s="63"/>
      <c r="J54" s="61"/>
      <c r="K54" s="61"/>
      <c r="L54" s="64"/>
      <c r="M54" s="65"/>
      <c r="N54" s="65"/>
      <c r="O54" s="65"/>
      <c r="P54" s="64"/>
      <c r="Q54" s="65"/>
      <c r="R54" s="65"/>
      <c r="S54" s="65"/>
      <c r="T54" s="64"/>
      <c r="U54" s="66"/>
      <c r="V54" s="65"/>
    </row>
    <row r="55">
      <c r="B55" s="59" t="s">
        <v>129</v>
      </c>
      <c r="C55" s="59">
        <f>if(countif(F46:F54,F55)&gt;1,0,1)</f>
        <v>1</v>
      </c>
      <c r="D55" s="59"/>
      <c r="E55" s="61"/>
      <c r="F55" s="62"/>
      <c r="G55" s="61"/>
      <c r="H55" s="62"/>
      <c r="I55" s="63"/>
      <c r="J55" s="61"/>
      <c r="K55" s="61"/>
      <c r="L55" s="64"/>
      <c r="M55" s="65"/>
      <c r="N55" s="65"/>
      <c r="O55" s="65"/>
      <c r="P55" s="64"/>
      <c r="Q55" s="65"/>
      <c r="R55" s="65"/>
      <c r="S55" s="65"/>
      <c r="T55" s="64"/>
      <c r="U55" s="66"/>
      <c r="V55" s="65"/>
    </row>
    <row r="56">
      <c r="A56" s="73">
        <v>145.0</v>
      </c>
      <c r="B56" s="68" t="s">
        <v>120</v>
      </c>
      <c r="C56" s="68">
        <v>12.0</v>
      </c>
      <c r="D56" s="68" t="str">
        <f>IFERROR(__xludf.DUMMYFUNCTION("ARRAY_CONSTRAIN(sort(filter(W_Tie_Breaker!D6:X285,W_Tie_Breaker!D6:D285=""145 W""),18,false,4,true,20,false,21,true),10,19)"),"#N/A")</f>
        <v>#N/A</v>
      </c>
      <c r="E56" s="69"/>
      <c r="F56" s="70"/>
      <c r="G56" s="69"/>
      <c r="H56" s="70"/>
      <c r="I56" s="71"/>
      <c r="J56" s="69"/>
      <c r="K56" s="69"/>
      <c r="L56" s="64"/>
      <c r="M56" s="72"/>
      <c r="N56" s="72"/>
      <c r="O56" s="72"/>
      <c r="P56" s="64"/>
      <c r="Q56" s="72"/>
      <c r="R56" s="72"/>
      <c r="S56" s="72"/>
      <c r="T56" s="64"/>
      <c r="U56" s="66"/>
      <c r="V56" s="72"/>
    </row>
    <row r="57">
      <c r="B57" s="68" t="s">
        <v>121</v>
      </c>
      <c r="C57" s="68">
        <v>9.0</v>
      </c>
      <c r="D57" s="68"/>
      <c r="E57" s="69"/>
      <c r="F57" s="70"/>
      <c r="G57" s="69"/>
      <c r="H57" s="70"/>
      <c r="I57" s="71"/>
      <c r="J57" s="69"/>
      <c r="K57" s="69"/>
      <c r="L57" s="64"/>
      <c r="M57" s="72"/>
      <c r="N57" s="72"/>
      <c r="O57" s="72"/>
      <c r="P57" s="64"/>
      <c r="Q57" s="72"/>
      <c r="R57" s="72"/>
      <c r="S57" s="72"/>
      <c r="T57" s="64"/>
      <c r="U57" s="66"/>
      <c r="V57" s="72"/>
    </row>
    <row r="58">
      <c r="B58" s="68" t="s">
        <v>122</v>
      </c>
      <c r="C58" s="68">
        <f>if(countif(F56:F57,F58)&gt;1,0,8)</f>
        <v>8</v>
      </c>
      <c r="D58" s="68"/>
      <c r="E58" s="69"/>
      <c r="F58" s="70"/>
      <c r="G58" s="69"/>
      <c r="H58" s="70"/>
      <c r="I58" s="71"/>
      <c r="J58" s="69"/>
      <c r="K58" s="69"/>
      <c r="L58" s="64"/>
      <c r="M58" s="72"/>
      <c r="N58" s="72"/>
      <c r="O58" s="72"/>
      <c r="P58" s="64"/>
      <c r="Q58" s="72"/>
      <c r="R58" s="72"/>
      <c r="S58" s="72"/>
      <c r="T58" s="64"/>
      <c r="U58" s="66"/>
      <c r="V58" s="72"/>
    </row>
    <row r="59">
      <c r="B59" s="68" t="s">
        <v>123</v>
      </c>
      <c r="C59" s="68">
        <f>if(countif(F56:F58,F59)&gt;1,0,7)</f>
        <v>7</v>
      </c>
      <c r="D59" s="68"/>
      <c r="E59" s="69"/>
      <c r="F59" s="70"/>
      <c r="G59" s="69"/>
      <c r="H59" s="70"/>
      <c r="I59" s="71"/>
      <c r="J59" s="69"/>
      <c r="K59" s="69"/>
      <c r="L59" s="64"/>
      <c r="M59" s="72"/>
      <c r="N59" s="72"/>
      <c r="O59" s="72"/>
      <c r="P59" s="64"/>
      <c r="Q59" s="72"/>
      <c r="R59" s="72"/>
      <c r="S59" s="72"/>
      <c r="T59" s="64"/>
      <c r="U59" s="66"/>
      <c r="V59" s="72"/>
    </row>
    <row r="60">
      <c r="B60" s="68" t="s">
        <v>124</v>
      </c>
      <c r="C60" s="68">
        <f>if(countif(F56:F59,F60)&gt;1,0,6)</f>
        <v>6</v>
      </c>
      <c r="D60" s="68"/>
      <c r="E60" s="69"/>
      <c r="F60" s="70"/>
      <c r="G60" s="69"/>
      <c r="H60" s="70"/>
      <c r="I60" s="71"/>
      <c r="J60" s="69"/>
      <c r="K60" s="69"/>
      <c r="L60" s="64"/>
      <c r="M60" s="72"/>
      <c r="N60" s="72"/>
      <c r="O60" s="72"/>
      <c r="P60" s="64"/>
      <c r="Q60" s="72"/>
      <c r="R60" s="72"/>
      <c r="S60" s="72"/>
      <c r="T60" s="64"/>
      <c r="U60" s="66"/>
      <c r="V60" s="72"/>
    </row>
    <row r="61">
      <c r="B61" s="68" t="s">
        <v>125</v>
      </c>
      <c r="C61" s="68">
        <f>if(countif(F56:F60,F61)&gt;1,0,5)</f>
        <v>5</v>
      </c>
      <c r="D61" s="68"/>
      <c r="E61" s="69"/>
      <c r="F61" s="70"/>
      <c r="G61" s="69"/>
      <c r="H61" s="70"/>
      <c r="I61" s="71"/>
      <c r="J61" s="69"/>
      <c r="K61" s="69"/>
      <c r="L61" s="64"/>
      <c r="M61" s="72"/>
      <c r="N61" s="72"/>
      <c r="O61" s="72"/>
      <c r="P61" s="64"/>
      <c r="Q61" s="72"/>
      <c r="R61" s="72"/>
      <c r="S61" s="72"/>
      <c r="T61" s="64"/>
      <c r="U61" s="66"/>
      <c r="V61" s="72"/>
    </row>
    <row r="62">
      <c r="B62" s="68" t="s">
        <v>126</v>
      </c>
      <c r="C62" s="68">
        <f>if(countif(F56:F61,F62)&gt;1,0,4)</f>
        <v>4</v>
      </c>
      <c r="D62" s="68"/>
      <c r="E62" s="69"/>
      <c r="F62" s="70"/>
      <c r="G62" s="69"/>
      <c r="H62" s="70"/>
      <c r="I62" s="71"/>
      <c r="J62" s="69"/>
      <c r="K62" s="69"/>
      <c r="L62" s="64"/>
      <c r="M62" s="72"/>
      <c r="N62" s="72"/>
      <c r="O62" s="72"/>
      <c r="P62" s="64"/>
      <c r="Q62" s="72"/>
      <c r="R62" s="72"/>
      <c r="S62" s="72"/>
      <c r="T62" s="64"/>
      <c r="U62" s="66"/>
      <c r="V62" s="72"/>
    </row>
    <row r="63">
      <c r="B63" s="68" t="s">
        <v>127</v>
      </c>
      <c r="C63" s="68">
        <f>if(countif(F56:F62,F63)&gt;1,0,3)</f>
        <v>3</v>
      </c>
      <c r="D63" s="68"/>
      <c r="E63" s="69"/>
      <c r="F63" s="70"/>
      <c r="G63" s="69"/>
      <c r="H63" s="70"/>
      <c r="I63" s="71"/>
      <c r="J63" s="69"/>
      <c r="K63" s="69"/>
      <c r="L63" s="64"/>
      <c r="M63" s="72"/>
      <c r="N63" s="72"/>
      <c r="O63" s="72"/>
      <c r="P63" s="64"/>
      <c r="Q63" s="72"/>
      <c r="R63" s="72"/>
      <c r="S63" s="72"/>
      <c r="T63" s="64"/>
      <c r="U63" s="66"/>
      <c r="V63" s="72"/>
    </row>
    <row r="64">
      <c r="B64" s="68" t="s">
        <v>128</v>
      </c>
      <c r="C64" s="68">
        <f>if(countif(F56:F63,F64)&gt;1,0,2)</f>
        <v>2</v>
      </c>
      <c r="D64" s="68"/>
      <c r="E64" s="69"/>
      <c r="F64" s="70"/>
      <c r="G64" s="69"/>
      <c r="H64" s="70"/>
      <c r="I64" s="71"/>
      <c r="J64" s="69"/>
      <c r="K64" s="69"/>
      <c r="L64" s="64"/>
      <c r="M64" s="72"/>
      <c r="N64" s="72"/>
      <c r="O64" s="72"/>
      <c r="P64" s="64"/>
      <c r="Q64" s="72"/>
      <c r="R64" s="72"/>
      <c r="S64" s="72"/>
      <c r="T64" s="64"/>
      <c r="U64" s="66"/>
      <c r="V64" s="72"/>
    </row>
    <row r="65">
      <c r="B65" s="68" t="s">
        <v>129</v>
      </c>
      <c r="C65" s="68">
        <f>if(countif(F56:F64,F65)&gt;1,0,1)</f>
        <v>1</v>
      </c>
      <c r="D65" s="68"/>
      <c r="E65" s="69"/>
      <c r="F65" s="70"/>
      <c r="G65" s="69"/>
      <c r="H65" s="70"/>
      <c r="I65" s="71"/>
      <c r="J65" s="69"/>
      <c r="K65" s="69"/>
      <c r="L65" s="64"/>
      <c r="M65" s="72"/>
      <c r="N65" s="72"/>
      <c r="O65" s="72"/>
      <c r="P65" s="64"/>
      <c r="Q65" s="72"/>
      <c r="R65" s="72"/>
      <c r="S65" s="72"/>
      <c r="T65" s="64"/>
      <c r="U65" s="66"/>
      <c r="V65" s="72"/>
    </row>
    <row r="66">
      <c r="A66" s="58">
        <v>155.0</v>
      </c>
      <c r="B66" s="59" t="s">
        <v>120</v>
      </c>
      <c r="C66" s="59">
        <v>12.0</v>
      </c>
      <c r="D66" s="59" t="str">
        <f>IFERROR(__xludf.DUMMYFUNCTION("ARRAY_CONSTRAIN(sort(filter(W_Tie_Breaker!D6:X285,W_Tie_Breaker!D6:D285=""155 W""),18,false,4,true,20,false,21,true),10,19)"),"#N/A")</f>
        <v>#N/A</v>
      </c>
      <c r="E66" s="60"/>
      <c r="F66" s="62"/>
      <c r="G66" s="61"/>
      <c r="H66" s="62"/>
      <c r="I66" s="63"/>
      <c r="J66" s="61"/>
      <c r="K66" s="61"/>
      <c r="L66" s="64"/>
      <c r="M66" s="65"/>
      <c r="N66" s="65"/>
      <c r="O66" s="65"/>
      <c r="P66" s="64"/>
      <c r="Q66" s="65"/>
      <c r="R66" s="65"/>
      <c r="S66" s="65"/>
      <c r="T66" s="64"/>
      <c r="U66" s="66"/>
      <c r="V66" s="65"/>
    </row>
    <row r="67">
      <c r="B67" s="59" t="s">
        <v>121</v>
      </c>
      <c r="C67" s="59">
        <v>9.0</v>
      </c>
      <c r="D67" s="59"/>
      <c r="E67" s="61"/>
      <c r="F67" s="62"/>
      <c r="G67" s="61"/>
      <c r="H67" s="62"/>
      <c r="I67" s="63"/>
      <c r="J67" s="61"/>
      <c r="K67" s="61"/>
      <c r="L67" s="64"/>
      <c r="M67" s="65"/>
      <c r="N67" s="65"/>
      <c r="O67" s="65"/>
      <c r="P67" s="64"/>
      <c r="Q67" s="65"/>
      <c r="R67" s="65"/>
      <c r="S67" s="65"/>
      <c r="T67" s="64"/>
      <c r="U67" s="66"/>
      <c r="V67" s="65"/>
    </row>
    <row r="68">
      <c r="B68" s="59" t="s">
        <v>122</v>
      </c>
      <c r="C68" s="59">
        <f>if(countif(F66:F67,F68)&gt;1,0,8)</f>
        <v>8</v>
      </c>
      <c r="D68" s="59"/>
      <c r="E68" s="61"/>
      <c r="F68" s="62"/>
      <c r="G68" s="61"/>
      <c r="H68" s="62"/>
      <c r="I68" s="63"/>
      <c r="J68" s="61"/>
      <c r="K68" s="61"/>
      <c r="L68" s="64"/>
      <c r="M68" s="65"/>
      <c r="N68" s="65"/>
      <c r="O68" s="65"/>
      <c r="P68" s="64"/>
      <c r="Q68" s="65"/>
      <c r="R68" s="65"/>
      <c r="S68" s="65"/>
      <c r="T68" s="64"/>
      <c r="U68" s="66"/>
      <c r="V68" s="65"/>
    </row>
    <row r="69">
      <c r="B69" s="59" t="s">
        <v>123</v>
      </c>
      <c r="C69" s="59">
        <f>if(countif(F66:F68,F69)&gt;1,0,7)</f>
        <v>7</v>
      </c>
      <c r="D69" s="59"/>
      <c r="E69" s="61"/>
      <c r="F69" s="62"/>
      <c r="G69" s="61"/>
      <c r="H69" s="62"/>
      <c r="I69" s="63"/>
      <c r="J69" s="61"/>
      <c r="K69" s="61"/>
      <c r="L69" s="64"/>
      <c r="M69" s="65"/>
      <c r="N69" s="65"/>
      <c r="O69" s="65"/>
      <c r="P69" s="64"/>
      <c r="Q69" s="65"/>
      <c r="R69" s="65"/>
      <c r="S69" s="65"/>
      <c r="T69" s="64"/>
      <c r="U69" s="66"/>
      <c r="V69" s="65"/>
    </row>
    <row r="70">
      <c r="B70" s="59" t="s">
        <v>124</v>
      </c>
      <c r="C70" s="59">
        <f>if(countif(F66:F69,F70)&gt;1,0,6)</f>
        <v>6</v>
      </c>
      <c r="D70" s="59"/>
      <c r="E70" s="61"/>
      <c r="F70" s="62"/>
      <c r="G70" s="61"/>
      <c r="H70" s="62"/>
      <c r="I70" s="63"/>
      <c r="J70" s="61"/>
      <c r="K70" s="61"/>
      <c r="L70" s="64"/>
      <c r="M70" s="65"/>
      <c r="N70" s="65"/>
      <c r="O70" s="65"/>
      <c r="P70" s="64"/>
      <c r="Q70" s="65"/>
      <c r="R70" s="65"/>
      <c r="S70" s="65"/>
      <c r="T70" s="64"/>
      <c r="U70" s="66"/>
      <c r="V70" s="65"/>
    </row>
    <row r="71">
      <c r="B71" s="59" t="s">
        <v>125</v>
      </c>
      <c r="C71" s="59">
        <f>if(countif(F66:F70,F71)&gt;1,0,5)</f>
        <v>5</v>
      </c>
      <c r="D71" s="59"/>
      <c r="E71" s="61"/>
      <c r="F71" s="62"/>
      <c r="G71" s="61"/>
      <c r="H71" s="62"/>
      <c r="I71" s="63"/>
      <c r="J71" s="61"/>
      <c r="K71" s="61"/>
      <c r="L71" s="64"/>
      <c r="M71" s="65"/>
      <c r="N71" s="65"/>
      <c r="O71" s="65"/>
      <c r="P71" s="64"/>
      <c r="Q71" s="65"/>
      <c r="R71" s="65"/>
      <c r="S71" s="65"/>
      <c r="T71" s="64"/>
      <c r="U71" s="66"/>
      <c r="V71" s="65"/>
    </row>
    <row r="72">
      <c r="B72" s="59" t="s">
        <v>126</v>
      </c>
      <c r="C72" s="59">
        <f>if(countif(F66:F71,F72)&gt;1,0,4)</f>
        <v>4</v>
      </c>
      <c r="D72" s="59"/>
      <c r="E72" s="61"/>
      <c r="F72" s="62"/>
      <c r="G72" s="61"/>
      <c r="H72" s="62"/>
      <c r="I72" s="63"/>
      <c r="J72" s="61"/>
      <c r="K72" s="61"/>
      <c r="L72" s="64"/>
      <c r="M72" s="65"/>
      <c r="N72" s="65"/>
      <c r="O72" s="65"/>
      <c r="P72" s="64"/>
      <c r="Q72" s="65"/>
      <c r="R72" s="65"/>
      <c r="S72" s="65"/>
      <c r="T72" s="64"/>
      <c r="U72" s="66"/>
      <c r="V72" s="65"/>
    </row>
    <row r="73">
      <c r="B73" s="59" t="s">
        <v>127</v>
      </c>
      <c r="C73" s="59">
        <f>if(countif(F66:F72,F73)&gt;1,0,3)</f>
        <v>3</v>
      </c>
      <c r="D73" s="59"/>
      <c r="E73" s="61"/>
      <c r="F73" s="62"/>
      <c r="G73" s="61"/>
      <c r="H73" s="62"/>
      <c r="I73" s="63"/>
      <c r="J73" s="61"/>
      <c r="K73" s="61"/>
      <c r="L73" s="64"/>
      <c r="M73" s="65"/>
      <c r="N73" s="65"/>
      <c r="O73" s="65"/>
      <c r="P73" s="64"/>
      <c r="Q73" s="65"/>
      <c r="R73" s="65"/>
      <c r="S73" s="65"/>
      <c r="T73" s="64"/>
      <c r="U73" s="66"/>
      <c r="V73" s="65"/>
    </row>
    <row r="74">
      <c r="B74" s="59" t="s">
        <v>128</v>
      </c>
      <c r="C74" s="59">
        <f>if(countif(F66:F73,F74)&gt;1,0,2)</f>
        <v>2</v>
      </c>
      <c r="D74" s="59"/>
      <c r="E74" s="61"/>
      <c r="F74" s="62"/>
      <c r="G74" s="61"/>
      <c r="H74" s="62"/>
      <c r="I74" s="63"/>
      <c r="J74" s="61"/>
      <c r="K74" s="61"/>
      <c r="L74" s="64"/>
      <c r="M74" s="65"/>
      <c r="N74" s="65"/>
      <c r="O74" s="65"/>
      <c r="P74" s="64"/>
      <c r="Q74" s="65"/>
      <c r="R74" s="65"/>
      <c r="S74" s="65"/>
      <c r="T74" s="64"/>
      <c r="U74" s="66"/>
      <c r="V74" s="65"/>
    </row>
    <row r="75">
      <c r="B75" s="59" t="s">
        <v>129</v>
      </c>
      <c r="C75" s="59">
        <f>if(countif(F66:F74,F75)&gt;1,0,1)</f>
        <v>1</v>
      </c>
      <c r="D75" s="59"/>
      <c r="E75" s="61"/>
      <c r="F75" s="62"/>
      <c r="G75" s="61"/>
      <c r="H75" s="62"/>
      <c r="I75" s="63"/>
      <c r="J75" s="61"/>
      <c r="K75" s="61"/>
      <c r="L75" s="64"/>
      <c r="M75" s="65"/>
      <c r="N75" s="65"/>
      <c r="O75" s="65"/>
      <c r="P75" s="64"/>
      <c r="Q75" s="65"/>
      <c r="R75" s="65"/>
      <c r="S75" s="65"/>
      <c r="T75" s="64"/>
      <c r="U75" s="66"/>
      <c r="V75" s="65"/>
    </row>
    <row r="76">
      <c r="A76" s="73">
        <v>165.0</v>
      </c>
      <c r="B76" s="68" t="s">
        <v>120</v>
      </c>
      <c r="C76" s="68">
        <v>12.0</v>
      </c>
      <c r="D76" s="68" t="str">
        <f>IFERROR(__xludf.DUMMYFUNCTION("ARRAY_CONSTRAIN(sort(filter(W_Tie_Breaker!D6:X285,W_Tie_Breaker!D6:D285=""165 W""),18,false,4,true,20,false,21,true),10,19)"),"#N/A")</f>
        <v>#N/A</v>
      </c>
      <c r="E76" s="69"/>
      <c r="F76" s="70"/>
      <c r="G76" s="69"/>
      <c r="H76" s="70"/>
      <c r="I76" s="71"/>
      <c r="J76" s="69"/>
      <c r="K76" s="69"/>
      <c r="L76" s="64"/>
      <c r="M76" s="72"/>
      <c r="N76" s="72"/>
      <c r="O76" s="72"/>
      <c r="P76" s="64"/>
      <c r="Q76" s="72"/>
      <c r="R76" s="72"/>
      <c r="S76" s="72"/>
      <c r="T76" s="64"/>
      <c r="U76" s="66"/>
      <c r="V76" s="72"/>
    </row>
    <row r="77">
      <c r="B77" s="68" t="s">
        <v>121</v>
      </c>
      <c r="C77" s="68">
        <v>9.0</v>
      </c>
      <c r="D77" s="68"/>
      <c r="E77" s="69"/>
      <c r="F77" s="70"/>
      <c r="G77" s="69"/>
      <c r="H77" s="70"/>
      <c r="I77" s="71"/>
      <c r="J77" s="69"/>
      <c r="K77" s="69"/>
      <c r="L77" s="64"/>
      <c r="M77" s="72"/>
      <c r="N77" s="72"/>
      <c r="O77" s="72"/>
      <c r="P77" s="64"/>
      <c r="Q77" s="72"/>
      <c r="R77" s="72"/>
      <c r="S77" s="72"/>
      <c r="T77" s="64"/>
      <c r="U77" s="66"/>
      <c r="V77" s="72"/>
    </row>
    <row r="78">
      <c r="B78" s="68" t="s">
        <v>122</v>
      </c>
      <c r="C78" s="68">
        <f>if(countif(F76:F77,F78)&gt;1,0,8)</f>
        <v>8</v>
      </c>
      <c r="D78" s="68"/>
      <c r="E78" s="69"/>
      <c r="F78" s="70"/>
      <c r="G78" s="69"/>
      <c r="H78" s="70"/>
      <c r="I78" s="71"/>
      <c r="J78" s="69"/>
      <c r="K78" s="69"/>
      <c r="L78" s="64"/>
      <c r="M78" s="72"/>
      <c r="N78" s="72"/>
      <c r="O78" s="72"/>
      <c r="P78" s="64"/>
      <c r="Q78" s="72"/>
      <c r="R78" s="72"/>
      <c r="S78" s="72"/>
      <c r="T78" s="64"/>
      <c r="U78" s="66"/>
      <c r="V78" s="72"/>
    </row>
    <row r="79">
      <c r="B79" s="68" t="s">
        <v>123</v>
      </c>
      <c r="C79" s="68">
        <f>if(countif(F76:F78,F79)&gt;1,0,7)</f>
        <v>7</v>
      </c>
      <c r="D79" s="68"/>
      <c r="E79" s="69"/>
      <c r="F79" s="70"/>
      <c r="G79" s="69"/>
      <c r="H79" s="70"/>
      <c r="I79" s="71"/>
      <c r="J79" s="69"/>
      <c r="K79" s="69"/>
      <c r="L79" s="64"/>
      <c r="M79" s="72"/>
      <c r="N79" s="72"/>
      <c r="O79" s="72"/>
      <c r="P79" s="64"/>
      <c r="Q79" s="72"/>
      <c r="R79" s="72"/>
      <c r="S79" s="72"/>
      <c r="T79" s="64"/>
      <c r="U79" s="66"/>
      <c r="V79" s="72"/>
    </row>
    <row r="80">
      <c r="B80" s="68" t="s">
        <v>124</v>
      </c>
      <c r="C80" s="68">
        <f>if(countif(F76:F79,F80)&gt;1,0,6)</f>
        <v>6</v>
      </c>
      <c r="D80" s="68"/>
      <c r="E80" s="69"/>
      <c r="F80" s="70"/>
      <c r="G80" s="69"/>
      <c r="H80" s="70"/>
      <c r="I80" s="71"/>
      <c r="J80" s="69"/>
      <c r="K80" s="69"/>
      <c r="L80" s="64"/>
      <c r="M80" s="72"/>
      <c r="N80" s="72"/>
      <c r="O80" s="72"/>
      <c r="P80" s="64"/>
      <c r="Q80" s="72"/>
      <c r="R80" s="72"/>
      <c r="S80" s="72"/>
      <c r="T80" s="64"/>
      <c r="U80" s="66"/>
      <c r="V80" s="72"/>
    </row>
    <row r="81">
      <c r="B81" s="68" t="s">
        <v>125</v>
      </c>
      <c r="C81" s="68">
        <f>if(countif(F76:F80,F81)&gt;1,0,5)</f>
        <v>5</v>
      </c>
      <c r="D81" s="68"/>
      <c r="E81" s="69"/>
      <c r="F81" s="70"/>
      <c r="G81" s="69"/>
      <c r="H81" s="70"/>
      <c r="I81" s="71"/>
      <c r="J81" s="69"/>
      <c r="K81" s="69"/>
      <c r="L81" s="64"/>
      <c r="M81" s="72"/>
      <c r="N81" s="72"/>
      <c r="O81" s="72"/>
      <c r="P81" s="64"/>
      <c r="Q81" s="72"/>
      <c r="R81" s="72"/>
      <c r="S81" s="72"/>
      <c r="T81" s="64"/>
      <c r="U81" s="66"/>
      <c r="V81" s="72"/>
    </row>
    <row r="82">
      <c r="B82" s="68" t="s">
        <v>126</v>
      </c>
      <c r="C82" s="68">
        <f>if(countif(F76:F81,F82)&gt;1,0,4)</f>
        <v>4</v>
      </c>
      <c r="D82" s="68"/>
      <c r="E82" s="69"/>
      <c r="F82" s="70"/>
      <c r="G82" s="69"/>
      <c r="H82" s="70"/>
      <c r="I82" s="71"/>
      <c r="J82" s="69"/>
      <c r="K82" s="69"/>
      <c r="L82" s="64"/>
      <c r="M82" s="72"/>
      <c r="N82" s="72"/>
      <c r="O82" s="72"/>
      <c r="P82" s="64"/>
      <c r="Q82" s="72"/>
      <c r="R82" s="72"/>
      <c r="S82" s="72"/>
      <c r="T82" s="64"/>
      <c r="U82" s="66"/>
      <c r="V82" s="72"/>
    </row>
    <row r="83">
      <c r="B83" s="68" t="s">
        <v>127</v>
      </c>
      <c r="C83" s="68">
        <f>if(countif(F76:F82,F83)&gt;1,0,3)</f>
        <v>3</v>
      </c>
      <c r="D83" s="68"/>
      <c r="E83" s="69"/>
      <c r="F83" s="70"/>
      <c r="G83" s="69"/>
      <c r="H83" s="70"/>
      <c r="I83" s="71"/>
      <c r="J83" s="69"/>
      <c r="K83" s="69"/>
      <c r="L83" s="64"/>
      <c r="M83" s="72"/>
      <c r="N83" s="72"/>
      <c r="O83" s="72"/>
      <c r="P83" s="64"/>
      <c r="Q83" s="72"/>
      <c r="R83" s="72"/>
      <c r="S83" s="72"/>
      <c r="T83" s="64"/>
      <c r="U83" s="66"/>
      <c r="V83" s="72"/>
    </row>
    <row r="84">
      <c r="B84" s="68" t="s">
        <v>128</v>
      </c>
      <c r="C84" s="68">
        <f>if(countif(F76:F83,F84)&gt;1,0,2)</f>
        <v>2</v>
      </c>
      <c r="D84" s="68"/>
      <c r="E84" s="69"/>
      <c r="F84" s="70"/>
      <c r="G84" s="69"/>
      <c r="H84" s="70"/>
      <c r="I84" s="71"/>
      <c r="J84" s="69"/>
      <c r="K84" s="69"/>
      <c r="L84" s="64"/>
      <c r="M84" s="72"/>
      <c r="N84" s="72"/>
      <c r="O84" s="72"/>
      <c r="P84" s="64"/>
      <c r="Q84" s="72"/>
      <c r="R84" s="72"/>
      <c r="S84" s="72"/>
      <c r="T84" s="64"/>
      <c r="U84" s="66"/>
      <c r="V84" s="72"/>
    </row>
    <row r="85">
      <c r="B85" s="68" t="s">
        <v>129</v>
      </c>
      <c r="C85" s="68">
        <f>if(countif(F76:F84,F85)&gt;1,0,1)</f>
        <v>1</v>
      </c>
      <c r="D85" s="68"/>
      <c r="E85" s="69"/>
      <c r="F85" s="70"/>
      <c r="G85" s="69"/>
      <c r="H85" s="70"/>
      <c r="I85" s="71"/>
      <c r="J85" s="69"/>
      <c r="K85" s="69"/>
      <c r="L85" s="64"/>
      <c r="M85" s="72"/>
      <c r="N85" s="72"/>
      <c r="O85" s="72"/>
      <c r="P85" s="64"/>
      <c r="Q85" s="72"/>
      <c r="R85" s="72"/>
      <c r="S85" s="72"/>
      <c r="T85" s="64"/>
      <c r="U85" s="66"/>
      <c r="V85" s="72"/>
    </row>
    <row r="86">
      <c r="A86" s="58">
        <v>181.0</v>
      </c>
      <c r="B86" s="59" t="s">
        <v>120</v>
      </c>
      <c r="C86" s="59">
        <v>12.0</v>
      </c>
      <c r="D86" s="59" t="str">
        <f>IFERROR(__xludf.DUMMYFUNCTION("ARRAY_CONSTRAIN(sort(filter(W_Tie_Breaker!D6:X285,W_Tie_Breaker!D6:D285=""181 W""),18,false,4,true,20,false,21,true),10,19)"),"#N/A")</f>
        <v>#N/A</v>
      </c>
      <c r="E86" s="61"/>
      <c r="F86" s="62"/>
      <c r="G86" s="61"/>
      <c r="H86" s="62"/>
      <c r="I86" s="63"/>
      <c r="J86" s="61"/>
      <c r="K86" s="61"/>
      <c r="L86" s="64"/>
      <c r="M86" s="65"/>
      <c r="N86" s="65"/>
      <c r="O86" s="65"/>
      <c r="P86" s="64"/>
      <c r="Q86" s="65"/>
      <c r="R86" s="65"/>
      <c r="S86" s="65"/>
      <c r="T86" s="64"/>
      <c r="U86" s="66"/>
      <c r="V86" s="65"/>
    </row>
    <row r="87">
      <c r="B87" s="59" t="s">
        <v>121</v>
      </c>
      <c r="C87" s="59">
        <v>9.0</v>
      </c>
      <c r="D87" s="59"/>
      <c r="E87" s="61"/>
      <c r="F87" s="62"/>
      <c r="G87" s="61"/>
      <c r="H87" s="62"/>
      <c r="I87" s="63"/>
      <c r="J87" s="61"/>
      <c r="K87" s="61"/>
      <c r="L87" s="64"/>
      <c r="M87" s="65"/>
      <c r="N87" s="65"/>
      <c r="O87" s="65"/>
      <c r="P87" s="64"/>
      <c r="Q87" s="65"/>
      <c r="R87" s="65"/>
      <c r="S87" s="65"/>
      <c r="T87" s="64"/>
      <c r="U87" s="66"/>
      <c r="V87" s="65"/>
    </row>
    <row r="88">
      <c r="B88" s="59" t="s">
        <v>122</v>
      </c>
      <c r="C88" s="59">
        <f>if(countif(F86:F87,F88)&gt;1,0,8)</f>
        <v>8</v>
      </c>
      <c r="D88" s="59"/>
      <c r="E88" s="61"/>
      <c r="F88" s="62"/>
      <c r="G88" s="61"/>
      <c r="H88" s="62"/>
      <c r="I88" s="63"/>
      <c r="J88" s="61"/>
      <c r="K88" s="61"/>
      <c r="L88" s="64"/>
      <c r="M88" s="65"/>
      <c r="N88" s="65"/>
      <c r="O88" s="65"/>
      <c r="P88" s="64"/>
      <c r="Q88" s="65"/>
      <c r="R88" s="65"/>
      <c r="S88" s="65"/>
      <c r="T88" s="64"/>
      <c r="U88" s="66"/>
      <c r="V88" s="65"/>
    </row>
    <row r="89">
      <c r="B89" s="59" t="s">
        <v>123</v>
      </c>
      <c r="C89" s="59">
        <f>if(countif(F86:F88,F89)&gt;1,0,7)</f>
        <v>7</v>
      </c>
      <c r="D89" s="59"/>
      <c r="E89" s="61"/>
      <c r="F89" s="62"/>
      <c r="G89" s="61"/>
      <c r="H89" s="62"/>
      <c r="I89" s="63"/>
      <c r="J89" s="61"/>
      <c r="K89" s="61"/>
      <c r="L89" s="64"/>
      <c r="M89" s="65"/>
      <c r="N89" s="65"/>
      <c r="O89" s="65"/>
      <c r="P89" s="64"/>
      <c r="Q89" s="65"/>
      <c r="R89" s="65"/>
      <c r="S89" s="65"/>
      <c r="T89" s="64"/>
      <c r="U89" s="66"/>
      <c r="V89" s="65"/>
    </row>
    <row r="90">
      <c r="B90" s="59" t="s">
        <v>124</v>
      </c>
      <c r="C90" s="59">
        <f>if(countif(F86:F89,F90)&gt;1,0,6)</f>
        <v>6</v>
      </c>
      <c r="D90" s="59"/>
      <c r="E90" s="61"/>
      <c r="F90" s="62"/>
      <c r="G90" s="61"/>
      <c r="H90" s="62"/>
      <c r="I90" s="63"/>
      <c r="J90" s="61"/>
      <c r="K90" s="61"/>
      <c r="L90" s="64"/>
      <c r="M90" s="65"/>
      <c r="N90" s="65"/>
      <c r="O90" s="65"/>
      <c r="P90" s="64"/>
      <c r="Q90" s="65"/>
      <c r="R90" s="65"/>
      <c r="S90" s="65"/>
      <c r="T90" s="64"/>
      <c r="U90" s="66"/>
      <c r="V90" s="65"/>
    </row>
    <row r="91">
      <c r="B91" s="59" t="s">
        <v>125</v>
      </c>
      <c r="C91" s="59">
        <f>if(countif(F86:F90,F91)&gt;1,0,5)</f>
        <v>5</v>
      </c>
      <c r="D91" s="59"/>
      <c r="E91" s="61"/>
      <c r="F91" s="62"/>
      <c r="G91" s="61"/>
      <c r="H91" s="62"/>
      <c r="I91" s="63"/>
      <c r="J91" s="61"/>
      <c r="K91" s="61"/>
      <c r="L91" s="64"/>
      <c r="M91" s="65"/>
      <c r="N91" s="65"/>
      <c r="O91" s="65"/>
      <c r="P91" s="64"/>
      <c r="Q91" s="65"/>
      <c r="R91" s="65"/>
      <c r="S91" s="65"/>
      <c r="T91" s="64"/>
      <c r="U91" s="66"/>
      <c r="V91" s="65"/>
    </row>
    <row r="92">
      <c r="B92" s="59" t="s">
        <v>126</v>
      </c>
      <c r="C92" s="59">
        <f>if(countif(F86:F91,F92)&gt;1,0,4)</f>
        <v>4</v>
      </c>
      <c r="D92" s="59"/>
      <c r="E92" s="61"/>
      <c r="F92" s="62"/>
      <c r="G92" s="61"/>
      <c r="H92" s="62"/>
      <c r="I92" s="63"/>
      <c r="J92" s="61"/>
      <c r="K92" s="61"/>
      <c r="L92" s="64"/>
      <c r="M92" s="65"/>
      <c r="N92" s="65"/>
      <c r="O92" s="65"/>
      <c r="P92" s="64"/>
      <c r="Q92" s="65"/>
      <c r="R92" s="65"/>
      <c r="S92" s="65"/>
      <c r="T92" s="64"/>
      <c r="U92" s="66"/>
      <c r="V92" s="65"/>
    </row>
    <row r="93">
      <c r="B93" s="59" t="s">
        <v>127</v>
      </c>
      <c r="C93" s="59">
        <f>if(countif(F86:F92,F93)&gt;1,0,3)</f>
        <v>3</v>
      </c>
      <c r="D93" s="59"/>
      <c r="E93" s="61"/>
      <c r="F93" s="62"/>
      <c r="G93" s="61"/>
      <c r="H93" s="62"/>
      <c r="I93" s="63"/>
      <c r="J93" s="61"/>
      <c r="K93" s="61"/>
      <c r="L93" s="64"/>
      <c r="M93" s="65"/>
      <c r="N93" s="65"/>
      <c r="O93" s="65"/>
      <c r="P93" s="64"/>
      <c r="Q93" s="65"/>
      <c r="R93" s="65"/>
      <c r="S93" s="65"/>
      <c r="T93" s="64"/>
      <c r="U93" s="66"/>
      <c r="V93" s="65"/>
    </row>
    <row r="94">
      <c r="B94" s="59" t="s">
        <v>128</v>
      </c>
      <c r="C94" s="59">
        <f>if(countif(F86:F93,F94)&gt;1,0,2)</f>
        <v>2</v>
      </c>
      <c r="D94" s="59"/>
      <c r="E94" s="61"/>
      <c r="F94" s="62"/>
      <c r="G94" s="61"/>
      <c r="H94" s="62"/>
      <c r="I94" s="63"/>
      <c r="J94" s="61"/>
      <c r="K94" s="61"/>
      <c r="L94" s="64"/>
      <c r="M94" s="65"/>
      <c r="N94" s="65"/>
      <c r="O94" s="65"/>
      <c r="P94" s="64"/>
      <c r="Q94" s="65"/>
      <c r="R94" s="65"/>
      <c r="S94" s="65"/>
      <c r="T94" s="64"/>
      <c r="U94" s="66"/>
      <c r="V94" s="65"/>
    </row>
    <row r="95">
      <c r="B95" s="59" t="s">
        <v>129</v>
      </c>
      <c r="C95" s="59">
        <f>if(countif(F86:F94,F95)&gt;1,0,1)</f>
        <v>1</v>
      </c>
      <c r="D95" s="59"/>
      <c r="E95" s="61"/>
      <c r="F95" s="62"/>
      <c r="G95" s="61"/>
      <c r="H95" s="62"/>
      <c r="I95" s="63"/>
      <c r="J95" s="61"/>
      <c r="K95" s="61"/>
      <c r="L95" s="64"/>
      <c r="M95" s="65"/>
      <c r="N95" s="65"/>
      <c r="O95" s="65"/>
      <c r="P95" s="64"/>
      <c r="Q95" s="65"/>
      <c r="R95" s="65"/>
      <c r="S95" s="65"/>
      <c r="T95" s="64"/>
      <c r="U95" s="66"/>
      <c r="V95" s="65"/>
    </row>
    <row r="96">
      <c r="A96" s="73">
        <v>198.0</v>
      </c>
      <c r="B96" s="68" t="s">
        <v>120</v>
      </c>
      <c r="C96" s="68">
        <v>12.0</v>
      </c>
      <c r="D96" s="68" t="str">
        <f>IFERROR(__xludf.DUMMYFUNCTION("ARRAY_CONSTRAIN(sort(filter(W_Tie_Breaker!D6:X285,W_Tie_Breaker!D6:D285=""198 W""),18,false,4,true,20,false,21,true),10,19)"),"#N/A")</f>
        <v>#N/A</v>
      </c>
      <c r="E96" s="69"/>
      <c r="F96" s="70"/>
      <c r="G96" s="69"/>
      <c r="H96" s="70"/>
      <c r="I96" s="71"/>
      <c r="J96" s="69"/>
      <c r="K96" s="69"/>
      <c r="L96" s="64"/>
      <c r="M96" s="72"/>
      <c r="N96" s="72"/>
      <c r="O96" s="72"/>
      <c r="P96" s="64"/>
      <c r="Q96" s="72"/>
      <c r="R96" s="72"/>
      <c r="S96" s="72"/>
      <c r="T96" s="64"/>
      <c r="U96" s="66"/>
      <c r="V96" s="72"/>
    </row>
    <row r="97">
      <c r="B97" s="68" t="s">
        <v>121</v>
      </c>
      <c r="C97" s="68">
        <v>9.0</v>
      </c>
      <c r="D97" s="68"/>
      <c r="E97" s="69"/>
      <c r="F97" s="70"/>
      <c r="G97" s="69"/>
      <c r="H97" s="70"/>
      <c r="I97" s="71"/>
      <c r="J97" s="69"/>
      <c r="K97" s="69"/>
      <c r="L97" s="64"/>
      <c r="M97" s="72"/>
      <c r="N97" s="72"/>
      <c r="O97" s="72"/>
      <c r="P97" s="64"/>
      <c r="Q97" s="72"/>
      <c r="R97" s="72"/>
      <c r="S97" s="72"/>
      <c r="T97" s="64"/>
      <c r="U97" s="66"/>
      <c r="V97" s="72"/>
    </row>
    <row r="98">
      <c r="B98" s="68" t="s">
        <v>122</v>
      </c>
      <c r="C98" s="68">
        <f>if(countif(F96:F97,F98)&gt;1,0,8)</f>
        <v>8</v>
      </c>
      <c r="D98" s="68"/>
      <c r="E98" s="69"/>
      <c r="F98" s="70"/>
      <c r="G98" s="69"/>
      <c r="H98" s="70"/>
      <c r="I98" s="71"/>
      <c r="J98" s="69"/>
      <c r="K98" s="69"/>
      <c r="L98" s="64"/>
      <c r="M98" s="72"/>
      <c r="N98" s="72"/>
      <c r="O98" s="72"/>
      <c r="P98" s="64"/>
      <c r="Q98" s="72"/>
      <c r="R98" s="72"/>
      <c r="S98" s="72"/>
      <c r="T98" s="64"/>
      <c r="U98" s="66"/>
      <c r="V98" s="72"/>
    </row>
    <row r="99">
      <c r="B99" s="68" t="s">
        <v>123</v>
      </c>
      <c r="C99" s="68">
        <f>if(countif(F96:F98,F99)&gt;1,0,7)</f>
        <v>7</v>
      </c>
      <c r="D99" s="68"/>
      <c r="E99" s="69"/>
      <c r="F99" s="70"/>
      <c r="G99" s="69"/>
      <c r="H99" s="70"/>
      <c r="I99" s="71"/>
      <c r="J99" s="69"/>
      <c r="K99" s="69"/>
      <c r="L99" s="64"/>
      <c r="M99" s="72"/>
      <c r="N99" s="72"/>
      <c r="O99" s="72"/>
      <c r="P99" s="64"/>
      <c r="Q99" s="72"/>
      <c r="R99" s="72"/>
      <c r="S99" s="72"/>
      <c r="T99" s="64"/>
      <c r="U99" s="66"/>
      <c r="V99" s="72"/>
    </row>
    <row r="100">
      <c r="B100" s="68" t="s">
        <v>124</v>
      </c>
      <c r="C100" s="68">
        <f>if(countif(F96:F99,F100)&gt;1,0,6)</f>
        <v>6</v>
      </c>
      <c r="D100" s="68"/>
      <c r="E100" s="69"/>
      <c r="F100" s="70"/>
      <c r="G100" s="69"/>
      <c r="H100" s="70"/>
      <c r="I100" s="71"/>
      <c r="J100" s="69"/>
      <c r="K100" s="69"/>
      <c r="L100" s="64"/>
      <c r="M100" s="72"/>
      <c r="N100" s="72"/>
      <c r="O100" s="72"/>
      <c r="P100" s="64"/>
      <c r="Q100" s="72"/>
      <c r="R100" s="72"/>
      <c r="S100" s="72"/>
      <c r="T100" s="64"/>
      <c r="U100" s="66"/>
      <c r="V100" s="72"/>
    </row>
    <row r="101">
      <c r="B101" s="68" t="s">
        <v>125</v>
      </c>
      <c r="C101" s="68">
        <f>if(countif(F96:F100,F101)&gt;1,0,5)</f>
        <v>5</v>
      </c>
      <c r="D101" s="68"/>
      <c r="E101" s="69"/>
      <c r="F101" s="70"/>
      <c r="G101" s="69"/>
      <c r="H101" s="70"/>
      <c r="I101" s="71"/>
      <c r="J101" s="69"/>
      <c r="K101" s="69"/>
      <c r="L101" s="64"/>
      <c r="M101" s="72"/>
      <c r="N101" s="72"/>
      <c r="O101" s="72"/>
      <c r="P101" s="64"/>
      <c r="Q101" s="72"/>
      <c r="R101" s="72"/>
      <c r="S101" s="72"/>
      <c r="T101" s="64"/>
      <c r="U101" s="66"/>
      <c r="V101" s="72"/>
    </row>
    <row r="102">
      <c r="B102" s="68" t="s">
        <v>126</v>
      </c>
      <c r="C102" s="68">
        <f>if(countif(F96:F101,F102)&gt;1,0,4)</f>
        <v>4</v>
      </c>
      <c r="D102" s="68"/>
      <c r="E102" s="69"/>
      <c r="F102" s="70"/>
      <c r="G102" s="69"/>
      <c r="H102" s="70"/>
      <c r="I102" s="71"/>
      <c r="J102" s="69"/>
      <c r="K102" s="69"/>
      <c r="L102" s="64"/>
      <c r="M102" s="72"/>
      <c r="N102" s="72"/>
      <c r="O102" s="72"/>
      <c r="P102" s="64"/>
      <c r="Q102" s="72"/>
      <c r="R102" s="72"/>
      <c r="S102" s="72"/>
      <c r="T102" s="64"/>
      <c r="U102" s="66"/>
      <c r="V102" s="72"/>
    </row>
    <row r="103">
      <c r="B103" s="68" t="s">
        <v>127</v>
      </c>
      <c r="C103" s="68">
        <f>if(countif(F96:F102,F103)&gt;1,0,3)</f>
        <v>3</v>
      </c>
      <c r="D103" s="68"/>
      <c r="E103" s="69"/>
      <c r="F103" s="70"/>
      <c r="G103" s="69"/>
      <c r="H103" s="70"/>
      <c r="I103" s="71"/>
      <c r="J103" s="69"/>
      <c r="K103" s="69"/>
      <c r="L103" s="64"/>
      <c r="M103" s="72"/>
      <c r="N103" s="72"/>
      <c r="O103" s="72"/>
      <c r="P103" s="64"/>
      <c r="Q103" s="72"/>
      <c r="R103" s="72"/>
      <c r="S103" s="72"/>
      <c r="T103" s="64"/>
      <c r="U103" s="66"/>
      <c r="V103" s="72"/>
    </row>
    <row r="104">
      <c r="B104" s="68" t="s">
        <v>128</v>
      </c>
      <c r="C104" s="68">
        <f>if(countif(F96:F103,F104)&gt;1,0,2)</f>
        <v>2</v>
      </c>
      <c r="D104" s="68"/>
      <c r="E104" s="69"/>
      <c r="F104" s="70"/>
      <c r="G104" s="69"/>
      <c r="H104" s="70"/>
      <c r="I104" s="71"/>
      <c r="J104" s="69"/>
      <c r="K104" s="69"/>
      <c r="L104" s="64"/>
      <c r="M104" s="72"/>
      <c r="N104" s="72"/>
      <c r="O104" s="72"/>
      <c r="P104" s="64"/>
      <c r="Q104" s="72"/>
      <c r="R104" s="72"/>
      <c r="S104" s="72"/>
      <c r="T104" s="64"/>
      <c r="U104" s="66"/>
      <c r="V104" s="72"/>
    </row>
    <row r="105">
      <c r="B105" s="68" t="s">
        <v>129</v>
      </c>
      <c r="C105" s="68">
        <f>if(countif(F96:F104,F105)&gt;1,0,1)</f>
        <v>1</v>
      </c>
      <c r="D105" s="68"/>
      <c r="E105" s="69"/>
      <c r="F105" s="70"/>
      <c r="G105" s="69"/>
      <c r="H105" s="70"/>
      <c r="I105" s="71"/>
      <c r="J105" s="69"/>
      <c r="K105" s="69"/>
      <c r="L105" s="64"/>
      <c r="M105" s="72"/>
      <c r="N105" s="72"/>
      <c r="O105" s="72"/>
      <c r="P105" s="64"/>
      <c r="Q105" s="72"/>
      <c r="R105" s="72"/>
      <c r="S105" s="72"/>
      <c r="T105" s="64"/>
      <c r="U105" s="66"/>
      <c r="V105" s="72"/>
    </row>
    <row r="106">
      <c r="A106" s="58">
        <v>220.0</v>
      </c>
      <c r="B106" s="59" t="s">
        <v>120</v>
      </c>
      <c r="C106" s="59">
        <v>12.0</v>
      </c>
      <c r="D106" s="59" t="str">
        <f>IFERROR(__xludf.DUMMYFUNCTION("ARRAY_CONSTRAIN(sort(filter(W_Tie_Breaker!D6:X285,W_Tie_Breaker!D6:D285=""220 W""),18,false,4,true,20,false,21,true),10,19)"),"#N/A")</f>
        <v>#N/A</v>
      </c>
      <c r="E106" s="61"/>
      <c r="F106" s="62"/>
      <c r="G106" s="61"/>
      <c r="H106" s="62"/>
      <c r="I106" s="63"/>
      <c r="J106" s="61"/>
      <c r="K106" s="61"/>
      <c r="L106" s="64"/>
      <c r="M106" s="65"/>
      <c r="N106" s="65"/>
      <c r="O106" s="65"/>
      <c r="P106" s="64"/>
      <c r="Q106" s="65"/>
      <c r="R106" s="65"/>
      <c r="S106" s="65"/>
      <c r="T106" s="64"/>
      <c r="U106" s="66"/>
      <c r="V106" s="65"/>
    </row>
    <row r="107">
      <c r="B107" s="59" t="s">
        <v>121</v>
      </c>
      <c r="C107" s="59">
        <v>9.0</v>
      </c>
      <c r="D107" s="59"/>
      <c r="E107" s="61"/>
      <c r="F107" s="62"/>
      <c r="G107" s="61"/>
      <c r="H107" s="62"/>
      <c r="I107" s="63"/>
      <c r="J107" s="61"/>
      <c r="K107" s="61"/>
      <c r="L107" s="64"/>
      <c r="M107" s="65"/>
      <c r="N107" s="65"/>
      <c r="O107" s="65"/>
      <c r="P107" s="64"/>
      <c r="Q107" s="65"/>
      <c r="R107" s="65"/>
      <c r="S107" s="65"/>
      <c r="T107" s="64"/>
      <c r="U107" s="66"/>
      <c r="V107" s="65"/>
    </row>
    <row r="108">
      <c r="B108" s="59" t="s">
        <v>122</v>
      </c>
      <c r="C108" s="59">
        <f>if(countif(F106:F107,F108)&gt;1,0,8)</f>
        <v>8</v>
      </c>
      <c r="D108" s="59"/>
      <c r="E108" s="61"/>
      <c r="F108" s="62"/>
      <c r="G108" s="61"/>
      <c r="H108" s="62"/>
      <c r="I108" s="63"/>
      <c r="J108" s="61"/>
      <c r="K108" s="61"/>
      <c r="L108" s="64"/>
      <c r="M108" s="65"/>
      <c r="N108" s="65"/>
      <c r="O108" s="65"/>
      <c r="P108" s="64"/>
      <c r="Q108" s="65"/>
      <c r="R108" s="65"/>
      <c r="S108" s="65"/>
      <c r="T108" s="64"/>
      <c r="U108" s="66"/>
      <c r="V108" s="65"/>
    </row>
    <row r="109">
      <c r="B109" s="59" t="s">
        <v>123</v>
      </c>
      <c r="C109" s="59">
        <f>if(countif(F106:F108,F109)&gt;1,0,7)</f>
        <v>7</v>
      </c>
      <c r="D109" s="59"/>
      <c r="E109" s="61"/>
      <c r="F109" s="62"/>
      <c r="G109" s="61"/>
      <c r="H109" s="62"/>
      <c r="I109" s="63"/>
      <c r="J109" s="61"/>
      <c r="K109" s="61"/>
      <c r="L109" s="64"/>
      <c r="M109" s="65"/>
      <c r="N109" s="65"/>
      <c r="O109" s="65"/>
      <c r="P109" s="64"/>
      <c r="Q109" s="65"/>
      <c r="R109" s="65"/>
      <c r="S109" s="65"/>
      <c r="T109" s="64"/>
      <c r="U109" s="66"/>
      <c r="V109" s="65"/>
    </row>
    <row r="110">
      <c r="B110" s="59" t="s">
        <v>124</v>
      </c>
      <c r="C110" s="59">
        <f>if(countif(F106:F109,F110)&gt;1,0,6)</f>
        <v>6</v>
      </c>
      <c r="D110" s="59"/>
      <c r="E110" s="61"/>
      <c r="F110" s="62"/>
      <c r="G110" s="61"/>
      <c r="H110" s="62"/>
      <c r="I110" s="63"/>
      <c r="J110" s="61"/>
      <c r="K110" s="61"/>
      <c r="L110" s="64"/>
      <c r="M110" s="65"/>
      <c r="N110" s="65"/>
      <c r="O110" s="65"/>
      <c r="P110" s="64"/>
      <c r="Q110" s="65"/>
      <c r="R110" s="65"/>
      <c r="S110" s="65"/>
      <c r="T110" s="64"/>
      <c r="U110" s="66"/>
      <c r="V110" s="65"/>
    </row>
    <row r="111">
      <c r="B111" s="59" t="s">
        <v>125</v>
      </c>
      <c r="C111" s="59">
        <f>if(countif(F106:F110,F111)&gt;1,0,5)</f>
        <v>5</v>
      </c>
      <c r="D111" s="59"/>
      <c r="E111" s="61"/>
      <c r="F111" s="62"/>
      <c r="G111" s="61"/>
      <c r="H111" s="62"/>
      <c r="I111" s="63"/>
      <c r="J111" s="61"/>
      <c r="K111" s="61"/>
      <c r="L111" s="64"/>
      <c r="M111" s="65"/>
      <c r="N111" s="65"/>
      <c r="O111" s="65"/>
      <c r="P111" s="64"/>
      <c r="Q111" s="65"/>
      <c r="R111" s="65"/>
      <c r="S111" s="65"/>
      <c r="T111" s="64"/>
      <c r="U111" s="66"/>
      <c r="V111" s="65"/>
    </row>
    <row r="112">
      <c r="B112" s="59" t="s">
        <v>126</v>
      </c>
      <c r="C112" s="59">
        <f>if(countif(F106:F111,F112)&gt;1,0,4)</f>
        <v>4</v>
      </c>
      <c r="D112" s="59"/>
      <c r="E112" s="61"/>
      <c r="F112" s="62"/>
      <c r="G112" s="61"/>
      <c r="H112" s="62"/>
      <c r="I112" s="63"/>
      <c r="J112" s="61"/>
      <c r="K112" s="61"/>
      <c r="L112" s="64"/>
      <c r="M112" s="65"/>
      <c r="N112" s="65"/>
      <c r="O112" s="65"/>
      <c r="P112" s="64"/>
      <c r="Q112" s="65"/>
      <c r="R112" s="65"/>
      <c r="S112" s="65"/>
      <c r="T112" s="64"/>
      <c r="U112" s="66"/>
      <c r="V112" s="65"/>
    </row>
    <row r="113">
      <c r="B113" s="59" t="s">
        <v>127</v>
      </c>
      <c r="C113" s="59">
        <f>if(countif(F106:F112,F113)&gt;1,0,3)</f>
        <v>3</v>
      </c>
      <c r="D113" s="59"/>
      <c r="E113" s="61"/>
      <c r="F113" s="62"/>
      <c r="G113" s="61"/>
      <c r="H113" s="62"/>
      <c r="I113" s="63"/>
      <c r="J113" s="61"/>
      <c r="K113" s="61"/>
      <c r="L113" s="64"/>
      <c r="M113" s="65"/>
      <c r="N113" s="65"/>
      <c r="O113" s="65"/>
      <c r="P113" s="64"/>
      <c r="Q113" s="65"/>
      <c r="R113" s="65"/>
      <c r="S113" s="65"/>
      <c r="T113" s="64"/>
      <c r="U113" s="66"/>
      <c r="V113" s="65"/>
    </row>
    <row r="114">
      <c r="B114" s="59" t="s">
        <v>128</v>
      </c>
      <c r="C114" s="59">
        <f>if(countif(F106:F113,F114)&gt;1,0,2)</f>
        <v>2</v>
      </c>
      <c r="D114" s="59"/>
      <c r="E114" s="61"/>
      <c r="F114" s="62"/>
      <c r="G114" s="61"/>
      <c r="H114" s="62"/>
      <c r="I114" s="63"/>
      <c r="J114" s="61"/>
      <c r="K114" s="61"/>
      <c r="L114" s="64"/>
      <c r="M114" s="65"/>
      <c r="N114" s="65"/>
      <c r="O114" s="65"/>
      <c r="P114" s="64"/>
      <c r="Q114" s="65"/>
      <c r="R114" s="65"/>
      <c r="S114" s="65"/>
      <c r="T114" s="64"/>
      <c r="U114" s="66"/>
      <c r="V114" s="65"/>
    </row>
    <row r="115">
      <c r="B115" s="59" t="s">
        <v>129</v>
      </c>
      <c r="C115" s="59">
        <f>if(countif(F106:F114,F115)&gt;1,0,1)</f>
        <v>1</v>
      </c>
      <c r="D115" s="59"/>
      <c r="E115" s="61"/>
      <c r="F115" s="62"/>
      <c r="G115" s="61"/>
      <c r="H115" s="62"/>
      <c r="I115" s="63"/>
      <c r="J115" s="61"/>
      <c r="K115" s="61"/>
      <c r="L115" s="64"/>
      <c r="M115" s="65"/>
      <c r="N115" s="65"/>
      <c r="O115" s="65"/>
      <c r="P115" s="64"/>
      <c r="Q115" s="65"/>
      <c r="R115" s="65"/>
      <c r="S115" s="65"/>
      <c r="T115" s="64"/>
      <c r="U115" s="66"/>
      <c r="V115" s="65"/>
    </row>
    <row r="116">
      <c r="A116" s="73">
        <v>242.0</v>
      </c>
      <c r="B116" s="68" t="s">
        <v>120</v>
      </c>
      <c r="C116" s="68">
        <v>12.0</v>
      </c>
      <c r="D116" s="68" t="str">
        <f>IFERROR(__xludf.DUMMYFUNCTION("ARRAY_CONSTRAIN(sort(filter(W_Tie_Breaker!D6:X285,W_Tie_Breaker!D6:D285=""242 W""),18,false,4,true,20,false,21,true),10,19)"),"#N/A")</f>
        <v>#N/A</v>
      </c>
      <c r="E116" s="69"/>
      <c r="F116" s="70"/>
      <c r="G116" s="69"/>
      <c r="H116" s="70"/>
      <c r="I116" s="71"/>
      <c r="J116" s="69"/>
      <c r="K116" s="69"/>
      <c r="L116" s="64"/>
      <c r="M116" s="72"/>
      <c r="N116" s="72"/>
      <c r="O116" s="72"/>
      <c r="P116" s="64"/>
      <c r="Q116" s="72"/>
      <c r="R116" s="72"/>
      <c r="S116" s="72"/>
      <c r="T116" s="64"/>
      <c r="U116" s="66"/>
      <c r="V116" s="72"/>
    </row>
    <row r="117">
      <c r="B117" s="68" t="s">
        <v>121</v>
      </c>
      <c r="C117" s="68">
        <v>9.0</v>
      </c>
      <c r="D117" s="68"/>
      <c r="E117" s="69"/>
      <c r="F117" s="70"/>
      <c r="G117" s="69"/>
      <c r="H117" s="70"/>
      <c r="I117" s="71"/>
      <c r="J117" s="69"/>
      <c r="K117" s="69"/>
      <c r="L117" s="64"/>
      <c r="M117" s="72"/>
      <c r="N117" s="72"/>
      <c r="O117" s="72"/>
      <c r="P117" s="64"/>
      <c r="Q117" s="72"/>
      <c r="R117" s="72"/>
      <c r="S117" s="72"/>
      <c r="T117" s="64"/>
      <c r="U117" s="66"/>
      <c r="V117" s="72"/>
    </row>
    <row r="118">
      <c r="B118" s="68" t="s">
        <v>122</v>
      </c>
      <c r="C118" s="68">
        <f>if(countif(F116:F117,F118)&gt;1,0,8)</f>
        <v>8</v>
      </c>
      <c r="D118" s="68"/>
      <c r="E118" s="69"/>
      <c r="F118" s="70"/>
      <c r="G118" s="69"/>
      <c r="H118" s="70"/>
      <c r="I118" s="71"/>
      <c r="J118" s="69"/>
      <c r="K118" s="69"/>
      <c r="L118" s="64"/>
      <c r="M118" s="72"/>
      <c r="N118" s="72"/>
      <c r="O118" s="72"/>
      <c r="P118" s="64"/>
      <c r="Q118" s="72"/>
      <c r="R118" s="72"/>
      <c r="S118" s="72"/>
      <c r="T118" s="64"/>
      <c r="U118" s="66"/>
      <c r="V118" s="72"/>
    </row>
    <row r="119">
      <c r="B119" s="68" t="s">
        <v>123</v>
      </c>
      <c r="C119" s="68">
        <f>if(countif(F116:F118,F119)&gt;1,0,7)</f>
        <v>7</v>
      </c>
      <c r="D119" s="68"/>
      <c r="E119" s="69"/>
      <c r="F119" s="70"/>
      <c r="G119" s="69"/>
      <c r="H119" s="70"/>
      <c r="I119" s="71"/>
      <c r="J119" s="69"/>
      <c r="K119" s="69"/>
      <c r="L119" s="64"/>
      <c r="M119" s="72"/>
      <c r="N119" s="72"/>
      <c r="O119" s="72"/>
      <c r="P119" s="64"/>
      <c r="Q119" s="72"/>
      <c r="R119" s="72"/>
      <c r="S119" s="72"/>
      <c r="T119" s="64"/>
      <c r="U119" s="66"/>
      <c r="V119" s="72"/>
    </row>
    <row r="120">
      <c r="B120" s="68" t="s">
        <v>124</v>
      </c>
      <c r="C120" s="68">
        <f>if(countif(F116:F119,F120)&gt;1,0,6)</f>
        <v>6</v>
      </c>
      <c r="D120" s="68"/>
      <c r="E120" s="69"/>
      <c r="F120" s="70"/>
      <c r="G120" s="69"/>
      <c r="H120" s="70"/>
      <c r="I120" s="71"/>
      <c r="J120" s="69"/>
      <c r="K120" s="69"/>
      <c r="L120" s="64"/>
      <c r="M120" s="72"/>
      <c r="N120" s="72"/>
      <c r="O120" s="72"/>
      <c r="P120" s="64"/>
      <c r="Q120" s="72"/>
      <c r="R120" s="72"/>
      <c r="S120" s="72"/>
      <c r="T120" s="64"/>
      <c r="U120" s="66"/>
      <c r="V120" s="72"/>
    </row>
    <row r="121">
      <c r="B121" s="68" t="s">
        <v>125</v>
      </c>
      <c r="C121" s="68">
        <f>if(countif(F116:F120,F121)&gt;1,0,5)</f>
        <v>5</v>
      </c>
      <c r="D121" s="68"/>
      <c r="E121" s="69"/>
      <c r="F121" s="70"/>
      <c r="G121" s="69"/>
      <c r="H121" s="70"/>
      <c r="I121" s="71"/>
      <c r="J121" s="69"/>
      <c r="K121" s="69"/>
      <c r="L121" s="64"/>
      <c r="M121" s="72"/>
      <c r="N121" s="72"/>
      <c r="O121" s="72"/>
      <c r="P121" s="64"/>
      <c r="Q121" s="72"/>
      <c r="R121" s="72"/>
      <c r="S121" s="72"/>
      <c r="T121" s="64"/>
      <c r="U121" s="66"/>
      <c r="V121" s="72"/>
    </row>
    <row r="122">
      <c r="B122" s="68" t="s">
        <v>126</v>
      </c>
      <c r="C122" s="68">
        <f>if(countif(F116:F121,F122)&gt;1,0,4)</f>
        <v>4</v>
      </c>
      <c r="D122" s="68"/>
      <c r="E122" s="69"/>
      <c r="F122" s="70"/>
      <c r="G122" s="69"/>
      <c r="H122" s="70"/>
      <c r="I122" s="71"/>
      <c r="J122" s="69"/>
      <c r="K122" s="69"/>
      <c r="L122" s="64"/>
      <c r="M122" s="72"/>
      <c r="N122" s="72"/>
      <c r="O122" s="72"/>
      <c r="P122" s="64"/>
      <c r="Q122" s="72"/>
      <c r="R122" s="72"/>
      <c r="S122" s="72"/>
      <c r="T122" s="64"/>
      <c r="U122" s="66"/>
      <c r="V122" s="72"/>
    </row>
    <row r="123">
      <c r="B123" s="68" t="s">
        <v>127</v>
      </c>
      <c r="C123" s="68">
        <f>if(countif(F116:F122,F123)&gt;1,0,3)</f>
        <v>3</v>
      </c>
      <c r="D123" s="68"/>
      <c r="E123" s="69"/>
      <c r="F123" s="70"/>
      <c r="G123" s="69"/>
      <c r="H123" s="70"/>
      <c r="I123" s="71"/>
      <c r="J123" s="69"/>
      <c r="K123" s="69"/>
      <c r="L123" s="64"/>
      <c r="M123" s="72"/>
      <c r="N123" s="72"/>
      <c r="O123" s="72"/>
      <c r="P123" s="64"/>
      <c r="Q123" s="72"/>
      <c r="R123" s="72"/>
      <c r="S123" s="72"/>
      <c r="T123" s="64"/>
      <c r="U123" s="66"/>
      <c r="V123" s="72"/>
    </row>
    <row r="124">
      <c r="B124" s="68" t="s">
        <v>128</v>
      </c>
      <c r="C124" s="68">
        <f>if(countif(F116:F123,F124)&gt;1,0,2)</f>
        <v>2</v>
      </c>
      <c r="D124" s="68"/>
      <c r="E124" s="69"/>
      <c r="F124" s="70"/>
      <c r="G124" s="69"/>
      <c r="H124" s="70"/>
      <c r="I124" s="71"/>
      <c r="J124" s="69"/>
      <c r="K124" s="69"/>
      <c r="L124" s="64"/>
      <c r="M124" s="72"/>
      <c r="N124" s="72"/>
      <c r="O124" s="72"/>
      <c r="P124" s="64"/>
      <c r="Q124" s="72"/>
      <c r="R124" s="72"/>
      <c r="S124" s="72"/>
      <c r="T124" s="64"/>
      <c r="U124" s="66"/>
      <c r="V124" s="72"/>
    </row>
    <row r="125">
      <c r="B125" s="68" t="s">
        <v>129</v>
      </c>
      <c r="C125" s="68">
        <f>if(countif(F116:F124,F125)&gt;1,0,1)</f>
        <v>1</v>
      </c>
      <c r="D125" s="68"/>
      <c r="E125" s="69"/>
      <c r="F125" s="70"/>
      <c r="G125" s="69"/>
      <c r="H125" s="70"/>
      <c r="I125" s="71"/>
      <c r="J125" s="69"/>
      <c r="K125" s="69"/>
      <c r="L125" s="64"/>
      <c r="M125" s="72"/>
      <c r="N125" s="72"/>
      <c r="O125" s="72"/>
      <c r="P125" s="64"/>
      <c r="Q125" s="72"/>
      <c r="R125" s="72"/>
      <c r="S125" s="72"/>
      <c r="T125" s="64"/>
      <c r="U125" s="66"/>
      <c r="V125" s="72"/>
    </row>
    <row r="126">
      <c r="A126" s="58" t="s">
        <v>130</v>
      </c>
      <c r="B126" s="59" t="s">
        <v>120</v>
      </c>
      <c r="C126" s="59">
        <v>12.0</v>
      </c>
      <c r="D126" s="59" t="str">
        <f>IFERROR(__xludf.DUMMYFUNCTION("ARRAY_CONSTRAIN(sort(filter(W_Tie_Breaker!D6:X285,W_Tie_Breaker!D6:D285=""SHW W""),18,false,4,true,20,false,21,true),10,19)"),"#N/A")</f>
        <v>#N/A</v>
      </c>
      <c r="E126" s="61"/>
      <c r="F126" s="62"/>
      <c r="G126" s="61"/>
      <c r="H126" s="62"/>
      <c r="I126" s="63"/>
      <c r="J126" s="61"/>
      <c r="K126" s="61"/>
      <c r="L126" s="64"/>
      <c r="M126" s="65"/>
      <c r="N126" s="65"/>
      <c r="O126" s="65"/>
      <c r="P126" s="64"/>
      <c r="Q126" s="65"/>
      <c r="R126" s="65"/>
      <c r="S126" s="65"/>
      <c r="T126" s="64"/>
      <c r="U126" s="66"/>
      <c r="V126" s="65"/>
      <c r="W126" s="57"/>
    </row>
    <row r="127">
      <c r="B127" s="59" t="s">
        <v>121</v>
      </c>
      <c r="C127" s="59">
        <v>9.0</v>
      </c>
      <c r="D127" s="59"/>
      <c r="E127" s="61"/>
      <c r="F127" s="62"/>
      <c r="G127" s="61"/>
      <c r="H127" s="62"/>
      <c r="I127" s="63"/>
      <c r="J127" s="61"/>
      <c r="K127" s="61"/>
      <c r="L127" s="64"/>
      <c r="M127" s="65"/>
      <c r="N127" s="65"/>
      <c r="O127" s="65"/>
      <c r="P127" s="64"/>
      <c r="Q127" s="65"/>
      <c r="R127" s="65"/>
      <c r="S127" s="65"/>
      <c r="T127" s="64"/>
      <c r="U127" s="66"/>
      <c r="V127" s="65"/>
      <c r="W127" s="57"/>
    </row>
    <row r="128">
      <c r="B128" s="59" t="s">
        <v>122</v>
      </c>
      <c r="C128" s="59">
        <f>if(countif(F126:F127,F128)&gt;1,0,8)</f>
        <v>8</v>
      </c>
      <c r="D128" s="59"/>
      <c r="E128" s="61"/>
      <c r="F128" s="62"/>
      <c r="G128" s="61"/>
      <c r="H128" s="62"/>
      <c r="I128" s="63"/>
      <c r="J128" s="61"/>
      <c r="K128" s="61"/>
      <c r="L128" s="64"/>
      <c r="M128" s="65"/>
      <c r="N128" s="65"/>
      <c r="O128" s="65"/>
      <c r="P128" s="64"/>
      <c r="Q128" s="65"/>
      <c r="R128" s="65"/>
      <c r="S128" s="65"/>
      <c r="T128" s="64"/>
      <c r="U128" s="66"/>
      <c r="V128" s="65"/>
      <c r="W128" s="57"/>
    </row>
    <row r="129">
      <c r="B129" s="59" t="s">
        <v>123</v>
      </c>
      <c r="C129" s="59">
        <f>if(countif(F126:F128,F129)&gt;1,0,7)</f>
        <v>7</v>
      </c>
      <c r="D129" s="59"/>
      <c r="E129" s="61"/>
      <c r="F129" s="62"/>
      <c r="G129" s="61"/>
      <c r="H129" s="62"/>
      <c r="I129" s="63"/>
      <c r="J129" s="61"/>
      <c r="K129" s="61"/>
      <c r="L129" s="64"/>
      <c r="M129" s="65"/>
      <c r="N129" s="65"/>
      <c r="O129" s="65"/>
      <c r="P129" s="64"/>
      <c r="Q129" s="65"/>
      <c r="R129" s="65"/>
      <c r="S129" s="65"/>
      <c r="T129" s="64"/>
      <c r="U129" s="66"/>
      <c r="V129" s="65"/>
      <c r="W129" s="57"/>
    </row>
    <row r="130">
      <c r="B130" s="59" t="s">
        <v>124</v>
      </c>
      <c r="C130" s="59">
        <f>if(countif(F126:F129,F130)&gt;1,0,6)</f>
        <v>6</v>
      </c>
      <c r="D130" s="59"/>
      <c r="E130" s="61"/>
      <c r="F130" s="62"/>
      <c r="G130" s="61"/>
      <c r="H130" s="62"/>
      <c r="I130" s="63"/>
      <c r="J130" s="61"/>
      <c r="K130" s="61"/>
      <c r="L130" s="64"/>
      <c r="M130" s="65"/>
      <c r="N130" s="65"/>
      <c r="O130" s="65"/>
      <c r="P130" s="64"/>
      <c r="Q130" s="65"/>
      <c r="R130" s="65"/>
      <c r="S130" s="65"/>
      <c r="T130" s="64"/>
      <c r="U130" s="66"/>
      <c r="V130" s="65"/>
      <c r="W130" s="57"/>
    </row>
    <row r="131">
      <c r="B131" s="59" t="s">
        <v>125</v>
      </c>
      <c r="C131" s="59">
        <f>if(countif(F126:F130,F131)&gt;1,0,5)</f>
        <v>5</v>
      </c>
      <c r="D131" s="59"/>
      <c r="E131" s="61"/>
      <c r="F131" s="62"/>
      <c r="G131" s="61"/>
      <c r="H131" s="62"/>
      <c r="I131" s="63"/>
      <c r="J131" s="61"/>
      <c r="K131" s="61"/>
      <c r="L131" s="64"/>
      <c r="M131" s="65"/>
      <c r="N131" s="65"/>
      <c r="O131" s="65"/>
      <c r="P131" s="64"/>
      <c r="Q131" s="65"/>
      <c r="R131" s="65"/>
      <c r="S131" s="65"/>
      <c r="T131" s="64"/>
      <c r="U131" s="66"/>
      <c r="V131" s="65"/>
      <c r="W131" s="57"/>
    </row>
    <row r="132">
      <c r="B132" s="59" t="s">
        <v>126</v>
      </c>
      <c r="C132" s="59">
        <f>if(countif(F126:F131,F132)&gt;1,0,4)</f>
        <v>4</v>
      </c>
      <c r="D132" s="59"/>
      <c r="E132" s="61"/>
      <c r="F132" s="62"/>
      <c r="G132" s="61"/>
      <c r="H132" s="62"/>
      <c r="I132" s="63"/>
      <c r="J132" s="61"/>
      <c r="K132" s="61"/>
      <c r="L132" s="64"/>
      <c r="M132" s="65"/>
      <c r="N132" s="65"/>
      <c r="O132" s="65"/>
      <c r="P132" s="64"/>
      <c r="Q132" s="65"/>
      <c r="R132" s="65"/>
      <c r="S132" s="65"/>
      <c r="T132" s="64"/>
      <c r="U132" s="66"/>
      <c r="V132" s="65"/>
      <c r="W132" s="57"/>
    </row>
    <row r="133">
      <c r="B133" s="59" t="s">
        <v>127</v>
      </c>
      <c r="C133" s="59">
        <f>if(countif(F126:F132,F133)&gt;1,0,3)</f>
        <v>3</v>
      </c>
      <c r="D133" s="59"/>
      <c r="E133" s="61"/>
      <c r="F133" s="62"/>
      <c r="G133" s="61"/>
      <c r="H133" s="62"/>
      <c r="I133" s="63"/>
      <c r="J133" s="61"/>
      <c r="K133" s="61"/>
      <c r="L133" s="64"/>
      <c r="M133" s="65"/>
      <c r="N133" s="65"/>
      <c r="O133" s="65"/>
      <c r="P133" s="64"/>
      <c r="Q133" s="65"/>
      <c r="R133" s="65"/>
      <c r="S133" s="65"/>
      <c r="T133" s="64"/>
      <c r="U133" s="66"/>
      <c r="V133" s="65"/>
      <c r="W133" s="57"/>
    </row>
    <row r="134">
      <c r="B134" s="59" t="s">
        <v>128</v>
      </c>
      <c r="C134" s="59">
        <f>if(countif(F126:F133,F134)&gt;1,0,2)</f>
        <v>2</v>
      </c>
      <c r="D134" s="59"/>
      <c r="E134" s="61"/>
      <c r="F134" s="62"/>
      <c r="G134" s="61"/>
      <c r="H134" s="62"/>
      <c r="I134" s="63"/>
      <c r="J134" s="61"/>
      <c r="K134" s="61"/>
      <c r="L134" s="64"/>
      <c r="M134" s="65"/>
      <c r="N134" s="65"/>
      <c r="O134" s="65"/>
      <c r="P134" s="64"/>
      <c r="Q134" s="65"/>
      <c r="R134" s="65"/>
      <c r="S134" s="65"/>
      <c r="T134" s="64"/>
      <c r="U134" s="66"/>
      <c r="V134" s="65"/>
      <c r="W134" s="57"/>
    </row>
    <row r="135">
      <c r="B135" s="59" t="s">
        <v>129</v>
      </c>
      <c r="C135" s="59">
        <f>if(countif(F126:F134,F135)&gt;1,0,1)</f>
        <v>1</v>
      </c>
      <c r="D135" s="59"/>
      <c r="E135" s="61"/>
      <c r="F135" s="62"/>
      <c r="G135" s="61"/>
      <c r="H135" s="62"/>
      <c r="I135" s="63"/>
      <c r="J135" s="61"/>
      <c r="K135" s="61"/>
      <c r="L135" s="64"/>
      <c r="M135" s="65"/>
      <c r="N135" s="65"/>
      <c r="O135" s="65"/>
      <c r="P135" s="64"/>
      <c r="Q135" s="65"/>
      <c r="R135" s="65"/>
      <c r="S135" s="65"/>
      <c r="T135" s="64"/>
      <c r="U135" s="66"/>
      <c r="V135" s="65"/>
      <c r="W135" s="57"/>
    </row>
  </sheetData>
  <mergeCells count="19">
    <mergeCell ref="A76:A85"/>
    <mergeCell ref="A86:A95"/>
    <mergeCell ref="A66:A75"/>
    <mergeCell ref="A56:A65"/>
    <mergeCell ref="A36:A45"/>
    <mergeCell ref="A46:A55"/>
    <mergeCell ref="A126:A135"/>
    <mergeCell ref="A116:A125"/>
    <mergeCell ref="A106:A115"/>
    <mergeCell ref="A96:A105"/>
    <mergeCell ref="Q5:S5"/>
    <mergeCell ref="W5:W125"/>
    <mergeCell ref="A26:A35"/>
    <mergeCell ref="A16:A25"/>
    <mergeCell ref="A4:W4"/>
    <mergeCell ref="A1:W3"/>
    <mergeCell ref="M5:O5"/>
    <mergeCell ref="I5:K5"/>
    <mergeCell ref="A6:A15"/>
  </mergeCells>
  <conditionalFormatting sqref="U5">
    <cfRule type="containsText" dxfId="0" priority="1" operator="containsText" text="There are same totals">
      <formula>NOT(ISERROR(SEARCH(("There are same totals"),(U5))))</formula>
    </cfRule>
  </conditionalFormatting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5.43"/>
    <col customWidth="1" min="2" max="2" width="4.71"/>
    <col customWidth="1" min="3" max="3" width="5.71"/>
    <col customWidth="1" min="4" max="4" width="7.29"/>
    <col customWidth="1" min="5" max="5" width="7.86"/>
    <col customWidth="1" min="6" max="6" width="15.86"/>
    <col customWidth="1" min="7" max="7" width="8.0"/>
    <col customWidth="1" min="8" max="8" width="16.43"/>
    <col customWidth="1" min="9" max="20" width="6.0"/>
    <col customWidth="1" min="21" max="21" width="6.14"/>
    <col customWidth="1" min="22" max="22" width="9.29"/>
    <col customWidth="1" min="23" max="23" width="4.14"/>
  </cols>
  <sheetData>
    <row r="1">
      <c r="A1" s="56" t="s">
        <v>133</v>
      </c>
    </row>
    <row r="4" ht="3.0" customHeight="1">
      <c r="A4" s="4"/>
    </row>
    <row r="5" ht="18.75" customHeight="1">
      <c r="A5" s="14"/>
      <c r="B5" s="14"/>
      <c r="C5" s="14"/>
      <c r="D5" s="14"/>
      <c r="E5" s="16" t="s">
        <v>105</v>
      </c>
      <c r="F5" s="18" t="s">
        <v>22</v>
      </c>
      <c r="G5" s="57" t="s">
        <v>23</v>
      </c>
      <c r="H5" s="18" t="s">
        <v>25</v>
      </c>
      <c r="I5" s="57" t="s">
        <v>115</v>
      </c>
      <c r="L5" s="57"/>
      <c r="M5" s="57" t="s">
        <v>116</v>
      </c>
      <c r="P5" s="57"/>
      <c r="Q5" s="57" t="s">
        <v>117</v>
      </c>
      <c r="T5" s="57"/>
      <c r="U5" s="57" t="s">
        <v>118</v>
      </c>
      <c r="V5" s="57" t="s">
        <v>119</v>
      </c>
      <c r="W5" s="57"/>
    </row>
    <row r="6">
      <c r="A6" s="58">
        <v>114.0</v>
      </c>
      <c r="B6" s="59" t="s">
        <v>120</v>
      </c>
      <c r="C6" s="59">
        <v>12.0</v>
      </c>
      <c r="D6" s="60" t="str">
        <f>IFERROR(__xludf.DUMMYFUNCTION("ARRAY_CONSTRAIN(sort(filter(Mens_JV_Tie_Breaker!D6:X265,Mens_JV_Tie_Breaker!D6:D265=""114 JV""),18,false,4,true,20,false,21,true),10,19)"),"#N/A")</f>
        <v>#N/A</v>
      </c>
      <c r="E6" s="61"/>
      <c r="F6" s="62"/>
      <c r="G6" s="61"/>
      <c r="H6" s="62"/>
      <c r="I6" s="63"/>
      <c r="J6" s="61"/>
      <c r="K6" s="61"/>
      <c r="L6" s="64"/>
      <c r="M6" s="65"/>
      <c r="N6" s="65"/>
      <c r="O6" s="65"/>
      <c r="P6" s="64"/>
      <c r="Q6" s="65"/>
      <c r="R6" s="65"/>
      <c r="S6" s="65"/>
      <c r="T6" s="64"/>
      <c r="U6" s="66"/>
      <c r="V6" s="65"/>
    </row>
    <row r="7">
      <c r="B7" s="59" t="s">
        <v>121</v>
      </c>
      <c r="C7" s="59">
        <v>9.0</v>
      </c>
      <c r="D7" s="59"/>
      <c r="E7" s="61"/>
      <c r="F7" s="62"/>
      <c r="G7" s="61"/>
      <c r="H7" s="62"/>
      <c r="I7" s="63"/>
      <c r="J7" s="61"/>
      <c r="K7" s="61"/>
      <c r="L7" s="64"/>
      <c r="M7" s="65"/>
      <c r="N7" s="65"/>
      <c r="O7" s="65"/>
      <c r="P7" s="64"/>
      <c r="Q7" s="65"/>
      <c r="R7" s="65"/>
      <c r="S7" s="65"/>
      <c r="T7" s="64"/>
      <c r="U7" s="66"/>
      <c r="V7" s="65"/>
    </row>
    <row r="8">
      <c r="B8" s="59" t="s">
        <v>122</v>
      </c>
      <c r="C8" s="59">
        <f>if(countif(F6:F7,F8)&gt;1,0,8)</f>
        <v>8</v>
      </c>
      <c r="D8" s="59"/>
      <c r="E8" s="61"/>
      <c r="F8" s="62"/>
      <c r="G8" s="61"/>
      <c r="H8" s="62"/>
      <c r="I8" s="63"/>
      <c r="J8" s="61"/>
      <c r="K8" s="61"/>
      <c r="L8" s="64"/>
      <c r="M8" s="65"/>
      <c r="N8" s="65"/>
      <c r="O8" s="65"/>
      <c r="P8" s="64"/>
      <c r="Q8" s="65"/>
      <c r="R8" s="65"/>
      <c r="S8" s="65"/>
      <c r="T8" s="64"/>
      <c r="U8" s="66"/>
      <c r="V8" s="65"/>
    </row>
    <row r="9">
      <c r="B9" s="59" t="s">
        <v>123</v>
      </c>
      <c r="C9" s="59">
        <f>if(countif(F6:F8,F9)&gt;1,0,7)</f>
        <v>7</v>
      </c>
      <c r="D9" s="59"/>
      <c r="E9" s="61"/>
      <c r="F9" s="62"/>
      <c r="G9" s="61"/>
      <c r="H9" s="62"/>
      <c r="I9" s="63"/>
      <c r="J9" s="61"/>
      <c r="K9" s="61"/>
      <c r="L9" s="64"/>
      <c r="M9" s="65"/>
      <c r="N9" s="65"/>
      <c r="O9" s="65"/>
      <c r="P9" s="64"/>
      <c r="Q9" s="65"/>
      <c r="R9" s="65"/>
      <c r="S9" s="65"/>
      <c r="T9" s="64"/>
      <c r="U9" s="66"/>
      <c r="V9" s="65"/>
    </row>
    <row r="10">
      <c r="B10" s="59" t="s">
        <v>124</v>
      </c>
      <c r="C10" s="59">
        <f>if(countif(F6:F9,F10)&gt;1,0,6)</f>
        <v>6</v>
      </c>
      <c r="D10" s="59"/>
      <c r="E10" s="61"/>
      <c r="F10" s="62"/>
      <c r="G10" s="61"/>
      <c r="H10" s="62"/>
      <c r="I10" s="63"/>
      <c r="J10" s="61"/>
      <c r="K10" s="61"/>
      <c r="L10" s="64"/>
      <c r="M10" s="65"/>
      <c r="N10" s="65"/>
      <c r="O10" s="65"/>
      <c r="P10" s="64"/>
      <c r="Q10" s="65"/>
      <c r="R10" s="65"/>
      <c r="S10" s="65"/>
      <c r="T10" s="64"/>
      <c r="U10" s="66"/>
      <c r="V10" s="65"/>
    </row>
    <row r="11">
      <c r="B11" s="59" t="s">
        <v>125</v>
      </c>
      <c r="C11" s="59">
        <f>if(countif(F6:F10,F11)&gt;1,0,5)</f>
        <v>5</v>
      </c>
      <c r="D11" s="59"/>
      <c r="E11" s="61"/>
      <c r="F11" s="62"/>
      <c r="G11" s="61"/>
      <c r="H11" s="62"/>
      <c r="I11" s="63"/>
      <c r="J11" s="61"/>
      <c r="K11" s="61"/>
      <c r="L11" s="64"/>
      <c r="M11" s="65"/>
      <c r="N11" s="65"/>
      <c r="O11" s="65"/>
      <c r="P11" s="64"/>
      <c r="Q11" s="65"/>
      <c r="R11" s="65"/>
      <c r="S11" s="65"/>
      <c r="T11" s="64"/>
      <c r="U11" s="66"/>
      <c r="V11" s="65"/>
    </row>
    <row r="12">
      <c r="B12" s="59" t="s">
        <v>126</v>
      </c>
      <c r="C12" s="59">
        <f>if(countif(F6:F11,F12)&gt;1,0,4)</f>
        <v>4</v>
      </c>
      <c r="D12" s="59"/>
      <c r="E12" s="61"/>
      <c r="F12" s="62"/>
      <c r="G12" s="61"/>
      <c r="H12" s="62"/>
      <c r="I12" s="63"/>
      <c r="J12" s="61"/>
      <c r="K12" s="61"/>
      <c r="L12" s="64"/>
      <c r="M12" s="65"/>
      <c r="N12" s="65"/>
      <c r="O12" s="65"/>
      <c r="P12" s="64"/>
      <c r="Q12" s="65"/>
      <c r="R12" s="65"/>
      <c r="S12" s="65"/>
      <c r="T12" s="64"/>
      <c r="U12" s="66"/>
      <c r="V12" s="65"/>
    </row>
    <row r="13">
      <c r="B13" s="59" t="s">
        <v>127</v>
      </c>
      <c r="C13" s="59">
        <f>if(countif(F6:F12,F13)&gt;1,0,3)</f>
        <v>3</v>
      </c>
      <c r="D13" s="59"/>
      <c r="E13" s="61"/>
      <c r="F13" s="62"/>
      <c r="G13" s="61"/>
      <c r="H13" s="62"/>
      <c r="I13" s="63"/>
      <c r="J13" s="61"/>
      <c r="K13" s="61"/>
      <c r="L13" s="64"/>
      <c r="M13" s="65"/>
      <c r="N13" s="65"/>
      <c r="O13" s="65"/>
      <c r="P13" s="64"/>
      <c r="Q13" s="65"/>
      <c r="R13" s="65"/>
      <c r="S13" s="65"/>
      <c r="T13" s="64"/>
      <c r="U13" s="66"/>
      <c r="V13" s="65"/>
    </row>
    <row r="14">
      <c r="B14" s="59" t="s">
        <v>128</v>
      </c>
      <c r="C14" s="59">
        <f>if(countif(F6:F13,F14)&gt;1,0,2)</f>
        <v>2</v>
      </c>
      <c r="D14" s="59"/>
      <c r="E14" s="61"/>
      <c r="F14" s="62"/>
      <c r="G14" s="61"/>
      <c r="H14" s="62"/>
      <c r="I14" s="63"/>
      <c r="J14" s="61"/>
      <c r="K14" s="61"/>
      <c r="L14" s="64"/>
      <c r="M14" s="65"/>
      <c r="N14" s="65"/>
      <c r="O14" s="65"/>
      <c r="P14" s="64"/>
      <c r="Q14" s="65"/>
      <c r="R14" s="65"/>
      <c r="S14" s="65"/>
      <c r="T14" s="64"/>
      <c r="U14" s="66"/>
      <c r="V14" s="65"/>
    </row>
    <row r="15">
      <c r="B15" s="59" t="s">
        <v>129</v>
      </c>
      <c r="C15" s="59">
        <f>if(countif(F6:F14,F15)&gt;1,0,1)</f>
        <v>1</v>
      </c>
      <c r="D15" s="59"/>
      <c r="E15" s="61"/>
      <c r="F15" s="62"/>
      <c r="G15" s="61"/>
      <c r="H15" s="62"/>
      <c r="I15" s="63"/>
      <c r="J15" s="61"/>
      <c r="K15" s="61"/>
      <c r="L15" s="64"/>
      <c r="M15" s="65"/>
      <c r="N15" s="65"/>
      <c r="O15" s="65"/>
      <c r="P15" s="64"/>
      <c r="Q15" s="65"/>
      <c r="R15" s="65"/>
      <c r="S15" s="65"/>
      <c r="T15" s="64"/>
      <c r="U15" s="66"/>
      <c r="V15" s="65"/>
    </row>
    <row r="16">
      <c r="A16" s="67">
        <v>123.0</v>
      </c>
      <c r="B16" s="68" t="s">
        <v>120</v>
      </c>
      <c r="C16" s="68">
        <v>12.0</v>
      </c>
      <c r="D16" s="68" t="str">
        <f>IFERROR(__xludf.DUMMYFUNCTION("ARRAY_CONSTRAIN(sort(filter(Mens_JV_Tie_Breaker!D6:X265,Mens_JV_Tie_Breaker!D6:D265=""123 JV""),18,false,4,true,20,false,21,true),10,19)"),"#N/A")</f>
        <v>#N/A</v>
      </c>
      <c r="E16" s="69"/>
      <c r="F16" s="70"/>
      <c r="G16" s="69"/>
      <c r="H16" s="70"/>
      <c r="I16" s="71"/>
      <c r="J16" s="69"/>
      <c r="K16" s="69"/>
      <c r="L16" s="64"/>
      <c r="M16" s="72"/>
      <c r="N16" s="72"/>
      <c r="O16" s="72"/>
      <c r="P16" s="64"/>
      <c r="Q16" s="72"/>
      <c r="R16" s="72"/>
      <c r="S16" s="72"/>
      <c r="T16" s="64"/>
      <c r="U16" s="66"/>
      <c r="V16" s="72"/>
    </row>
    <row r="17">
      <c r="B17" s="68" t="s">
        <v>121</v>
      </c>
      <c r="C17" s="68">
        <v>9.0</v>
      </c>
      <c r="D17" s="68"/>
      <c r="E17" s="69"/>
      <c r="F17" s="70"/>
      <c r="G17" s="69"/>
      <c r="H17" s="70"/>
      <c r="I17" s="71"/>
      <c r="J17" s="69"/>
      <c r="K17" s="69"/>
      <c r="L17" s="64"/>
      <c r="M17" s="72"/>
      <c r="N17" s="72"/>
      <c r="O17" s="72"/>
      <c r="P17" s="64"/>
      <c r="Q17" s="72"/>
      <c r="R17" s="72"/>
      <c r="S17" s="72"/>
      <c r="T17" s="64"/>
      <c r="U17" s="66"/>
      <c r="V17" s="72"/>
    </row>
    <row r="18">
      <c r="B18" s="68" t="s">
        <v>122</v>
      </c>
      <c r="C18" s="68">
        <f>if(countif(F16:F17,F18)&gt;1,0,8)</f>
        <v>8</v>
      </c>
      <c r="D18" s="68"/>
      <c r="E18" s="69"/>
      <c r="F18" s="70"/>
      <c r="G18" s="69"/>
      <c r="H18" s="70"/>
      <c r="I18" s="71"/>
      <c r="J18" s="69"/>
      <c r="K18" s="69"/>
      <c r="L18" s="64"/>
      <c r="M18" s="72"/>
      <c r="N18" s="72"/>
      <c r="O18" s="72"/>
      <c r="P18" s="64"/>
      <c r="Q18" s="72"/>
      <c r="R18" s="72"/>
      <c r="S18" s="72"/>
      <c r="T18" s="64"/>
      <c r="U18" s="66"/>
      <c r="V18" s="72"/>
    </row>
    <row r="19">
      <c r="B19" s="68" t="s">
        <v>123</v>
      </c>
      <c r="C19" s="68">
        <f>if(countif(F16:F18,F19)&gt;1,0,7)</f>
        <v>7</v>
      </c>
      <c r="D19" s="68"/>
      <c r="E19" s="69"/>
      <c r="F19" s="70"/>
      <c r="G19" s="69"/>
      <c r="H19" s="70"/>
      <c r="I19" s="71"/>
      <c r="J19" s="69"/>
      <c r="K19" s="69"/>
      <c r="L19" s="64"/>
      <c r="M19" s="72"/>
      <c r="N19" s="72"/>
      <c r="O19" s="72"/>
      <c r="P19" s="64"/>
      <c r="Q19" s="72"/>
      <c r="R19" s="72"/>
      <c r="S19" s="72"/>
      <c r="T19" s="64"/>
      <c r="U19" s="66"/>
      <c r="V19" s="72"/>
    </row>
    <row r="20">
      <c r="B20" s="68" t="s">
        <v>124</v>
      </c>
      <c r="C20" s="68">
        <f>if(countif(F16:F19,F20)&gt;1,0,6)</f>
        <v>6</v>
      </c>
      <c r="D20" s="68"/>
      <c r="E20" s="69"/>
      <c r="F20" s="70"/>
      <c r="G20" s="69"/>
      <c r="H20" s="70"/>
      <c r="I20" s="71"/>
      <c r="J20" s="69"/>
      <c r="K20" s="69"/>
      <c r="L20" s="64"/>
      <c r="M20" s="72"/>
      <c r="N20" s="72"/>
      <c r="O20" s="72"/>
      <c r="P20" s="64"/>
      <c r="Q20" s="72"/>
      <c r="R20" s="72"/>
      <c r="S20" s="72"/>
      <c r="T20" s="64"/>
      <c r="U20" s="66"/>
      <c r="V20" s="72"/>
    </row>
    <row r="21">
      <c r="B21" s="68" t="s">
        <v>125</v>
      </c>
      <c r="C21" s="68">
        <f>if(countif(F16:F20,F21)&gt;1,0,5)</f>
        <v>5</v>
      </c>
      <c r="D21" s="68"/>
      <c r="E21" s="69"/>
      <c r="F21" s="70"/>
      <c r="G21" s="69"/>
      <c r="H21" s="70"/>
      <c r="I21" s="71"/>
      <c r="J21" s="69"/>
      <c r="K21" s="69"/>
      <c r="L21" s="64"/>
      <c r="M21" s="72"/>
      <c r="N21" s="72"/>
      <c r="O21" s="72"/>
      <c r="P21" s="64"/>
      <c r="Q21" s="72"/>
      <c r="R21" s="72"/>
      <c r="S21" s="72"/>
      <c r="T21" s="64"/>
      <c r="U21" s="66"/>
      <c r="V21" s="72"/>
    </row>
    <row r="22">
      <c r="B22" s="68" t="s">
        <v>126</v>
      </c>
      <c r="C22" s="68">
        <f>if(countif(F16:F21,F22)&gt;1,0,4)</f>
        <v>4</v>
      </c>
      <c r="D22" s="68"/>
      <c r="E22" s="69"/>
      <c r="F22" s="70"/>
      <c r="G22" s="69"/>
      <c r="H22" s="70"/>
      <c r="I22" s="71"/>
      <c r="J22" s="69"/>
      <c r="K22" s="69"/>
      <c r="L22" s="64"/>
      <c r="M22" s="72"/>
      <c r="N22" s="72"/>
      <c r="O22" s="72"/>
      <c r="P22" s="64"/>
      <c r="Q22" s="72"/>
      <c r="R22" s="72"/>
      <c r="S22" s="72"/>
      <c r="T22" s="64"/>
      <c r="U22" s="66"/>
      <c r="V22" s="72"/>
    </row>
    <row r="23">
      <c r="B23" s="68" t="s">
        <v>127</v>
      </c>
      <c r="C23" s="68">
        <f>if(countif(F16:F22,F23)&gt;1,0,3)</f>
        <v>3</v>
      </c>
      <c r="D23" s="68"/>
      <c r="E23" s="69"/>
      <c r="F23" s="70"/>
      <c r="G23" s="69"/>
      <c r="H23" s="70"/>
      <c r="I23" s="71"/>
      <c r="J23" s="69"/>
      <c r="K23" s="69"/>
      <c r="L23" s="64"/>
      <c r="M23" s="72"/>
      <c r="N23" s="72"/>
      <c r="O23" s="72"/>
      <c r="P23" s="64"/>
      <c r="Q23" s="72"/>
      <c r="R23" s="72"/>
      <c r="S23" s="72"/>
      <c r="T23" s="64"/>
      <c r="U23" s="66"/>
      <c r="V23" s="72"/>
    </row>
    <row r="24">
      <c r="B24" s="68" t="s">
        <v>128</v>
      </c>
      <c r="C24" s="68">
        <f>if(countif(F16:F23,F24)&gt;1,0,2)</f>
        <v>2</v>
      </c>
      <c r="D24" s="68"/>
      <c r="E24" s="69"/>
      <c r="F24" s="70"/>
      <c r="G24" s="69"/>
      <c r="H24" s="70"/>
      <c r="I24" s="71"/>
      <c r="J24" s="69"/>
      <c r="K24" s="69"/>
      <c r="L24" s="64"/>
      <c r="M24" s="72"/>
      <c r="N24" s="72"/>
      <c r="O24" s="72"/>
      <c r="P24" s="64"/>
      <c r="Q24" s="72"/>
      <c r="R24" s="72"/>
      <c r="S24" s="72"/>
      <c r="T24" s="64"/>
      <c r="U24" s="66"/>
      <c r="V24" s="72"/>
    </row>
    <row r="25">
      <c r="B25" s="68" t="s">
        <v>129</v>
      </c>
      <c r="C25" s="68">
        <f>if(countif(F16:F24,F25)&gt;1,0,1)</f>
        <v>1</v>
      </c>
      <c r="D25" s="68"/>
      <c r="E25" s="69"/>
      <c r="F25" s="70"/>
      <c r="G25" s="69"/>
      <c r="H25" s="70"/>
      <c r="I25" s="71"/>
      <c r="J25" s="69"/>
      <c r="K25" s="69"/>
      <c r="L25" s="64"/>
      <c r="M25" s="72"/>
      <c r="N25" s="72"/>
      <c r="O25" s="72"/>
      <c r="P25" s="64"/>
      <c r="Q25" s="72"/>
      <c r="R25" s="72"/>
      <c r="S25" s="72"/>
      <c r="T25" s="64"/>
      <c r="U25" s="66"/>
      <c r="V25" s="72"/>
    </row>
    <row r="26">
      <c r="A26" s="58">
        <v>132.0</v>
      </c>
      <c r="B26" s="59" t="s">
        <v>120</v>
      </c>
      <c r="C26" s="59">
        <v>12.0</v>
      </c>
      <c r="D26" s="59" t="str">
        <f>IFERROR(__xludf.DUMMYFUNCTION("ARRAY_CONSTRAIN(sort(filter(Mens_JV_Tie_Breaker!D6:X265,Mens_JV_Tie_Breaker!D6:D265=""132 JV""),18,false,4,true,20,false,21,true),10,19)"),"#N/A")</f>
        <v>#N/A</v>
      </c>
      <c r="E26" s="61"/>
      <c r="F26" s="62"/>
      <c r="G26" s="61"/>
      <c r="H26" s="62"/>
      <c r="I26" s="63"/>
      <c r="J26" s="61"/>
      <c r="K26" s="61"/>
      <c r="L26" s="64"/>
      <c r="M26" s="65"/>
      <c r="N26" s="65"/>
      <c r="O26" s="65"/>
      <c r="P26" s="64"/>
      <c r="Q26" s="65"/>
      <c r="R26" s="65"/>
      <c r="S26" s="65"/>
      <c r="T26" s="64"/>
      <c r="U26" s="66"/>
      <c r="V26" s="65"/>
    </row>
    <row r="27">
      <c r="B27" s="59" t="s">
        <v>121</v>
      </c>
      <c r="C27" s="59">
        <v>9.0</v>
      </c>
      <c r="D27" s="59"/>
      <c r="E27" s="61"/>
      <c r="F27" s="62"/>
      <c r="G27" s="61"/>
      <c r="H27" s="62"/>
      <c r="I27" s="63"/>
      <c r="J27" s="61"/>
      <c r="K27" s="61"/>
      <c r="L27" s="64"/>
      <c r="M27" s="65"/>
      <c r="N27" s="65"/>
      <c r="O27" s="65"/>
      <c r="P27" s="64"/>
      <c r="Q27" s="65"/>
      <c r="R27" s="65"/>
      <c r="S27" s="65"/>
      <c r="T27" s="64"/>
      <c r="U27" s="66"/>
      <c r="V27" s="65"/>
    </row>
    <row r="28">
      <c r="B28" s="59" t="s">
        <v>122</v>
      </c>
      <c r="C28" s="59">
        <f>if(countif(F26:F27,F28)&gt;1,0,8)</f>
        <v>8</v>
      </c>
      <c r="D28" s="59"/>
      <c r="E28" s="61"/>
      <c r="F28" s="62"/>
      <c r="G28" s="61"/>
      <c r="H28" s="62"/>
      <c r="I28" s="63"/>
      <c r="J28" s="61"/>
      <c r="K28" s="61"/>
      <c r="L28" s="64"/>
      <c r="M28" s="65"/>
      <c r="N28" s="65"/>
      <c r="O28" s="65"/>
      <c r="P28" s="64"/>
      <c r="Q28" s="65"/>
      <c r="R28" s="65"/>
      <c r="S28" s="65"/>
      <c r="T28" s="64"/>
      <c r="U28" s="66"/>
      <c r="V28" s="65"/>
    </row>
    <row r="29">
      <c r="B29" s="59" t="s">
        <v>123</v>
      </c>
      <c r="C29" s="59">
        <f>if(countif(F26:F28,F29)&gt;1,0,7)</f>
        <v>7</v>
      </c>
      <c r="D29" s="59"/>
      <c r="E29" s="61"/>
      <c r="F29" s="62"/>
      <c r="G29" s="61"/>
      <c r="H29" s="62"/>
      <c r="I29" s="63"/>
      <c r="J29" s="61"/>
      <c r="K29" s="61"/>
      <c r="L29" s="64"/>
      <c r="M29" s="65"/>
      <c r="N29" s="65"/>
      <c r="O29" s="65"/>
      <c r="P29" s="64"/>
      <c r="Q29" s="65"/>
      <c r="R29" s="65"/>
      <c r="S29" s="65"/>
      <c r="T29" s="64"/>
      <c r="U29" s="66"/>
      <c r="V29" s="65"/>
    </row>
    <row r="30">
      <c r="B30" s="59" t="s">
        <v>124</v>
      </c>
      <c r="C30" s="59">
        <f>if(countif(F26:F29,F30)&gt;1,0,6)</f>
        <v>6</v>
      </c>
      <c r="D30" s="59"/>
      <c r="E30" s="61"/>
      <c r="F30" s="62"/>
      <c r="G30" s="61"/>
      <c r="H30" s="62"/>
      <c r="I30" s="63"/>
      <c r="J30" s="61"/>
      <c r="K30" s="61"/>
      <c r="L30" s="64"/>
      <c r="M30" s="65"/>
      <c r="N30" s="65"/>
      <c r="O30" s="65"/>
      <c r="P30" s="64"/>
      <c r="Q30" s="65"/>
      <c r="R30" s="65"/>
      <c r="S30" s="65"/>
      <c r="T30" s="64"/>
      <c r="U30" s="66"/>
      <c r="V30" s="65"/>
    </row>
    <row r="31">
      <c r="B31" s="59" t="s">
        <v>125</v>
      </c>
      <c r="C31" s="59">
        <f>if(countif(F26:F30,F31)&gt;1,0,5)</f>
        <v>5</v>
      </c>
      <c r="D31" s="59"/>
      <c r="E31" s="61"/>
      <c r="F31" s="62"/>
      <c r="G31" s="61"/>
      <c r="H31" s="62"/>
      <c r="I31" s="63"/>
      <c r="J31" s="61"/>
      <c r="K31" s="61"/>
      <c r="L31" s="64"/>
      <c r="M31" s="65"/>
      <c r="N31" s="65"/>
      <c r="O31" s="65"/>
      <c r="P31" s="64"/>
      <c r="Q31" s="65"/>
      <c r="R31" s="65"/>
      <c r="S31" s="65"/>
      <c r="T31" s="64"/>
      <c r="U31" s="66"/>
      <c r="V31" s="65"/>
    </row>
    <row r="32">
      <c r="B32" s="59" t="s">
        <v>126</v>
      </c>
      <c r="C32" s="59">
        <f>if(countif(F26:F31,F32)&gt;1,0,4)</f>
        <v>4</v>
      </c>
      <c r="D32" s="59"/>
      <c r="E32" s="61"/>
      <c r="F32" s="62"/>
      <c r="G32" s="61"/>
      <c r="H32" s="62"/>
      <c r="I32" s="63"/>
      <c r="J32" s="61"/>
      <c r="K32" s="61"/>
      <c r="L32" s="64"/>
      <c r="M32" s="65"/>
      <c r="N32" s="65"/>
      <c r="O32" s="65"/>
      <c r="P32" s="64"/>
      <c r="Q32" s="65"/>
      <c r="R32" s="65"/>
      <c r="S32" s="65"/>
      <c r="T32" s="64"/>
      <c r="U32" s="66"/>
      <c r="V32" s="65"/>
    </row>
    <row r="33">
      <c r="B33" s="59" t="s">
        <v>127</v>
      </c>
      <c r="C33" s="59">
        <f>if(countif(F26:F32,F33)&gt;1,0,3)</f>
        <v>3</v>
      </c>
      <c r="D33" s="59"/>
      <c r="E33" s="61"/>
      <c r="F33" s="62"/>
      <c r="G33" s="61"/>
      <c r="H33" s="62"/>
      <c r="I33" s="63"/>
      <c r="J33" s="61"/>
      <c r="K33" s="61"/>
      <c r="L33" s="64"/>
      <c r="M33" s="65"/>
      <c r="N33" s="65"/>
      <c r="O33" s="65"/>
      <c r="P33" s="64"/>
      <c r="Q33" s="65"/>
      <c r="R33" s="65"/>
      <c r="S33" s="65"/>
      <c r="T33" s="64"/>
      <c r="U33" s="66"/>
      <c r="V33" s="65"/>
    </row>
    <row r="34">
      <c r="B34" s="59" t="s">
        <v>128</v>
      </c>
      <c r="C34" s="59">
        <f>if(countif(F26:F33,F34)&gt;1,0,2)</f>
        <v>2</v>
      </c>
      <c r="D34" s="59"/>
      <c r="E34" s="61"/>
      <c r="F34" s="62"/>
      <c r="G34" s="61"/>
      <c r="H34" s="62"/>
      <c r="I34" s="63"/>
      <c r="J34" s="61"/>
      <c r="K34" s="61"/>
      <c r="L34" s="64"/>
      <c r="M34" s="65"/>
      <c r="N34" s="65"/>
      <c r="O34" s="65"/>
      <c r="P34" s="64"/>
      <c r="Q34" s="65"/>
      <c r="R34" s="65"/>
      <c r="S34" s="65"/>
      <c r="T34" s="64"/>
      <c r="U34" s="66"/>
      <c r="V34" s="65"/>
    </row>
    <row r="35">
      <c r="B35" s="59" t="s">
        <v>129</v>
      </c>
      <c r="C35" s="59">
        <f>if(countif(F26:F34,F35)&gt;1,0,1)</f>
        <v>1</v>
      </c>
      <c r="D35" s="59"/>
      <c r="E35" s="61"/>
      <c r="F35" s="62"/>
      <c r="G35" s="61"/>
      <c r="H35" s="62"/>
      <c r="I35" s="63"/>
      <c r="J35" s="61"/>
      <c r="K35" s="61"/>
      <c r="L35" s="64"/>
      <c r="M35" s="65"/>
      <c r="N35" s="65"/>
      <c r="O35" s="65"/>
      <c r="P35" s="64"/>
      <c r="Q35" s="65"/>
      <c r="R35" s="65"/>
      <c r="S35" s="65"/>
      <c r="T35" s="64"/>
      <c r="U35" s="66"/>
      <c r="V35" s="65"/>
    </row>
    <row r="36">
      <c r="A36" s="73">
        <v>145.0</v>
      </c>
      <c r="B36" s="68" t="s">
        <v>120</v>
      </c>
      <c r="C36" s="68">
        <v>12.0</v>
      </c>
      <c r="D36" s="68" t="str">
        <f>IFERROR(__xludf.DUMMYFUNCTION("ARRAY_CONSTRAIN(sort(filter(Mens_JV_Tie_Breaker!D6:X265,Mens_JV_Tie_Breaker!D6:D265=""145 JV""),18,false,4,true,20,false,21,true),10,19)"),"#N/A")</f>
        <v>#N/A</v>
      </c>
      <c r="E36" s="69"/>
      <c r="F36" s="70"/>
      <c r="G36" s="69"/>
      <c r="H36" s="70"/>
      <c r="I36" s="71"/>
      <c r="J36" s="69"/>
      <c r="K36" s="69"/>
      <c r="L36" s="64"/>
      <c r="M36" s="72"/>
      <c r="N36" s="72"/>
      <c r="O36" s="72"/>
      <c r="P36" s="64"/>
      <c r="Q36" s="72"/>
      <c r="R36" s="72"/>
      <c r="S36" s="72"/>
      <c r="T36" s="64"/>
      <c r="U36" s="66"/>
      <c r="V36" s="72"/>
    </row>
    <row r="37">
      <c r="B37" s="68" t="s">
        <v>121</v>
      </c>
      <c r="C37" s="68">
        <v>9.0</v>
      </c>
      <c r="D37" s="68"/>
      <c r="E37" s="69"/>
      <c r="F37" s="70"/>
      <c r="G37" s="69"/>
      <c r="H37" s="70"/>
      <c r="I37" s="71"/>
      <c r="J37" s="69"/>
      <c r="K37" s="69"/>
      <c r="L37" s="64"/>
      <c r="M37" s="72"/>
      <c r="N37" s="72"/>
      <c r="O37" s="72"/>
      <c r="P37" s="64"/>
      <c r="Q37" s="72"/>
      <c r="R37" s="72"/>
      <c r="S37" s="72"/>
      <c r="T37" s="64"/>
      <c r="U37" s="66"/>
      <c r="V37" s="72"/>
    </row>
    <row r="38">
      <c r="B38" s="68" t="s">
        <v>122</v>
      </c>
      <c r="C38" s="68">
        <f>if(countif(F36:F37,F38)&gt;1,0,8)</f>
        <v>8</v>
      </c>
      <c r="D38" s="68"/>
      <c r="E38" s="69"/>
      <c r="F38" s="70"/>
      <c r="G38" s="69"/>
      <c r="H38" s="70"/>
      <c r="I38" s="71"/>
      <c r="J38" s="69"/>
      <c r="K38" s="69"/>
      <c r="L38" s="64"/>
      <c r="M38" s="72"/>
      <c r="N38" s="72"/>
      <c r="O38" s="72"/>
      <c r="P38" s="64"/>
      <c r="Q38" s="72"/>
      <c r="R38" s="72"/>
      <c r="S38" s="72"/>
      <c r="T38" s="64"/>
      <c r="U38" s="66"/>
      <c r="V38" s="72"/>
    </row>
    <row r="39">
      <c r="B39" s="68" t="s">
        <v>123</v>
      </c>
      <c r="C39" s="68">
        <f>if(countif(F36:F38,F39)&gt;1,0,7)</f>
        <v>7</v>
      </c>
      <c r="D39" s="68"/>
      <c r="E39" s="69"/>
      <c r="F39" s="70"/>
      <c r="G39" s="69"/>
      <c r="H39" s="70"/>
      <c r="I39" s="71"/>
      <c r="J39" s="69"/>
      <c r="K39" s="69"/>
      <c r="L39" s="64"/>
      <c r="M39" s="72"/>
      <c r="N39" s="72"/>
      <c r="O39" s="72"/>
      <c r="P39" s="64"/>
      <c r="Q39" s="72"/>
      <c r="R39" s="72"/>
      <c r="S39" s="72"/>
      <c r="T39" s="64"/>
      <c r="U39" s="66"/>
      <c r="V39" s="72"/>
    </row>
    <row r="40">
      <c r="B40" s="68" t="s">
        <v>124</v>
      </c>
      <c r="C40" s="68">
        <f>if(countif(F36:F39,F40)&gt;1,0,6)</f>
        <v>6</v>
      </c>
      <c r="D40" s="68"/>
      <c r="E40" s="69"/>
      <c r="F40" s="70"/>
      <c r="G40" s="69"/>
      <c r="H40" s="70"/>
      <c r="I40" s="71"/>
      <c r="J40" s="69"/>
      <c r="K40" s="69"/>
      <c r="L40" s="64"/>
      <c r="M40" s="72"/>
      <c r="N40" s="72"/>
      <c r="O40" s="72"/>
      <c r="P40" s="64"/>
      <c r="Q40" s="72"/>
      <c r="R40" s="72"/>
      <c r="S40" s="72"/>
      <c r="T40" s="64"/>
      <c r="U40" s="66"/>
      <c r="V40" s="72"/>
    </row>
    <row r="41">
      <c r="B41" s="68" t="s">
        <v>125</v>
      </c>
      <c r="C41" s="68">
        <f>if(countif(F36:F40,F41)&gt;1,0,5)</f>
        <v>5</v>
      </c>
      <c r="D41" s="68"/>
      <c r="E41" s="69"/>
      <c r="F41" s="70"/>
      <c r="G41" s="69"/>
      <c r="H41" s="70"/>
      <c r="I41" s="71"/>
      <c r="J41" s="69"/>
      <c r="K41" s="69"/>
      <c r="L41" s="64"/>
      <c r="M41" s="72"/>
      <c r="N41" s="72"/>
      <c r="O41" s="72"/>
      <c r="P41" s="64"/>
      <c r="Q41" s="72"/>
      <c r="R41" s="72"/>
      <c r="S41" s="72"/>
      <c r="T41" s="64"/>
      <c r="U41" s="66"/>
      <c r="V41" s="72"/>
    </row>
    <row r="42">
      <c r="B42" s="68" t="s">
        <v>126</v>
      </c>
      <c r="C42" s="68">
        <f>if(countif(F36:F41,F42)&gt;1,0,4)</f>
        <v>4</v>
      </c>
      <c r="D42" s="68"/>
      <c r="E42" s="69"/>
      <c r="F42" s="70"/>
      <c r="G42" s="69"/>
      <c r="H42" s="70"/>
      <c r="I42" s="71"/>
      <c r="J42" s="69"/>
      <c r="K42" s="69"/>
      <c r="L42" s="64"/>
      <c r="M42" s="72"/>
      <c r="N42" s="72"/>
      <c r="O42" s="72"/>
      <c r="P42" s="64"/>
      <c r="Q42" s="72"/>
      <c r="R42" s="72"/>
      <c r="S42" s="72"/>
      <c r="T42" s="64"/>
      <c r="U42" s="66"/>
      <c r="V42" s="72"/>
    </row>
    <row r="43">
      <c r="B43" s="68" t="s">
        <v>127</v>
      </c>
      <c r="C43" s="68">
        <f>if(countif(F36:F42,F43)&gt;1,0,3)</f>
        <v>3</v>
      </c>
      <c r="D43" s="68"/>
      <c r="E43" s="69"/>
      <c r="F43" s="70"/>
      <c r="G43" s="69"/>
      <c r="H43" s="70"/>
      <c r="I43" s="71"/>
      <c r="J43" s="69"/>
      <c r="K43" s="69"/>
      <c r="L43" s="64"/>
      <c r="M43" s="72"/>
      <c r="N43" s="72"/>
      <c r="O43" s="72"/>
      <c r="P43" s="64"/>
      <c r="Q43" s="72"/>
      <c r="R43" s="72"/>
      <c r="S43" s="72"/>
      <c r="T43" s="64"/>
      <c r="U43" s="66"/>
      <c r="V43" s="72"/>
    </row>
    <row r="44">
      <c r="B44" s="68" t="s">
        <v>128</v>
      </c>
      <c r="C44" s="68">
        <f>if(countif(F36:F43,F44)&gt;1,0,2)</f>
        <v>2</v>
      </c>
      <c r="D44" s="68"/>
      <c r="E44" s="69"/>
      <c r="F44" s="70"/>
      <c r="G44" s="69"/>
      <c r="H44" s="70"/>
      <c r="I44" s="71"/>
      <c r="J44" s="69"/>
      <c r="K44" s="69"/>
      <c r="L44" s="64"/>
      <c r="M44" s="72"/>
      <c r="N44" s="72"/>
      <c r="O44" s="72"/>
      <c r="P44" s="64"/>
      <c r="Q44" s="72"/>
      <c r="R44" s="72"/>
      <c r="S44" s="72"/>
      <c r="T44" s="64"/>
      <c r="U44" s="66"/>
      <c r="V44" s="72"/>
    </row>
    <row r="45">
      <c r="B45" s="68" t="s">
        <v>129</v>
      </c>
      <c r="C45" s="68">
        <f>if(countif(F36:F44,F45)&gt;1,0,1)</f>
        <v>1</v>
      </c>
      <c r="D45" s="68"/>
      <c r="E45" s="69"/>
      <c r="F45" s="70"/>
      <c r="G45" s="69"/>
      <c r="H45" s="70"/>
      <c r="I45" s="71"/>
      <c r="J45" s="69"/>
      <c r="K45" s="69"/>
      <c r="L45" s="64"/>
      <c r="M45" s="72"/>
      <c r="N45" s="72"/>
      <c r="O45" s="72"/>
      <c r="P45" s="64"/>
      <c r="Q45" s="72"/>
      <c r="R45" s="72"/>
      <c r="S45" s="72"/>
      <c r="T45" s="64"/>
      <c r="U45" s="66"/>
      <c r="V45" s="72"/>
    </row>
    <row r="46">
      <c r="A46" s="58">
        <v>155.0</v>
      </c>
      <c r="B46" s="59" t="s">
        <v>120</v>
      </c>
      <c r="C46" s="59">
        <v>12.0</v>
      </c>
      <c r="D46" s="60" t="str">
        <f>IFERROR(__xludf.DUMMYFUNCTION("ARRAY_CONSTRAIN(sort(filter(Mens_JV_Tie_Breaker!D6:X265,Mens_JV_Tie_Breaker!D6:D265=""155 JV""),18,false,4,true,20,false,21,true),10,19)"),"#N/A")</f>
        <v>#N/A</v>
      </c>
      <c r="E46" s="61"/>
      <c r="F46" s="62"/>
      <c r="G46" s="61"/>
      <c r="H46" s="62"/>
      <c r="I46" s="63"/>
      <c r="J46" s="61"/>
      <c r="K46" s="61"/>
      <c r="L46" s="64"/>
      <c r="M46" s="65"/>
      <c r="N46" s="65"/>
      <c r="O46" s="65"/>
      <c r="P46" s="64"/>
      <c r="Q46" s="65"/>
      <c r="R46" s="65"/>
      <c r="S46" s="65"/>
      <c r="T46" s="64"/>
      <c r="U46" s="66"/>
      <c r="V46" s="65"/>
    </row>
    <row r="47">
      <c r="B47" s="59" t="s">
        <v>121</v>
      </c>
      <c r="C47" s="59">
        <v>9.0</v>
      </c>
      <c r="D47" s="59"/>
      <c r="E47" s="61"/>
      <c r="F47" s="62"/>
      <c r="G47" s="61"/>
      <c r="H47" s="62"/>
      <c r="I47" s="63"/>
      <c r="J47" s="61"/>
      <c r="K47" s="61"/>
      <c r="L47" s="64"/>
      <c r="M47" s="65"/>
      <c r="N47" s="65"/>
      <c r="O47" s="65"/>
      <c r="P47" s="64"/>
      <c r="Q47" s="65"/>
      <c r="R47" s="65"/>
      <c r="S47" s="65"/>
      <c r="T47" s="64"/>
      <c r="U47" s="66"/>
      <c r="V47" s="65"/>
    </row>
    <row r="48">
      <c r="B48" s="59" t="s">
        <v>122</v>
      </c>
      <c r="C48" s="59">
        <f>if(countif(F46:F47,F48)&gt;1,0,8)</f>
        <v>8</v>
      </c>
      <c r="D48" s="59"/>
      <c r="E48" s="61"/>
      <c r="F48" s="62"/>
      <c r="G48" s="61"/>
      <c r="H48" s="62"/>
      <c r="I48" s="63"/>
      <c r="J48" s="61"/>
      <c r="K48" s="61"/>
      <c r="L48" s="64"/>
      <c r="M48" s="65"/>
      <c r="N48" s="65"/>
      <c r="O48" s="65"/>
      <c r="P48" s="64"/>
      <c r="Q48" s="65"/>
      <c r="R48" s="65"/>
      <c r="S48" s="65"/>
      <c r="T48" s="64"/>
      <c r="U48" s="66"/>
      <c r="V48" s="65"/>
    </row>
    <row r="49">
      <c r="B49" s="59" t="s">
        <v>123</v>
      </c>
      <c r="C49" s="59">
        <f>if(countif(F46:F48,F49)&gt;1,0,7)</f>
        <v>7</v>
      </c>
      <c r="D49" s="59"/>
      <c r="E49" s="61"/>
      <c r="F49" s="62"/>
      <c r="G49" s="61"/>
      <c r="H49" s="62"/>
      <c r="I49" s="63"/>
      <c r="J49" s="61"/>
      <c r="K49" s="61"/>
      <c r="L49" s="64"/>
      <c r="M49" s="65"/>
      <c r="N49" s="65"/>
      <c r="O49" s="65"/>
      <c r="P49" s="64"/>
      <c r="Q49" s="65"/>
      <c r="R49" s="65"/>
      <c r="S49" s="65"/>
      <c r="T49" s="64"/>
      <c r="U49" s="66"/>
      <c r="V49" s="65"/>
    </row>
    <row r="50">
      <c r="B50" s="59" t="s">
        <v>124</v>
      </c>
      <c r="C50" s="59">
        <f>if(countif(F46:F49,F50)&gt;1,0,6)</f>
        <v>6</v>
      </c>
      <c r="D50" s="59"/>
      <c r="E50" s="61"/>
      <c r="F50" s="62"/>
      <c r="G50" s="61"/>
      <c r="H50" s="62"/>
      <c r="I50" s="63"/>
      <c r="J50" s="61"/>
      <c r="K50" s="61"/>
      <c r="L50" s="64"/>
      <c r="M50" s="65"/>
      <c r="N50" s="65"/>
      <c r="O50" s="65"/>
      <c r="P50" s="64"/>
      <c r="Q50" s="65"/>
      <c r="R50" s="65"/>
      <c r="S50" s="65"/>
      <c r="T50" s="64"/>
      <c r="U50" s="66"/>
      <c r="V50" s="65"/>
    </row>
    <row r="51">
      <c r="B51" s="59" t="s">
        <v>125</v>
      </c>
      <c r="C51" s="59">
        <f>if(countif(F46:F50,F51)&gt;1,0,5)</f>
        <v>5</v>
      </c>
      <c r="D51" s="59"/>
      <c r="E51" s="61"/>
      <c r="F51" s="62"/>
      <c r="G51" s="61"/>
      <c r="H51" s="62"/>
      <c r="I51" s="63"/>
      <c r="J51" s="61"/>
      <c r="K51" s="61"/>
      <c r="L51" s="64"/>
      <c r="M51" s="65"/>
      <c r="N51" s="65"/>
      <c r="O51" s="65"/>
      <c r="P51" s="64"/>
      <c r="Q51" s="65"/>
      <c r="R51" s="65"/>
      <c r="S51" s="65"/>
      <c r="T51" s="64"/>
      <c r="U51" s="66"/>
      <c r="V51" s="65"/>
    </row>
    <row r="52">
      <c r="B52" s="59" t="s">
        <v>126</v>
      </c>
      <c r="C52" s="59">
        <f>if(countif(F46:F51,F52)&gt;1,0,4)</f>
        <v>4</v>
      </c>
      <c r="D52" s="59"/>
      <c r="E52" s="61"/>
      <c r="F52" s="62"/>
      <c r="G52" s="61"/>
      <c r="H52" s="62"/>
      <c r="I52" s="63"/>
      <c r="J52" s="61"/>
      <c r="K52" s="61"/>
      <c r="L52" s="64"/>
      <c r="M52" s="65"/>
      <c r="N52" s="65"/>
      <c r="O52" s="65"/>
      <c r="P52" s="64"/>
      <c r="Q52" s="65"/>
      <c r="R52" s="65"/>
      <c r="S52" s="65"/>
      <c r="T52" s="64"/>
      <c r="U52" s="66"/>
      <c r="V52" s="65"/>
    </row>
    <row r="53">
      <c r="B53" s="59" t="s">
        <v>127</v>
      </c>
      <c r="C53" s="59">
        <f>if(countif(F46:F52,F53)&gt;1,0,3)</f>
        <v>3</v>
      </c>
      <c r="D53" s="59"/>
      <c r="E53" s="61"/>
      <c r="F53" s="62"/>
      <c r="G53" s="61"/>
      <c r="H53" s="62"/>
      <c r="I53" s="63"/>
      <c r="J53" s="61"/>
      <c r="K53" s="61"/>
      <c r="L53" s="64"/>
      <c r="M53" s="65"/>
      <c r="N53" s="65"/>
      <c r="O53" s="65"/>
      <c r="P53" s="64"/>
      <c r="Q53" s="65"/>
      <c r="R53" s="65"/>
      <c r="S53" s="65"/>
      <c r="T53" s="64"/>
      <c r="U53" s="66"/>
      <c r="V53" s="65"/>
    </row>
    <row r="54">
      <c r="B54" s="59" t="s">
        <v>128</v>
      </c>
      <c r="C54" s="59">
        <f>if(countif(F46:F53,F54)&gt;1,0,2)</f>
        <v>2</v>
      </c>
      <c r="D54" s="59"/>
      <c r="E54" s="61"/>
      <c r="F54" s="62"/>
      <c r="G54" s="61"/>
      <c r="H54" s="62"/>
      <c r="I54" s="63"/>
      <c r="J54" s="61"/>
      <c r="K54" s="61"/>
      <c r="L54" s="64"/>
      <c r="M54" s="65"/>
      <c r="N54" s="65"/>
      <c r="O54" s="65"/>
      <c r="P54" s="64"/>
      <c r="Q54" s="65"/>
      <c r="R54" s="65"/>
      <c r="S54" s="65"/>
      <c r="T54" s="64"/>
      <c r="U54" s="66"/>
      <c r="V54" s="65"/>
    </row>
    <row r="55">
      <c r="B55" s="59" t="s">
        <v>129</v>
      </c>
      <c r="C55" s="59">
        <f>if(countif(F46:F54,F55)&gt;1,0,1)</f>
        <v>1</v>
      </c>
      <c r="D55" s="59"/>
      <c r="E55" s="61"/>
      <c r="F55" s="62"/>
      <c r="G55" s="61"/>
      <c r="H55" s="62"/>
      <c r="I55" s="63"/>
      <c r="J55" s="61"/>
      <c r="K55" s="61"/>
      <c r="L55" s="64"/>
      <c r="M55" s="65"/>
      <c r="N55" s="65"/>
      <c r="O55" s="65"/>
      <c r="P55" s="64"/>
      <c r="Q55" s="65"/>
      <c r="R55" s="65"/>
      <c r="S55" s="65"/>
      <c r="T55" s="64"/>
      <c r="U55" s="66"/>
      <c r="V55" s="65"/>
    </row>
    <row r="56">
      <c r="A56" s="73">
        <v>165.0</v>
      </c>
      <c r="B56" s="68" t="s">
        <v>120</v>
      </c>
      <c r="C56" s="68">
        <v>12.0</v>
      </c>
      <c r="D56" s="68" t="str">
        <f>IFERROR(__xludf.DUMMYFUNCTION("ARRAY_CONSTRAIN(sort(filter(Mens_JV_Tie_Breaker!D6:X265,Mens_JV_Tie_Breaker!D6:D265=""165 JV""),18,false,4,true,20,false,21,true),10,19)"),"#N/A")</f>
        <v>#N/A</v>
      </c>
      <c r="E56" s="69"/>
      <c r="F56" s="70"/>
      <c r="G56" s="69"/>
      <c r="H56" s="70"/>
      <c r="I56" s="71"/>
      <c r="J56" s="69"/>
      <c r="K56" s="69"/>
      <c r="L56" s="64"/>
      <c r="M56" s="72"/>
      <c r="N56" s="72"/>
      <c r="O56" s="72"/>
      <c r="P56" s="64"/>
      <c r="Q56" s="72"/>
      <c r="R56" s="72"/>
      <c r="S56" s="72"/>
      <c r="T56" s="64"/>
      <c r="U56" s="66"/>
      <c r="V56" s="72"/>
    </row>
    <row r="57">
      <c r="B57" s="68" t="s">
        <v>121</v>
      </c>
      <c r="C57" s="68">
        <v>9.0</v>
      </c>
      <c r="D57" s="68"/>
      <c r="E57" s="69"/>
      <c r="F57" s="70"/>
      <c r="G57" s="69"/>
      <c r="H57" s="70"/>
      <c r="I57" s="71"/>
      <c r="J57" s="69"/>
      <c r="K57" s="69"/>
      <c r="L57" s="64"/>
      <c r="M57" s="72"/>
      <c r="N57" s="72"/>
      <c r="O57" s="72"/>
      <c r="P57" s="64"/>
      <c r="Q57" s="72"/>
      <c r="R57" s="72"/>
      <c r="S57" s="72"/>
      <c r="T57" s="64"/>
      <c r="U57" s="66"/>
      <c r="V57" s="72"/>
    </row>
    <row r="58">
      <c r="B58" s="68" t="s">
        <v>122</v>
      </c>
      <c r="C58" s="68">
        <f>if(countif(F56:F57,F58)&gt;1,0,8)</f>
        <v>8</v>
      </c>
      <c r="D58" s="68"/>
      <c r="E58" s="69"/>
      <c r="F58" s="70"/>
      <c r="G58" s="69"/>
      <c r="H58" s="70"/>
      <c r="I58" s="71"/>
      <c r="J58" s="69"/>
      <c r="K58" s="69"/>
      <c r="L58" s="64"/>
      <c r="M58" s="72"/>
      <c r="N58" s="72"/>
      <c r="O58" s="72"/>
      <c r="P58" s="64"/>
      <c r="Q58" s="72"/>
      <c r="R58" s="72"/>
      <c r="S58" s="72"/>
      <c r="T58" s="64"/>
      <c r="U58" s="66"/>
      <c r="V58" s="72"/>
    </row>
    <row r="59">
      <c r="B59" s="68" t="s">
        <v>123</v>
      </c>
      <c r="C59" s="68">
        <f>if(countif(F56:F58,F59)&gt;1,0,7)</f>
        <v>7</v>
      </c>
      <c r="D59" s="68"/>
      <c r="E59" s="69"/>
      <c r="F59" s="70"/>
      <c r="G59" s="69"/>
      <c r="H59" s="70"/>
      <c r="I59" s="71"/>
      <c r="J59" s="69"/>
      <c r="K59" s="69"/>
      <c r="L59" s="64"/>
      <c r="M59" s="72"/>
      <c r="N59" s="72"/>
      <c r="O59" s="72"/>
      <c r="P59" s="64"/>
      <c r="Q59" s="72"/>
      <c r="R59" s="72"/>
      <c r="S59" s="72"/>
      <c r="T59" s="64"/>
      <c r="U59" s="66"/>
      <c r="V59" s="72"/>
    </row>
    <row r="60">
      <c r="B60" s="68" t="s">
        <v>124</v>
      </c>
      <c r="C60" s="68">
        <f>if(countif(F56:F59,F60)&gt;1,0,6)</f>
        <v>6</v>
      </c>
      <c r="D60" s="68"/>
      <c r="E60" s="69"/>
      <c r="F60" s="70"/>
      <c r="G60" s="69"/>
      <c r="H60" s="70"/>
      <c r="I60" s="71"/>
      <c r="J60" s="69"/>
      <c r="K60" s="69"/>
      <c r="L60" s="64"/>
      <c r="M60" s="72"/>
      <c r="N60" s="72"/>
      <c r="O60" s="72"/>
      <c r="P60" s="64"/>
      <c r="Q60" s="72"/>
      <c r="R60" s="72"/>
      <c r="S60" s="72"/>
      <c r="T60" s="64"/>
      <c r="U60" s="66"/>
      <c r="V60" s="72"/>
    </row>
    <row r="61">
      <c r="B61" s="68" t="s">
        <v>125</v>
      </c>
      <c r="C61" s="68">
        <f>if(countif(F56:F60,F61)&gt;1,0,5)</f>
        <v>5</v>
      </c>
      <c r="D61" s="68"/>
      <c r="E61" s="69"/>
      <c r="F61" s="70"/>
      <c r="G61" s="69"/>
      <c r="H61" s="70"/>
      <c r="I61" s="71"/>
      <c r="J61" s="69"/>
      <c r="K61" s="69"/>
      <c r="L61" s="64"/>
      <c r="M61" s="72"/>
      <c r="N61" s="72"/>
      <c r="O61" s="72"/>
      <c r="P61" s="64"/>
      <c r="Q61" s="72"/>
      <c r="R61" s="72"/>
      <c r="S61" s="72"/>
      <c r="T61" s="64"/>
      <c r="U61" s="66"/>
      <c r="V61" s="72"/>
    </row>
    <row r="62">
      <c r="B62" s="68" t="s">
        <v>126</v>
      </c>
      <c r="C62" s="68">
        <f>if(countif(F56:F61,F62)&gt;1,0,4)</f>
        <v>4</v>
      </c>
      <c r="D62" s="68"/>
      <c r="E62" s="69"/>
      <c r="F62" s="70"/>
      <c r="G62" s="69"/>
      <c r="H62" s="70"/>
      <c r="I62" s="71"/>
      <c r="J62" s="69"/>
      <c r="K62" s="69"/>
      <c r="L62" s="64"/>
      <c r="M62" s="72"/>
      <c r="N62" s="72"/>
      <c r="O62" s="72"/>
      <c r="P62" s="64"/>
      <c r="Q62" s="72"/>
      <c r="R62" s="72"/>
      <c r="S62" s="72"/>
      <c r="T62" s="64"/>
      <c r="U62" s="66"/>
      <c r="V62" s="72"/>
    </row>
    <row r="63">
      <c r="B63" s="68" t="s">
        <v>127</v>
      </c>
      <c r="C63" s="68">
        <f>if(countif(F56:F62,F63)&gt;1,0,3)</f>
        <v>3</v>
      </c>
      <c r="D63" s="68"/>
      <c r="E63" s="69"/>
      <c r="F63" s="70"/>
      <c r="G63" s="69"/>
      <c r="H63" s="70"/>
      <c r="I63" s="71"/>
      <c r="J63" s="69"/>
      <c r="K63" s="69"/>
      <c r="L63" s="64"/>
      <c r="M63" s="72"/>
      <c r="N63" s="72"/>
      <c r="O63" s="72"/>
      <c r="P63" s="64"/>
      <c r="Q63" s="72"/>
      <c r="R63" s="72"/>
      <c r="S63" s="72"/>
      <c r="T63" s="64"/>
      <c r="U63" s="66"/>
      <c r="V63" s="72"/>
    </row>
    <row r="64">
      <c r="B64" s="68" t="s">
        <v>128</v>
      </c>
      <c r="C64" s="68">
        <f>if(countif(F56:F63,F64)&gt;1,0,2)</f>
        <v>2</v>
      </c>
      <c r="D64" s="68"/>
      <c r="E64" s="69"/>
      <c r="F64" s="70"/>
      <c r="G64" s="69"/>
      <c r="H64" s="70"/>
      <c r="I64" s="71"/>
      <c r="J64" s="69"/>
      <c r="K64" s="69"/>
      <c r="L64" s="64"/>
      <c r="M64" s="72"/>
      <c r="N64" s="72"/>
      <c r="O64" s="72"/>
      <c r="P64" s="64"/>
      <c r="Q64" s="72"/>
      <c r="R64" s="72"/>
      <c r="S64" s="72"/>
      <c r="T64" s="64"/>
      <c r="U64" s="66"/>
      <c r="V64" s="72"/>
    </row>
    <row r="65">
      <c r="B65" s="68" t="s">
        <v>129</v>
      </c>
      <c r="C65" s="68">
        <f>if(countif(F56:F64,F65)&gt;1,0,1)</f>
        <v>1</v>
      </c>
      <c r="D65" s="68"/>
      <c r="E65" s="69"/>
      <c r="F65" s="70"/>
      <c r="G65" s="69"/>
      <c r="H65" s="70"/>
      <c r="I65" s="71"/>
      <c r="J65" s="69"/>
      <c r="K65" s="69"/>
      <c r="L65" s="64"/>
      <c r="M65" s="72"/>
      <c r="N65" s="72"/>
      <c r="O65" s="72"/>
      <c r="P65" s="64"/>
      <c r="Q65" s="72"/>
      <c r="R65" s="72"/>
      <c r="S65" s="72"/>
      <c r="T65" s="64"/>
      <c r="U65" s="66"/>
      <c r="V65" s="72"/>
    </row>
    <row r="66">
      <c r="A66" s="58">
        <v>181.0</v>
      </c>
      <c r="B66" s="59" t="s">
        <v>120</v>
      </c>
      <c r="C66" s="59">
        <v>12.0</v>
      </c>
      <c r="D66" s="59" t="str">
        <f>IFERROR(__xludf.DUMMYFUNCTION("ARRAY_CONSTRAIN(sort(filter(Mens_JV_Tie_Breaker!D6:X265,Mens_JV_Tie_Breaker!D6:D265=""181 JV""),18,false,4,true,20,false,21,true),10,19)"),"#N/A")</f>
        <v>#N/A</v>
      </c>
      <c r="E66" s="60"/>
      <c r="F66" s="62"/>
      <c r="G66" s="61"/>
      <c r="H66" s="62"/>
      <c r="I66" s="63"/>
      <c r="J66" s="61"/>
      <c r="K66" s="61"/>
      <c r="L66" s="64"/>
      <c r="M66" s="65"/>
      <c r="N66" s="65"/>
      <c r="O66" s="65"/>
      <c r="P66" s="64"/>
      <c r="Q66" s="65"/>
      <c r="R66" s="65"/>
      <c r="S66" s="65"/>
      <c r="T66" s="64"/>
      <c r="U66" s="66"/>
      <c r="V66" s="65"/>
    </row>
    <row r="67">
      <c r="B67" s="59" t="s">
        <v>121</v>
      </c>
      <c r="C67" s="59">
        <v>9.0</v>
      </c>
      <c r="D67" s="59"/>
      <c r="E67" s="61"/>
      <c r="F67" s="62"/>
      <c r="G67" s="61"/>
      <c r="H67" s="62"/>
      <c r="I67" s="63"/>
      <c r="J67" s="61"/>
      <c r="K67" s="61"/>
      <c r="L67" s="64"/>
      <c r="M67" s="65"/>
      <c r="N67" s="65"/>
      <c r="O67" s="65"/>
      <c r="P67" s="64"/>
      <c r="Q67" s="65"/>
      <c r="R67" s="65"/>
      <c r="S67" s="65"/>
      <c r="T67" s="64"/>
      <c r="U67" s="66"/>
      <c r="V67" s="65"/>
    </row>
    <row r="68">
      <c r="B68" s="59" t="s">
        <v>122</v>
      </c>
      <c r="C68" s="59">
        <f>if(countif(F66:F67,F68)&gt;1,0,8)</f>
        <v>8</v>
      </c>
      <c r="D68" s="59"/>
      <c r="E68" s="61"/>
      <c r="F68" s="62"/>
      <c r="G68" s="61"/>
      <c r="H68" s="62"/>
      <c r="I68" s="63"/>
      <c r="J68" s="61"/>
      <c r="K68" s="61"/>
      <c r="L68" s="64"/>
      <c r="M68" s="65"/>
      <c r="N68" s="65"/>
      <c r="O68" s="65"/>
      <c r="P68" s="64"/>
      <c r="Q68" s="65"/>
      <c r="R68" s="65"/>
      <c r="S68" s="65"/>
      <c r="T68" s="64"/>
      <c r="U68" s="66"/>
      <c r="V68" s="65"/>
    </row>
    <row r="69">
      <c r="B69" s="59" t="s">
        <v>123</v>
      </c>
      <c r="C69" s="59">
        <f>if(countif(F66:F68,F69)&gt;1,0,7)</f>
        <v>7</v>
      </c>
      <c r="D69" s="59"/>
      <c r="E69" s="61"/>
      <c r="F69" s="62"/>
      <c r="G69" s="61"/>
      <c r="H69" s="62"/>
      <c r="I69" s="63"/>
      <c r="J69" s="61"/>
      <c r="K69" s="61"/>
      <c r="L69" s="64"/>
      <c r="M69" s="65"/>
      <c r="N69" s="65"/>
      <c r="O69" s="65"/>
      <c r="P69" s="64"/>
      <c r="Q69" s="65"/>
      <c r="R69" s="65"/>
      <c r="S69" s="65"/>
      <c r="T69" s="64"/>
      <c r="U69" s="66"/>
      <c r="V69" s="65"/>
    </row>
    <row r="70">
      <c r="B70" s="59" t="s">
        <v>124</v>
      </c>
      <c r="C70" s="59">
        <f>if(countif(F66:F69,F70)&gt;1,0,6)</f>
        <v>6</v>
      </c>
      <c r="D70" s="59"/>
      <c r="E70" s="61"/>
      <c r="F70" s="62"/>
      <c r="G70" s="61"/>
      <c r="H70" s="62"/>
      <c r="I70" s="63"/>
      <c r="J70" s="61"/>
      <c r="K70" s="61"/>
      <c r="L70" s="64"/>
      <c r="M70" s="65"/>
      <c r="N70" s="65"/>
      <c r="O70" s="65"/>
      <c r="P70" s="64"/>
      <c r="Q70" s="65"/>
      <c r="R70" s="65"/>
      <c r="S70" s="65"/>
      <c r="T70" s="64"/>
      <c r="U70" s="66"/>
      <c r="V70" s="65"/>
    </row>
    <row r="71">
      <c r="B71" s="59" t="s">
        <v>125</v>
      </c>
      <c r="C71" s="59">
        <f>if(countif(F66:F70,F71)&gt;1,0,5)</f>
        <v>5</v>
      </c>
      <c r="D71" s="59"/>
      <c r="E71" s="61"/>
      <c r="F71" s="62"/>
      <c r="G71" s="61"/>
      <c r="H71" s="62"/>
      <c r="I71" s="63"/>
      <c r="J71" s="61"/>
      <c r="K71" s="61"/>
      <c r="L71" s="64"/>
      <c r="M71" s="65"/>
      <c r="N71" s="65"/>
      <c r="O71" s="65"/>
      <c r="P71" s="64"/>
      <c r="Q71" s="65"/>
      <c r="R71" s="65"/>
      <c r="S71" s="65"/>
      <c r="T71" s="64"/>
      <c r="U71" s="66"/>
      <c r="V71" s="65"/>
    </row>
    <row r="72">
      <c r="B72" s="59" t="s">
        <v>126</v>
      </c>
      <c r="C72" s="59">
        <f>if(countif(F66:F71,F72)&gt;1,0,4)</f>
        <v>4</v>
      </c>
      <c r="D72" s="59"/>
      <c r="E72" s="61"/>
      <c r="F72" s="62"/>
      <c r="G72" s="61"/>
      <c r="H72" s="62"/>
      <c r="I72" s="63"/>
      <c r="J72" s="61"/>
      <c r="K72" s="61"/>
      <c r="L72" s="64"/>
      <c r="M72" s="65"/>
      <c r="N72" s="65"/>
      <c r="O72" s="65"/>
      <c r="P72" s="64"/>
      <c r="Q72" s="65"/>
      <c r="R72" s="65"/>
      <c r="S72" s="65"/>
      <c r="T72" s="64"/>
      <c r="U72" s="66"/>
      <c r="V72" s="65"/>
    </row>
    <row r="73">
      <c r="B73" s="59" t="s">
        <v>127</v>
      </c>
      <c r="C73" s="59">
        <f>if(countif(F66:F72,F73)&gt;1,0,3)</f>
        <v>3</v>
      </c>
      <c r="D73" s="59"/>
      <c r="E73" s="61"/>
      <c r="F73" s="62"/>
      <c r="G73" s="61"/>
      <c r="H73" s="62"/>
      <c r="I73" s="63"/>
      <c r="J73" s="61"/>
      <c r="K73" s="61"/>
      <c r="L73" s="64"/>
      <c r="M73" s="65"/>
      <c r="N73" s="65"/>
      <c r="O73" s="65"/>
      <c r="P73" s="64"/>
      <c r="Q73" s="65"/>
      <c r="R73" s="65"/>
      <c r="S73" s="65"/>
      <c r="T73" s="64"/>
      <c r="U73" s="66"/>
      <c r="V73" s="65"/>
    </row>
    <row r="74">
      <c r="B74" s="59" t="s">
        <v>128</v>
      </c>
      <c r="C74" s="59">
        <f>if(countif(F66:F73,F74)&gt;1,0,2)</f>
        <v>2</v>
      </c>
      <c r="D74" s="59"/>
      <c r="E74" s="61"/>
      <c r="F74" s="62"/>
      <c r="G74" s="61"/>
      <c r="H74" s="62"/>
      <c r="I74" s="63"/>
      <c r="J74" s="61"/>
      <c r="K74" s="61"/>
      <c r="L74" s="64"/>
      <c r="M74" s="65"/>
      <c r="N74" s="65"/>
      <c r="O74" s="65"/>
      <c r="P74" s="64"/>
      <c r="Q74" s="65"/>
      <c r="R74" s="65"/>
      <c r="S74" s="65"/>
      <c r="T74" s="64"/>
      <c r="U74" s="66"/>
      <c r="V74" s="65"/>
    </row>
    <row r="75">
      <c r="B75" s="59" t="s">
        <v>129</v>
      </c>
      <c r="C75" s="59">
        <f>if(countif(F66:F74,F75)&gt;1,0,1)</f>
        <v>1</v>
      </c>
      <c r="D75" s="59"/>
      <c r="E75" s="61"/>
      <c r="F75" s="62"/>
      <c r="G75" s="61"/>
      <c r="H75" s="62"/>
      <c r="I75" s="63"/>
      <c r="J75" s="61"/>
      <c r="K75" s="61"/>
      <c r="L75" s="64"/>
      <c r="M75" s="65"/>
      <c r="N75" s="65"/>
      <c r="O75" s="65"/>
      <c r="P75" s="64"/>
      <c r="Q75" s="65"/>
      <c r="R75" s="65"/>
      <c r="S75" s="65"/>
      <c r="T75" s="64"/>
      <c r="U75" s="66"/>
      <c r="V75" s="65"/>
    </row>
    <row r="76">
      <c r="A76" s="73">
        <v>194.0</v>
      </c>
      <c r="B76" s="68" t="s">
        <v>120</v>
      </c>
      <c r="C76" s="68">
        <v>12.0</v>
      </c>
      <c r="D76" s="68" t="str">
        <f>IFERROR(__xludf.DUMMYFUNCTION("ARRAY_CONSTRAIN(sort(filter(Mens_JV_Tie_Breaker!D6:X265,Mens_JV_Tie_Breaker!D6:D265=""194 JV""),18,false,4,true,20,false,21,true),10,19)"),"#N/A")</f>
        <v>#N/A</v>
      </c>
      <c r="E76" s="69"/>
      <c r="F76" s="70"/>
      <c r="G76" s="69"/>
      <c r="H76" s="70"/>
      <c r="I76" s="71"/>
      <c r="J76" s="69"/>
      <c r="K76" s="69"/>
      <c r="L76" s="64"/>
      <c r="M76" s="72"/>
      <c r="N76" s="72"/>
      <c r="O76" s="72"/>
      <c r="P76" s="64"/>
      <c r="Q76" s="72"/>
      <c r="R76" s="72"/>
      <c r="S76" s="72"/>
      <c r="T76" s="64"/>
      <c r="U76" s="66"/>
      <c r="V76" s="72"/>
    </row>
    <row r="77">
      <c r="B77" s="68" t="s">
        <v>121</v>
      </c>
      <c r="C77" s="68">
        <v>9.0</v>
      </c>
      <c r="D77" s="68"/>
      <c r="E77" s="69"/>
      <c r="F77" s="70"/>
      <c r="G77" s="69"/>
      <c r="H77" s="70"/>
      <c r="I77" s="71"/>
      <c r="J77" s="69"/>
      <c r="K77" s="69"/>
      <c r="L77" s="64"/>
      <c r="M77" s="72"/>
      <c r="N77" s="72"/>
      <c r="O77" s="72"/>
      <c r="P77" s="64"/>
      <c r="Q77" s="72"/>
      <c r="R77" s="72"/>
      <c r="S77" s="72"/>
      <c r="T77" s="64"/>
      <c r="U77" s="66"/>
      <c r="V77" s="72"/>
    </row>
    <row r="78">
      <c r="B78" s="68" t="s">
        <v>122</v>
      </c>
      <c r="C78" s="68">
        <f>if(countif(F76:F77,F78)&gt;1,0,8)</f>
        <v>8</v>
      </c>
      <c r="D78" s="68"/>
      <c r="E78" s="69"/>
      <c r="F78" s="70"/>
      <c r="G78" s="69"/>
      <c r="H78" s="70"/>
      <c r="I78" s="71"/>
      <c r="J78" s="69"/>
      <c r="K78" s="69"/>
      <c r="L78" s="64"/>
      <c r="M78" s="72"/>
      <c r="N78" s="72"/>
      <c r="O78" s="72"/>
      <c r="P78" s="64"/>
      <c r="Q78" s="72"/>
      <c r="R78" s="72"/>
      <c r="S78" s="72"/>
      <c r="T78" s="64"/>
      <c r="U78" s="66"/>
      <c r="V78" s="72"/>
    </row>
    <row r="79">
      <c r="B79" s="68" t="s">
        <v>123</v>
      </c>
      <c r="C79" s="68">
        <f>if(countif(F76:F78,F79)&gt;1,0,7)</f>
        <v>7</v>
      </c>
      <c r="D79" s="68"/>
      <c r="E79" s="69"/>
      <c r="F79" s="70"/>
      <c r="G79" s="69"/>
      <c r="H79" s="70"/>
      <c r="I79" s="71"/>
      <c r="J79" s="69"/>
      <c r="K79" s="69"/>
      <c r="L79" s="64"/>
      <c r="M79" s="72"/>
      <c r="N79" s="72"/>
      <c r="O79" s="72"/>
      <c r="P79" s="64"/>
      <c r="Q79" s="72"/>
      <c r="R79" s="72"/>
      <c r="S79" s="72"/>
      <c r="T79" s="64"/>
      <c r="U79" s="66"/>
      <c r="V79" s="72"/>
    </row>
    <row r="80">
      <c r="B80" s="68" t="s">
        <v>124</v>
      </c>
      <c r="C80" s="68">
        <f>if(countif(F76:F79,F80)&gt;1,0,6)</f>
        <v>6</v>
      </c>
      <c r="D80" s="68"/>
      <c r="E80" s="69"/>
      <c r="F80" s="70"/>
      <c r="G80" s="69"/>
      <c r="H80" s="70"/>
      <c r="I80" s="71"/>
      <c r="J80" s="69"/>
      <c r="K80" s="69"/>
      <c r="L80" s="64"/>
      <c r="M80" s="72"/>
      <c r="N80" s="72"/>
      <c r="O80" s="72"/>
      <c r="P80" s="64"/>
      <c r="Q80" s="72"/>
      <c r="R80" s="72"/>
      <c r="S80" s="72"/>
      <c r="T80" s="64"/>
      <c r="U80" s="66"/>
      <c r="V80" s="72"/>
    </row>
    <row r="81">
      <c r="B81" s="68" t="s">
        <v>125</v>
      </c>
      <c r="C81" s="68">
        <f>if(countif(F76:F80,F81)&gt;1,0,5)</f>
        <v>5</v>
      </c>
      <c r="D81" s="68"/>
      <c r="E81" s="69"/>
      <c r="F81" s="70"/>
      <c r="G81" s="69"/>
      <c r="H81" s="70"/>
      <c r="I81" s="71"/>
      <c r="J81" s="69"/>
      <c r="K81" s="69"/>
      <c r="L81" s="64"/>
      <c r="M81" s="72"/>
      <c r="N81" s="72"/>
      <c r="O81" s="72"/>
      <c r="P81" s="64"/>
      <c r="Q81" s="72"/>
      <c r="R81" s="72"/>
      <c r="S81" s="72"/>
      <c r="T81" s="64"/>
      <c r="U81" s="66"/>
      <c r="V81" s="72"/>
    </row>
    <row r="82">
      <c r="B82" s="68" t="s">
        <v>126</v>
      </c>
      <c r="C82" s="68">
        <f>if(countif(F76:F81,F82)&gt;1,0,4)</f>
        <v>4</v>
      </c>
      <c r="D82" s="68"/>
      <c r="E82" s="69"/>
      <c r="F82" s="70"/>
      <c r="G82" s="69"/>
      <c r="H82" s="70"/>
      <c r="I82" s="71"/>
      <c r="J82" s="69"/>
      <c r="K82" s="69"/>
      <c r="L82" s="64"/>
      <c r="M82" s="72"/>
      <c r="N82" s="72"/>
      <c r="O82" s="72"/>
      <c r="P82" s="64"/>
      <c r="Q82" s="72"/>
      <c r="R82" s="72"/>
      <c r="S82" s="72"/>
      <c r="T82" s="64"/>
      <c r="U82" s="66"/>
      <c r="V82" s="72"/>
    </row>
    <row r="83">
      <c r="B83" s="68" t="s">
        <v>127</v>
      </c>
      <c r="C83" s="68">
        <f>if(countif(F76:F82,F83)&gt;1,0,3)</f>
        <v>3</v>
      </c>
      <c r="D83" s="68"/>
      <c r="E83" s="69"/>
      <c r="F83" s="70"/>
      <c r="G83" s="69"/>
      <c r="H83" s="70"/>
      <c r="I83" s="71"/>
      <c r="J83" s="69"/>
      <c r="K83" s="69"/>
      <c r="L83" s="64"/>
      <c r="M83" s="72"/>
      <c r="N83" s="72"/>
      <c r="O83" s="72"/>
      <c r="P83" s="64"/>
      <c r="Q83" s="72"/>
      <c r="R83" s="72"/>
      <c r="S83" s="72"/>
      <c r="T83" s="64"/>
      <c r="U83" s="66"/>
      <c r="V83" s="72"/>
    </row>
    <row r="84">
      <c r="B84" s="68" t="s">
        <v>128</v>
      </c>
      <c r="C84" s="68">
        <f>if(countif(F76:F83,F84)&gt;1,0,2)</f>
        <v>2</v>
      </c>
      <c r="D84" s="68"/>
      <c r="E84" s="69"/>
      <c r="F84" s="70"/>
      <c r="G84" s="69"/>
      <c r="H84" s="70"/>
      <c r="I84" s="71"/>
      <c r="J84" s="69"/>
      <c r="K84" s="69"/>
      <c r="L84" s="64"/>
      <c r="M84" s="72"/>
      <c r="N84" s="72"/>
      <c r="O84" s="72"/>
      <c r="P84" s="64"/>
      <c r="Q84" s="72"/>
      <c r="R84" s="72"/>
      <c r="S84" s="72"/>
      <c r="T84" s="64"/>
      <c r="U84" s="66"/>
      <c r="V84" s="72"/>
    </row>
    <row r="85">
      <c r="B85" s="68" t="s">
        <v>129</v>
      </c>
      <c r="C85" s="68">
        <f>if(countif(F76:F84,F85)&gt;1,0,1)</f>
        <v>1</v>
      </c>
      <c r="D85" s="68"/>
      <c r="E85" s="69"/>
      <c r="F85" s="70"/>
      <c r="G85" s="69"/>
      <c r="H85" s="70"/>
      <c r="I85" s="71"/>
      <c r="J85" s="69"/>
      <c r="K85" s="69"/>
      <c r="L85" s="64"/>
      <c r="M85" s="72"/>
      <c r="N85" s="72"/>
      <c r="O85" s="72"/>
      <c r="P85" s="64"/>
      <c r="Q85" s="72"/>
      <c r="R85" s="72"/>
      <c r="S85" s="72"/>
      <c r="T85" s="64"/>
      <c r="U85" s="66"/>
      <c r="V85" s="72"/>
    </row>
    <row r="86">
      <c r="A86" s="58">
        <v>207.0</v>
      </c>
      <c r="B86" s="59" t="s">
        <v>120</v>
      </c>
      <c r="C86" s="59">
        <v>12.0</v>
      </c>
      <c r="D86" s="59" t="str">
        <f>IFERROR(__xludf.DUMMYFUNCTION("ARRAY_CONSTRAIN(sort(filter(Mens_JV_Tie_Breaker!D6:X265,Mens_JV_Tie_Breaker!D6:D265=""207 JV""),18,false,4,true,20,false,21,true),10,19)"),"#N/A")</f>
        <v>#N/A</v>
      </c>
      <c r="E86" s="61"/>
      <c r="F86" s="62"/>
      <c r="G86" s="61"/>
      <c r="H86" s="62"/>
      <c r="I86" s="63"/>
      <c r="J86" s="61"/>
      <c r="K86" s="61"/>
      <c r="L86" s="64"/>
      <c r="M86" s="65"/>
      <c r="N86" s="65"/>
      <c r="O86" s="65"/>
      <c r="P86" s="64"/>
      <c r="Q86" s="65"/>
      <c r="R86" s="65"/>
      <c r="S86" s="65"/>
      <c r="T86" s="64"/>
      <c r="U86" s="66"/>
      <c r="V86" s="65"/>
    </row>
    <row r="87">
      <c r="B87" s="59" t="s">
        <v>121</v>
      </c>
      <c r="C87" s="59">
        <v>9.0</v>
      </c>
      <c r="D87" s="59"/>
      <c r="E87" s="61"/>
      <c r="F87" s="62"/>
      <c r="G87" s="61"/>
      <c r="H87" s="62"/>
      <c r="I87" s="63"/>
      <c r="J87" s="61"/>
      <c r="K87" s="61"/>
      <c r="L87" s="64"/>
      <c r="M87" s="65"/>
      <c r="N87" s="65"/>
      <c r="O87" s="65"/>
      <c r="P87" s="64"/>
      <c r="Q87" s="65"/>
      <c r="R87" s="65"/>
      <c r="S87" s="65"/>
      <c r="T87" s="64"/>
      <c r="U87" s="66"/>
      <c r="V87" s="65"/>
    </row>
    <row r="88">
      <c r="B88" s="59" t="s">
        <v>122</v>
      </c>
      <c r="C88" s="59">
        <f>if(countif(F86:F87,F88)&gt;1,0,8)</f>
        <v>8</v>
      </c>
      <c r="D88" s="59"/>
      <c r="E88" s="61"/>
      <c r="F88" s="62"/>
      <c r="G88" s="61"/>
      <c r="H88" s="62"/>
      <c r="I88" s="63"/>
      <c r="J88" s="61"/>
      <c r="K88" s="61"/>
      <c r="L88" s="64"/>
      <c r="M88" s="65"/>
      <c r="N88" s="65"/>
      <c r="O88" s="65"/>
      <c r="P88" s="64"/>
      <c r="Q88" s="65"/>
      <c r="R88" s="65"/>
      <c r="S88" s="65"/>
      <c r="T88" s="64"/>
      <c r="U88" s="66"/>
      <c r="V88" s="65"/>
    </row>
    <row r="89">
      <c r="B89" s="59" t="s">
        <v>123</v>
      </c>
      <c r="C89" s="59">
        <f>if(countif(F86:F88,F89)&gt;1,0,7)</f>
        <v>7</v>
      </c>
      <c r="D89" s="59"/>
      <c r="E89" s="61"/>
      <c r="F89" s="62"/>
      <c r="G89" s="61"/>
      <c r="H89" s="62"/>
      <c r="I89" s="63"/>
      <c r="J89" s="61"/>
      <c r="K89" s="61"/>
      <c r="L89" s="64"/>
      <c r="M89" s="65"/>
      <c r="N89" s="65"/>
      <c r="O89" s="65"/>
      <c r="P89" s="64"/>
      <c r="Q89" s="65"/>
      <c r="R89" s="65"/>
      <c r="S89" s="65"/>
      <c r="T89" s="64"/>
      <c r="U89" s="66"/>
      <c r="V89" s="65"/>
    </row>
    <row r="90">
      <c r="B90" s="59" t="s">
        <v>124</v>
      </c>
      <c r="C90" s="59">
        <f>if(countif(F86:F89,F90)&gt;1,0,6)</f>
        <v>6</v>
      </c>
      <c r="D90" s="59"/>
      <c r="E90" s="61"/>
      <c r="F90" s="62"/>
      <c r="G90" s="61"/>
      <c r="H90" s="62"/>
      <c r="I90" s="63"/>
      <c r="J90" s="61"/>
      <c r="K90" s="61"/>
      <c r="L90" s="64"/>
      <c r="M90" s="65"/>
      <c r="N90" s="65"/>
      <c r="O90" s="65"/>
      <c r="P90" s="64"/>
      <c r="Q90" s="65"/>
      <c r="R90" s="65"/>
      <c r="S90" s="65"/>
      <c r="T90" s="64"/>
      <c r="U90" s="66"/>
      <c r="V90" s="65"/>
    </row>
    <row r="91">
      <c r="B91" s="59" t="s">
        <v>125</v>
      </c>
      <c r="C91" s="59">
        <f>if(countif(F86:F90,F91)&gt;1,0,5)</f>
        <v>5</v>
      </c>
      <c r="D91" s="59"/>
      <c r="E91" s="61"/>
      <c r="F91" s="62"/>
      <c r="G91" s="61"/>
      <c r="H91" s="62"/>
      <c r="I91" s="63"/>
      <c r="J91" s="61"/>
      <c r="K91" s="61"/>
      <c r="L91" s="64"/>
      <c r="M91" s="65"/>
      <c r="N91" s="65"/>
      <c r="O91" s="65"/>
      <c r="P91" s="64"/>
      <c r="Q91" s="65"/>
      <c r="R91" s="65"/>
      <c r="S91" s="65"/>
      <c r="T91" s="64"/>
      <c r="U91" s="66"/>
      <c r="V91" s="65"/>
    </row>
    <row r="92">
      <c r="B92" s="59" t="s">
        <v>126</v>
      </c>
      <c r="C92" s="59">
        <f>if(countif(F86:F91,F92)&gt;1,0,4)</f>
        <v>4</v>
      </c>
      <c r="D92" s="59"/>
      <c r="E92" s="61"/>
      <c r="F92" s="62"/>
      <c r="G92" s="61"/>
      <c r="H92" s="62"/>
      <c r="I92" s="63"/>
      <c r="J92" s="61"/>
      <c r="K92" s="61"/>
      <c r="L92" s="64"/>
      <c r="M92" s="65"/>
      <c r="N92" s="65"/>
      <c r="O92" s="65"/>
      <c r="P92" s="64"/>
      <c r="Q92" s="65"/>
      <c r="R92" s="65"/>
      <c r="S92" s="65"/>
      <c r="T92" s="64"/>
      <c r="U92" s="66"/>
      <c r="V92" s="65"/>
    </row>
    <row r="93">
      <c r="B93" s="59" t="s">
        <v>127</v>
      </c>
      <c r="C93" s="59">
        <f>if(countif(F86:F92,F93)&gt;1,0,3)</f>
        <v>3</v>
      </c>
      <c r="D93" s="59"/>
      <c r="E93" s="61"/>
      <c r="F93" s="62"/>
      <c r="G93" s="61"/>
      <c r="H93" s="62"/>
      <c r="I93" s="63"/>
      <c r="J93" s="61"/>
      <c r="K93" s="61"/>
      <c r="L93" s="64"/>
      <c r="M93" s="65"/>
      <c r="N93" s="65"/>
      <c r="O93" s="65"/>
      <c r="P93" s="64"/>
      <c r="Q93" s="65"/>
      <c r="R93" s="65"/>
      <c r="S93" s="65"/>
      <c r="T93" s="64"/>
      <c r="U93" s="66"/>
      <c r="V93" s="65"/>
    </row>
    <row r="94">
      <c r="B94" s="59" t="s">
        <v>128</v>
      </c>
      <c r="C94" s="59">
        <f>if(countif(F86:F93,F94)&gt;1,0,2)</f>
        <v>2</v>
      </c>
      <c r="D94" s="59"/>
      <c r="E94" s="61"/>
      <c r="F94" s="62"/>
      <c r="G94" s="61"/>
      <c r="H94" s="62"/>
      <c r="I94" s="63"/>
      <c r="J94" s="61"/>
      <c r="K94" s="61"/>
      <c r="L94" s="64"/>
      <c r="M94" s="65"/>
      <c r="N94" s="65"/>
      <c r="O94" s="65"/>
      <c r="P94" s="64"/>
      <c r="Q94" s="65"/>
      <c r="R94" s="65"/>
      <c r="S94" s="65"/>
      <c r="T94" s="64"/>
      <c r="U94" s="66"/>
      <c r="V94" s="65"/>
    </row>
    <row r="95">
      <c r="B95" s="59" t="s">
        <v>129</v>
      </c>
      <c r="C95" s="59">
        <f>if(countif(F86:F94,F95)&gt;1,0,1)</f>
        <v>1</v>
      </c>
      <c r="D95" s="59"/>
      <c r="E95" s="61"/>
      <c r="F95" s="62"/>
      <c r="G95" s="61"/>
      <c r="H95" s="62"/>
      <c r="I95" s="63"/>
      <c r="J95" s="61"/>
      <c r="K95" s="61"/>
      <c r="L95" s="64"/>
      <c r="M95" s="65"/>
      <c r="N95" s="65"/>
      <c r="O95" s="65"/>
      <c r="P95" s="64"/>
      <c r="Q95" s="65"/>
      <c r="R95" s="65"/>
      <c r="S95" s="65"/>
      <c r="T95" s="64"/>
      <c r="U95" s="66"/>
      <c r="V95" s="65"/>
    </row>
    <row r="96">
      <c r="A96" s="73">
        <v>220.0</v>
      </c>
      <c r="B96" s="68" t="s">
        <v>120</v>
      </c>
      <c r="C96" s="68">
        <v>12.0</v>
      </c>
      <c r="D96" s="68" t="str">
        <f>IFERROR(__xludf.DUMMYFUNCTION("ARRAY_CONSTRAIN(sort(filter(Mens_JV_Tie_Breaker!D6:X265,Mens_JV_Tie_Breaker!D6:D265=""220 JV""),18,false,4,true,20,false,21,true),10,19)"),"#N/A")</f>
        <v>#N/A</v>
      </c>
      <c r="E96" s="69"/>
      <c r="F96" s="70"/>
      <c r="G96" s="69"/>
      <c r="H96" s="70"/>
      <c r="I96" s="71"/>
      <c r="J96" s="69"/>
      <c r="K96" s="69"/>
      <c r="L96" s="64"/>
      <c r="M96" s="72"/>
      <c r="N96" s="72"/>
      <c r="O96" s="72"/>
      <c r="P96" s="64"/>
      <c r="Q96" s="72"/>
      <c r="R96" s="72"/>
      <c r="S96" s="72"/>
      <c r="T96" s="64"/>
      <c r="U96" s="66"/>
      <c r="V96" s="72"/>
    </row>
    <row r="97">
      <c r="B97" s="68" t="s">
        <v>121</v>
      </c>
      <c r="C97" s="68">
        <v>9.0</v>
      </c>
      <c r="D97" s="68"/>
      <c r="E97" s="69"/>
      <c r="F97" s="70"/>
      <c r="G97" s="69"/>
      <c r="H97" s="70"/>
      <c r="I97" s="71"/>
      <c r="J97" s="69"/>
      <c r="K97" s="69"/>
      <c r="L97" s="64"/>
      <c r="M97" s="72"/>
      <c r="N97" s="72"/>
      <c r="O97" s="72"/>
      <c r="P97" s="64"/>
      <c r="Q97" s="72"/>
      <c r="R97" s="72"/>
      <c r="S97" s="72"/>
      <c r="T97" s="64"/>
      <c r="U97" s="66"/>
      <c r="V97" s="72"/>
    </row>
    <row r="98">
      <c r="B98" s="68" t="s">
        <v>122</v>
      </c>
      <c r="C98" s="68">
        <f>if(countif(F96:F97,F98)&gt;1,0,8)</f>
        <v>8</v>
      </c>
      <c r="D98" s="68"/>
      <c r="E98" s="69"/>
      <c r="F98" s="70"/>
      <c r="G98" s="69"/>
      <c r="H98" s="70"/>
      <c r="I98" s="71"/>
      <c r="J98" s="69"/>
      <c r="K98" s="69"/>
      <c r="L98" s="64"/>
      <c r="M98" s="72"/>
      <c r="N98" s="72"/>
      <c r="O98" s="72"/>
      <c r="P98" s="64"/>
      <c r="Q98" s="72"/>
      <c r="R98" s="72"/>
      <c r="S98" s="72"/>
      <c r="T98" s="64"/>
      <c r="U98" s="66"/>
      <c r="V98" s="72"/>
    </row>
    <row r="99">
      <c r="B99" s="68" t="s">
        <v>123</v>
      </c>
      <c r="C99" s="68">
        <f>if(countif(F96:F98,F99)&gt;1,0,7)</f>
        <v>7</v>
      </c>
      <c r="D99" s="68"/>
      <c r="E99" s="69"/>
      <c r="F99" s="70"/>
      <c r="G99" s="69"/>
      <c r="H99" s="70"/>
      <c r="I99" s="71"/>
      <c r="J99" s="69"/>
      <c r="K99" s="69"/>
      <c r="L99" s="64"/>
      <c r="M99" s="72"/>
      <c r="N99" s="72"/>
      <c r="O99" s="72"/>
      <c r="P99" s="64"/>
      <c r="Q99" s="72"/>
      <c r="R99" s="72"/>
      <c r="S99" s="72"/>
      <c r="T99" s="64"/>
      <c r="U99" s="66"/>
      <c r="V99" s="72"/>
    </row>
    <row r="100">
      <c r="B100" s="68" t="s">
        <v>124</v>
      </c>
      <c r="C100" s="68">
        <f>if(countif(F96:F99,F100)&gt;1,0,6)</f>
        <v>6</v>
      </c>
      <c r="D100" s="68"/>
      <c r="E100" s="69"/>
      <c r="F100" s="70"/>
      <c r="G100" s="69"/>
      <c r="H100" s="70"/>
      <c r="I100" s="71"/>
      <c r="J100" s="69"/>
      <c r="K100" s="69"/>
      <c r="L100" s="64"/>
      <c r="M100" s="72"/>
      <c r="N100" s="72"/>
      <c r="O100" s="72"/>
      <c r="P100" s="64"/>
      <c r="Q100" s="72"/>
      <c r="R100" s="72"/>
      <c r="S100" s="72"/>
      <c r="T100" s="64"/>
      <c r="U100" s="66"/>
      <c r="V100" s="72"/>
    </row>
    <row r="101">
      <c r="B101" s="68" t="s">
        <v>125</v>
      </c>
      <c r="C101" s="68">
        <f>if(countif(F96:F100,F101)&gt;1,0,5)</f>
        <v>5</v>
      </c>
      <c r="D101" s="68"/>
      <c r="E101" s="69"/>
      <c r="F101" s="70"/>
      <c r="G101" s="69"/>
      <c r="H101" s="70"/>
      <c r="I101" s="71"/>
      <c r="J101" s="69"/>
      <c r="K101" s="69"/>
      <c r="L101" s="64"/>
      <c r="M101" s="72"/>
      <c r="N101" s="72"/>
      <c r="O101" s="72"/>
      <c r="P101" s="64"/>
      <c r="Q101" s="72"/>
      <c r="R101" s="72"/>
      <c r="S101" s="72"/>
      <c r="T101" s="64"/>
      <c r="U101" s="66"/>
      <c r="V101" s="72"/>
    </row>
    <row r="102">
      <c r="B102" s="68" t="s">
        <v>126</v>
      </c>
      <c r="C102" s="68">
        <f>if(countif(F96:F101,F102)&gt;1,0,4)</f>
        <v>4</v>
      </c>
      <c r="D102" s="68"/>
      <c r="E102" s="69"/>
      <c r="F102" s="70"/>
      <c r="G102" s="69"/>
      <c r="H102" s="70"/>
      <c r="I102" s="71"/>
      <c r="J102" s="69"/>
      <c r="K102" s="69"/>
      <c r="L102" s="64"/>
      <c r="M102" s="72"/>
      <c r="N102" s="72"/>
      <c r="O102" s="72"/>
      <c r="P102" s="64"/>
      <c r="Q102" s="72"/>
      <c r="R102" s="72"/>
      <c r="S102" s="72"/>
      <c r="T102" s="64"/>
      <c r="U102" s="66"/>
      <c r="V102" s="72"/>
    </row>
    <row r="103">
      <c r="B103" s="68" t="s">
        <v>127</v>
      </c>
      <c r="C103" s="68">
        <f>if(countif(F96:F102,F103)&gt;1,0,3)</f>
        <v>3</v>
      </c>
      <c r="D103" s="68"/>
      <c r="E103" s="69"/>
      <c r="F103" s="70"/>
      <c r="G103" s="69"/>
      <c r="H103" s="70"/>
      <c r="I103" s="71"/>
      <c r="J103" s="69"/>
      <c r="K103" s="69"/>
      <c r="L103" s="64"/>
      <c r="M103" s="72"/>
      <c r="N103" s="72"/>
      <c r="O103" s="72"/>
      <c r="P103" s="64"/>
      <c r="Q103" s="72"/>
      <c r="R103" s="72"/>
      <c r="S103" s="72"/>
      <c r="T103" s="64"/>
      <c r="U103" s="66"/>
      <c r="V103" s="72"/>
    </row>
    <row r="104">
      <c r="B104" s="68" t="s">
        <v>128</v>
      </c>
      <c r="C104" s="68">
        <f>if(countif(F96:F103,F104)&gt;1,0,2)</f>
        <v>2</v>
      </c>
      <c r="D104" s="68"/>
      <c r="E104" s="69"/>
      <c r="F104" s="70"/>
      <c r="G104" s="69"/>
      <c r="H104" s="70"/>
      <c r="I104" s="71"/>
      <c r="J104" s="69"/>
      <c r="K104" s="69"/>
      <c r="L104" s="64"/>
      <c r="M104" s="72"/>
      <c r="N104" s="72"/>
      <c r="O104" s="72"/>
      <c r="P104" s="64"/>
      <c r="Q104" s="72"/>
      <c r="R104" s="72"/>
      <c r="S104" s="72"/>
      <c r="T104" s="64"/>
      <c r="U104" s="66"/>
      <c r="V104" s="72"/>
    </row>
    <row r="105">
      <c r="B105" s="68" t="s">
        <v>129</v>
      </c>
      <c r="C105" s="68">
        <f>if(countif(F96:F104,F105)&gt;1,0,1)</f>
        <v>1</v>
      </c>
      <c r="D105" s="68"/>
      <c r="E105" s="69"/>
      <c r="F105" s="70"/>
      <c r="G105" s="69"/>
      <c r="H105" s="70"/>
      <c r="I105" s="71"/>
      <c r="J105" s="69"/>
      <c r="K105" s="69"/>
      <c r="L105" s="64"/>
      <c r="M105" s="72"/>
      <c r="N105" s="72"/>
      <c r="O105" s="72"/>
      <c r="P105" s="64"/>
      <c r="Q105" s="72"/>
      <c r="R105" s="72"/>
      <c r="S105" s="72"/>
      <c r="T105" s="64"/>
      <c r="U105" s="66"/>
      <c r="V105" s="72"/>
    </row>
    <row r="106">
      <c r="A106" s="58">
        <v>242.0</v>
      </c>
      <c r="B106" s="59" t="s">
        <v>120</v>
      </c>
      <c r="C106" s="59">
        <v>12.0</v>
      </c>
      <c r="D106" s="59" t="str">
        <f>IFERROR(__xludf.DUMMYFUNCTION("ARRAY_CONSTRAIN(sort(filter(Mens_JV_Tie_Breaker!D6:X265,Mens_JV_Tie_Breaker!D6:D265=""242 JV""),18,false,4,true,20,false,21,true),10,19)"),"#N/A")</f>
        <v>#N/A</v>
      </c>
      <c r="E106" s="61"/>
      <c r="F106" s="62"/>
      <c r="G106" s="61"/>
      <c r="H106" s="62"/>
      <c r="I106" s="63"/>
      <c r="J106" s="61"/>
      <c r="K106" s="61"/>
      <c r="L106" s="64"/>
      <c r="M106" s="65"/>
      <c r="N106" s="65"/>
      <c r="O106" s="65"/>
      <c r="P106" s="64"/>
      <c r="Q106" s="65"/>
      <c r="R106" s="65"/>
      <c r="S106" s="65"/>
      <c r="T106" s="64"/>
      <c r="U106" s="66"/>
      <c r="V106" s="65"/>
    </row>
    <row r="107">
      <c r="B107" s="59" t="s">
        <v>121</v>
      </c>
      <c r="C107" s="59">
        <v>9.0</v>
      </c>
      <c r="D107" s="59"/>
      <c r="E107" s="61"/>
      <c r="F107" s="62"/>
      <c r="G107" s="61"/>
      <c r="H107" s="62"/>
      <c r="I107" s="63"/>
      <c r="J107" s="61"/>
      <c r="K107" s="61"/>
      <c r="L107" s="64"/>
      <c r="M107" s="65"/>
      <c r="N107" s="65"/>
      <c r="O107" s="65"/>
      <c r="P107" s="64"/>
      <c r="Q107" s="65"/>
      <c r="R107" s="65"/>
      <c r="S107" s="65"/>
      <c r="T107" s="64"/>
      <c r="U107" s="66"/>
      <c r="V107" s="65"/>
    </row>
    <row r="108">
      <c r="B108" s="59" t="s">
        <v>122</v>
      </c>
      <c r="C108" s="59">
        <f>if(countif(F106:F107,F108)&gt;1,0,8)</f>
        <v>8</v>
      </c>
      <c r="D108" s="59"/>
      <c r="E108" s="61"/>
      <c r="F108" s="62"/>
      <c r="G108" s="61"/>
      <c r="H108" s="62"/>
      <c r="I108" s="63"/>
      <c r="J108" s="61"/>
      <c r="K108" s="61"/>
      <c r="L108" s="64"/>
      <c r="M108" s="65"/>
      <c r="N108" s="65"/>
      <c r="O108" s="65"/>
      <c r="P108" s="64"/>
      <c r="Q108" s="65"/>
      <c r="R108" s="65"/>
      <c r="S108" s="65"/>
      <c r="T108" s="64"/>
      <c r="U108" s="66"/>
      <c r="V108" s="65"/>
    </row>
    <row r="109">
      <c r="B109" s="59" t="s">
        <v>123</v>
      </c>
      <c r="C109" s="59">
        <f>if(countif(F106:F108,F109)&gt;1,0,7)</f>
        <v>7</v>
      </c>
      <c r="D109" s="59"/>
      <c r="E109" s="61"/>
      <c r="F109" s="62"/>
      <c r="G109" s="61"/>
      <c r="H109" s="62"/>
      <c r="I109" s="63"/>
      <c r="J109" s="61"/>
      <c r="K109" s="61"/>
      <c r="L109" s="64"/>
      <c r="M109" s="65"/>
      <c r="N109" s="65"/>
      <c r="O109" s="65"/>
      <c r="P109" s="64"/>
      <c r="Q109" s="65"/>
      <c r="R109" s="65"/>
      <c r="S109" s="65"/>
      <c r="T109" s="64"/>
      <c r="U109" s="66"/>
      <c r="V109" s="65"/>
    </row>
    <row r="110">
      <c r="B110" s="59" t="s">
        <v>124</v>
      </c>
      <c r="C110" s="59">
        <f>if(countif(F106:F109,F110)&gt;1,0,6)</f>
        <v>6</v>
      </c>
      <c r="D110" s="59"/>
      <c r="E110" s="61"/>
      <c r="F110" s="62"/>
      <c r="G110" s="61"/>
      <c r="H110" s="62"/>
      <c r="I110" s="63"/>
      <c r="J110" s="61"/>
      <c r="K110" s="61"/>
      <c r="L110" s="64"/>
      <c r="M110" s="65"/>
      <c r="N110" s="65"/>
      <c r="O110" s="65"/>
      <c r="P110" s="64"/>
      <c r="Q110" s="65"/>
      <c r="R110" s="65"/>
      <c r="S110" s="65"/>
      <c r="T110" s="64"/>
      <c r="U110" s="66"/>
      <c r="V110" s="65"/>
    </row>
    <row r="111">
      <c r="B111" s="59" t="s">
        <v>125</v>
      </c>
      <c r="C111" s="59">
        <f>if(countif(F106:F110,F111)&gt;1,0,5)</f>
        <v>5</v>
      </c>
      <c r="D111" s="59"/>
      <c r="E111" s="61"/>
      <c r="F111" s="62"/>
      <c r="G111" s="61"/>
      <c r="H111" s="62"/>
      <c r="I111" s="63"/>
      <c r="J111" s="61"/>
      <c r="K111" s="61"/>
      <c r="L111" s="64"/>
      <c r="M111" s="65"/>
      <c r="N111" s="65"/>
      <c r="O111" s="65"/>
      <c r="P111" s="64"/>
      <c r="Q111" s="65"/>
      <c r="R111" s="65"/>
      <c r="S111" s="65"/>
      <c r="T111" s="64"/>
      <c r="U111" s="66"/>
      <c r="V111" s="65"/>
    </row>
    <row r="112">
      <c r="B112" s="59" t="s">
        <v>126</v>
      </c>
      <c r="C112" s="59">
        <f>if(countif(F106:F111,F112)&gt;1,0,4)</f>
        <v>4</v>
      </c>
      <c r="D112" s="59"/>
      <c r="E112" s="61"/>
      <c r="F112" s="62"/>
      <c r="G112" s="61"/>
      <c r="H112" s="62"/>
      <c r="I112" s="63"/>
      <c r="J112" s="61"/>
      <c r="K112" s="61"/>
      <c r="L112" s="64"/>
      <c r="M112" s="65"/>
      <c r="N112" s="65"/>
      <c r="O112" s="65"/>
      <c r="P112" s="64"/>
      <c r="Q112" s="65"/>
      <c r="R112" s="65"/>
      <c r="S112" s="65"/>
      <c r="T112" s="64"/>
      <c r="U112" s="66"/>
      <c r="V112" s="65"/>
    </row>
    <row r="113">
      <c r="B113" s="59" t="s">
        <v>127</v>
      </c>
      <c r="C113" s="59">
        <f>if(countif(F106:F112,F113)&gt;1,0,3)</f>
        <v>3</v>
      </c>
      <c r="D113" s="59"/>
      <c r="E113" s="61"/>
      <c r="F113" s="62"/>
      <c r="G113" s="61"/>
      <c r="H113" s="62"/>
      <c r="I113" s="63"/>
      <c r="J113" s="61"/>
      <c r="K113" s="61"/>
      <c r="L113" s="64"/>
      <c r="M113" s="65"/>
      <c r="N113" s="65"/>
      <c r="O113" s="65"/>
      <c r="P113" s="64"/>
      <c r="Q113" s="65"/>
      <c r="R113" s="65"/>
      <c r="S113" s="65"/>
      <c r="T113" s="64"/>
      <c r="U113" s="66"/>
      <c r="V113" s="65"/>
    </row>
    <row r="114">
      <c r="B114" s="59" t="s">
        <v>128</v>
      </c>
      <c r="C114" s="59">
        <f>if(countif(F106:F113,F114)&gt;1,0,2)</f>
        <v>2</v>
      </c>
      <c r="D114" s="59"/>
      <c r="E114" s="61"/>
      <c r="F114" s="62"/>
      <c r="G114" s="61"/>
      <c r="H114" s="62"/>
      <c r="I114" s="63"/>
      <c r="J114" s="61"/>
      <c r="K114" s="61"/>
      <c r="L114" s="64"/>
      <c r="M114" s="65"/>
      <c r="N114" s="65"/>
      <c r="O114" s="65"/>
      <c r="P114" s="64"/>
      <c r="Q114" s="65"/>
      <c r="R114" s="65"/>
      <c r="S114" s="65"/>
      <c r="T114" s="64"/>
      <c r="U114" s="66"/>
      <c r="V114" s="65"/>
    </row>
    <row r="115">
      <c r="B115" s="59" t="s">
        <v>129</v>
      </c>
      <c r="C115" s="59">
        <f>if(countif(F106:F114,F115)&gt;1,0,1)</f>
        <v>1</v>
      </c>
      <c r="D115" s="59"/>
      <c r="E115" s="61"/>
      <c r="F115" s="62"/>
      <c r="G115" s="61"/>
      <c r="H115" s="62"/>
      <c r="I115" s="63"/>
      <c r="J115" s="61"/>
      <c r="K115" s="61"/>
      <c r="L115" s="64"/>
      <c r="M115" s="65"/>
      <c r="N115" s="65"/>
      <c r="O115" s="65"/>
      <c r="P115" s="64"/>
      <c r="Q115" s="65"/>
      <c r="R115" s="65"/>
      <c r="S115" s="65"/>
      <c r="T115" s="64"/>
      <c r="U115" s="66"/>
      <c r="V115" s="65"/>
    </row>
    <row r="116">
      <c r="A116" s="73">
        <v>275.0</v>
      </c>
      <c r="B116" s="68" t="s">
        <v>120</v>
      </c>
      <c r="C116" s="68">
        <v>12.0</v>
      </c>
      <c r="D116" s="68" t="str">
        <f>IFERROR(__xludf.DUMMYFUNCTION("ARRAY_CONSTRAIN(sort(filter(Mens_JV_Tie_Breaker!D6:X265,Mens_JV_Tie_Breaker!D6:D265=""275 JV""),18,false,4,true,20,false,21,true),10,19)"),"#N/A")</f>
        <v>#N/A</v>
      </c>
      <c r="E116" s="69"/>
      <c r="F116" s="70"/>
      <c r="G116" s="69"/>
      <c r="H116" s="70"/>
      <c r="I116" s="71"/>
      <c r="J116" s="69"/>
      <c r="K116" s="69"/>
      <c r="L116" s="64"/>
      <c r="M116" s="72"/>
      <c r="N116" s="72"/>
      <c r="O116" s="72"/>
      <c r="P116" s="64"/>
      <c r="Q116" s="72"/>
      <c r="R116" s="72"/>
      <c r="S116" s="72"/>
      <c r="T116" s="64"/>
      <c r="U116" s="66"/>
      <c r="V116" s="72"/>
    </row>
    <row r="117">
      <c r="B117" s="68" t="s">
        <v>121</v>
      </c>
      <c r="C117" s="68">
        <v>9.0</v>
      </c>
      <c r="D117" s="68"/>
      <c r="E117" s="69"/>
      <c r="F117" s="70"/>
      <c r="G117" s="69"/>
      <c r="H117" s="70"/>
      <c r="I117" s="71"/>
      <c r="J117" s="69"/>
      <c r="K117" s="69"/>
      <c r="L117" s="64"/>
      <c r="M117" s="72"/>
      <c r="N117" s="72"/>
      <c r="O117" s="72"/>
      <c r="P117" s="64"/>
      <c r="Q117" s="72"/>
      <c r="R117" s="72"/>
      <c r="S117" s="72"/>
      <c r="T117" s="64"/>
      <c r="U117" s="66"/>
      <c r="V117" s="72"/>
    </row>
    <row r="118">
      <c r="B118" s="68" t="s">
        <v>122</v>
      </c>
      <c r="C118" s="68">
        <f>if(countif(F116:F117,F118)&gt;1,0,8)</f>
        <v>8</v>
      </c>
      <c r="D118" s="68"/>
      <c r="E118" s="69"/>
      <c r="F118" s="70"/>
      <c r="G118" s="69"/>
      <c r="H118" s="70"/>
      <c r="I118" s="71"/>
      <c r="J118" s="69"/>
      <c r="K118" s="69"/>
      <c r="L118" s="64"/>
      <c r="M118" s="72"/>
      <c r="N118" s="72"/>
      <c r="O118" s="72"/>
      <c r="P118" s="64"/>
      <c r="Q118" s="72"/>
      <c r="R118" s="72"/>
      <c r="S118" s="72"/>
      <c r="T118" s="64"/>
      <c r="U118" s="66"/>
      <c r="V118" s="72"/>
    </row>
    <row r="119">
      <c r="B119" s="68" t="s">
        <v>123</v>
      </c>
      <c r="C119" s="68">
        <f>if(countif(F116:F118,F119)&gt;1,0,7)</f>
        <v>7</v>
      </c>
      <c r="D119" s="68"/>
      <c r="E119" s="69"/>
      <c r="F119" s="70"/>
      <c r="G119" s="69"/>
      <c r="H119" s="70"/>
      <c r="I119" s="71"/>
      <c r="J119" s="69"/>
      <c r="K119" s="69"/>
      <c r="L119" s="64"/>
      <c r="M119" s="72"/>
      <c r="N119" s="72"/>
      <c r="O119" s="72"/>
      <c r="P119" s="64"/>
      <c r="Q119" s="72"/>
      <c r="R119" s="72"/>
      <c r="S119" s="72"/>
      <c r="T119" s="64"/>
      <c r="U119" s="66"/>
      <c r="V119" s="72"/>
    </row>
    <row r="120">
      <c r="B120" s="68" t="s">
        <v>124</v>
      </c>
      <c r="C120" s="68">
        <f>if(countif(F116:F119,F120)&gt;1,0,6)</f>
        <v>6</v>
      </c>
      <c r="D120" s="68"/>
      <c r="E120" s="69"/>
      <c r="F120" s="70"/>
      <c r="G120" s="69"/>
      <c r="H120" s="70"/>
      <c r="I120" s="71"/>
      <c r="J120" s="69"/>
      <c r="K120" s="69"/>
      <c r="L120" s="64"/>
      <c r="M120" s="72"/>
      <c r="N120" s="72"/>
      <c r="O120" s="72"/>
      <c r="P120" s="64"/>
      <c r="Q120" s="72"/>
      <c r="R120" s="72"/>
      <c r="S120" s="72"/>
      <c r="T120" s="64"/>
      <c r="U120" s="66"/>
      <c r="V120" s="72"/>
    </row>
    <row r="121">
      <c r="B121" s="68" t="s">
        <v>125</v>
      </c>
      <c r="C121" s="68">
        <f>if(countif(F116:F120,F121)&gt;1,0,5)</f>
        <v>5</v>
      </c>
      <c r="D121" s="68"/>
      <c r="E121" s="69"/>
      <c r="F121" s="70"/>
      <c r="G121" s="69"/>
      <c r="H121" s="70"/>
      <c r="I121" s="71"/>
      <c r="J121" s="69"/>
      <c r="K121" s="69"/>
      <c r="L121" s="64"/>
      <c r="M121" s="72"/>
      <c r="N121" s="72"/>
      <c r="O121" s="72"/>
      <c r="P121" s="64"/>
      <c r="Q121" s="72"/>
      <c r="R121" s="72"/>
      <c r="S121" s="72"/>
      <c r="T121" s="64"/>
      <c r="U121" s="66"/>
      <c r="V121" s="72"/>
    </row>
    <row r="122">
      <c r="B122" s="68" t="s">
        <v>126</v>
      </c>
      <c r="C122" s="68">
        <f>if(countif(F116:F121,F122)&gt;1,0,4)</f>
        <v>4</v>
      </c>
      <c r="D122" s="68"/>
      <c r="E122" s="69"/>
      <c r="F122" s="70"/>
      <c r="G122" s="69"/>
      <c r="H122" s="70"/>
      <c r="I122" s="71"/>
      <c r="J122" s="69"/>
      <c r="K122" s="69"/>
      <c r="L122" s="64"/>
      <c r="M122" s="72"/>
      <c r="N122" s="72"/>
      <c r="O122" s="72"/>
      <c r="P122" s="64"/>
      <c r="Q122" s="72"/>
      <c r="R122" s="72"/>
      <c r="S122" s="72"/>
      <c r="T122" s="64"/>
      <c r="U122" s="66"/>
      <c r="V122" s="72"/>
    </row>
    <row r="123">
      <c r="B123" s="68" t="s">
        <v>127</v>
      </c>
      <c r="C123" s="68">
        <f>if(countif(F116:F122,F123)&gt;1,0,3)</f>
        <v>3</v>
      </c>
      <c r="D123" s="68"/>
      <c r="E123" s="69"/>
      <c r="F123" s="70"/>
      <c r="G123" s="69"/>
      <c r="H123" s="70"/>
      <c r="I123" s="71"/>
      <c r="J123" s="69"/>
      <c r="K123" s="69"/>
      <c r="L123" s="64"/>
      <c r="M123" s="72"/>
      <c r="N123" s="72"/>
      <c r="O123" s="72"/>
      <c r="P123" s="64"/>
      <c r="Q123" s="72"/>
      <c r="R123" s="72"/>
      <c r="S123" s="72"/>
      <c r="T123" s="64"/>
      <c r="U123" s="66"/>
      <c r="V123" s="72"/>
    </row>
    <row r="124">
      <c r="B124" s="68" t="s">
        <v>128</v>
      </c>
      <c r="C124" s="68">
        <f>if(countif(F116:F123,F124)&gt;1,0,2)</f>
        <v>2</v>
      </c>
      <c r="D124" s="68"/>
      <c r="E124" s="69"/>
      <c r="F124" s="70"/>
      <c r="G124" s="69"/>
      <c r="H124" s="70"/>
      <c r="I124" s="71"/>
      <c r="J124" s="69"/>
      <c r="K124" s="69"/>
      <c r="L124" s="64"/>
      <c r="M124" s="72"/>
      <c r="N124" s="72"/>
      <c r="O124" s="72"/>
      <c r="P124" s="64"/>
      <c r="Q124" s="72"/>
      <c r="R124" s="72"/>
      <c r="S124" s="72"/>
      <c r="T124" s="64"/>
      <c r="U124" s="66"/>
      <c r="V124" s="72"/>
    </row>
    <row r="125">
      <c r="B125" s="68" t="s">
        <v>129</v>
      </c>
      <c r="C125" s="68">
        <f>if(countif(F116:F124,F125)&gt;1,0,1)</f>
        <v>1</v>
      </c>
      <c r="D125" s="68"/>
      <c r="E125" s="69"/>
      <c r="F125" s="70"/>
      <c r="G125" s="69"/>
      <c r="H125" s="70"/>
      <c r="I125" s="71"/>
      <c r="J125" s="69"/>
      <c r="K125" s="69"/>
      <c r="L125" s="64"/>
      <c r="M125" s="72"/>
      <c r="N125" s="72"/>
      <c r="O125" s="72"/>
      <c r="P125" s="64"/>
      <c r="Q125" s="72"/>
      <c r="R125" s="72"/>
      <c r="S125" s="72"/>
      <c r="T125" s="64"/>
      <c r="U125" s="66"/>
      <c r="V125" s="72"/>
    </row>
    <row r="126">
      <c r="A126" s="58" t="s">
        <v>130</v>
      </c>
      <c r="B126" s="59" t="s">
        <v>120</v>
      </c>
      <c r="C126" s="59">
        <v>12.0</v>
      </c>
      <c r="D126" s="59" t="str">
        <f>IFERROR(__xludf.DUMMYFUNCTION("ARRAY_CONSTRAIN(sort(filter(Mens_JV_Tie_Breaker!D6:X265,Mens_JV_Tie_Breaker!D6:D265=""SHW JV""),18,false,4,true,20,false,21,true),10,19)"),"#N/A")</f>
        <v>#N/A</v>
      </c>
      <c r="E126" s="61"/>
      <c r="F126" s="62"/>
      <c r="G126" s="61"/>
      <c r="H126" s="62"/>
      <c r="I126" s="63"/>
      <c r="J126" s="61"/>
      <c r="K126" s="61"/>
      <c r="L126" s="64"/>
      <c r="M126" s="65"/>
      <c r="N126" s="65"/>
      <c r="O126" s="65"/>
      <c r="P126" s="64"/>
      <c r="Q126" s="65"/>
      <c r="R126" s="65"/>
      <c r="S126" s="65"/>
      <c r="T126" s="64"/>
      <c r="U126" s="66"/>
      <c r="V126" s="65"/>
    </row>
    <row r="127">
      <c r="B127" s="59" t="s">
        <v>121</v>
      </c>
      <c r="C127" s="59">
        <v>9.0</v>
      </c>
      <c r="D127" s="59"/>
      <c r="E127" s="61"/>
      <c r="F127" s="62"/>
      <c r="G127" s="61"/>
      <c r="H127" s="62"/>
      <c r="I127" s="63"/>
      <c r="J127" s="61"/>
      <c r="K127" s="61"/>
      <c r="L127" s="64"/>
      <c r="M127" s="65"/>
      <c r="N127" s="65"/>
      <c r="O127" s="65"/>
      <c r="P127" s="64"/>
      <c r="Q127" s="65"/>
      <c r="R127" s="65"/>
      <c r="S127" s="65"/>
      <c r="T127" s="64"/>
      <c r="U127" s="66"/>
      <c r="V127" s="65"/>
    </row>
    <row r="128">
      <c r="B128" s="59" t="s">
        <v>122</v>
      </c>
      <c r="C128" s="59">
        <f>if(countif(F126:F127,F128)&gt;1,0,8)</f>
        <v>8</v>
      </c>
      <c r="D128" s="59"/>
      <c r="E128" s="61"/>
      <c r="F128" s="62"/>
      <c r="G128" s="61"/>
      <c r="H128" s="62"/>
      <c r="I128" s="63"/>
      <c r="J128" s="61"/>
      <c r="K128" s="61"/>
      <c r="L128" s="64"/>
      <c r="M128" s="65"/>
      <c r="N128" s="65"/>
      <c r="O128" s="65"/>
      <c r="P128" s="64"/>
      <c r="Q128" s="65"/>
      <c r="R128" s="65"/>
      <c r="S128" s="65"/>
      <c r="T128" s="64"/>
      <c r="U128" s="66"/>
      <c r="V128" s="65"/>
    </row>
    <row r="129">
      <c r="B129" s="59" t="s">
        <v>123</v>
      </c>
      <c r="C129" s="59">
        <f>if(countif(F126:F128,F129)&gt;1,0,7)</f>
        <v>7</v>
      </c>
      <c r="D129" s="59"/>
      <c r="E129" s="61"/>
      <c r="F129" s="62"/>
      <c r="G129" s="61"/>
      <c r="H129" s="62"/>
      <c r="I129" s="63"/>
      <c r="J129" s="61"/>
      <c r="K129" s="61"/>
      <c r="L129" s="64"/>
      <c r="M129" s="65"/>
      <c r="N129" s="65"/>
      <c r="O129" s="65"/>
      <c r="P129" s="64"/>
      <c r="Q129" s="65"/>
      <c r="R129" s="65"/>
      <c r="S129" s="65"/>
      <c r="T129" s="64"/>
      <c r="U129" s="66"/>
      <c r="V129" s="65"/>
    </row>
    <row r="130">
      <c r="B130" s="59" t="s">
        <v>124</v>
      </c>
      <c r="C130" s="59">
        <f>if(countif(F126:F129,F130)&gt;1,0,6)</f>
        <v>6</v>
      </c>
      <c r="D130" s="59"/>
      <c r="E130" s="61"/>
      <c r="F130" s="62"/>
      <c r="G130" s="61"/>
      <c r="H130" s="62"/>
      <c r="I130" s="63"/>
      <c r="J130" s="61"/>
      <c r="K130" s="61"/>
      <c r="L130" s="64"/>
      <c r="M130" s="65"/>
      <c r="N130" s="65"/>
      <c r="O130" s="65"/>
      <c r="P130" s="64"/>
      <c r="Q130" s="65"/>
      <c r="R130" s="65"/>
      <c r="S130" s="65"/>
      <c r="T130" s="64"/>
      <c r="U130" s="66"/>
      <c r="V130" s="65"/>
    </row>
    <row r="131">
      <c r="B131" s="59" t="s">
        <v>125</v>
      </c>
      <c r="C131" s="59">
        <f>if(countif(F126:F130,F131)&gt;1,0,5)</f>
        <v>5</v>
      </c>
      <c r="D131" s="59"/>
      <c r="E131" s="61"/>
      <c r="F131" s="62"/>
      <c r="G131" s="61"/>
      <c r="H131" s="62"/>
      <c r="I131" s="63"/>
      <c r="J131" s="61"/>
      <c r="K131" s="61"/>
      <c r="L131" s="64"/>
      <c r="M131" s="65"/>
      <c r="N131" s="65"/>
      <c r="O131" s="65"/>
      <c r="P131" s="64"/>
      <c r="Q131" s="65"/>
      <c r="R131" s="65"/>
      <c r="S131" s="65"/>
      <c r="T131" s="64"/>
      <c r="U131" s="66"/>
      <c r="V131" s="65"/>
    </row>
    <row r="132">
      <c r="B132" s="59" t="s">
        <v>126</v>
      </c>
      <c r="C132" s="59">
        <f>if(countif(F126:F131,F132)&gt;1,0,4)</f>
        <v>4</v>
      </c>
      <c r="D132" s="59"/>
      <c r="E132" s="61"/>
      <c r="F132" s="62"/>
      <c r="G132" s="61"/>
      <c r="H132" s="62"/>
      <c r="I132" s="63"/>
      <c r="J132" s="61"/>
      <c r="K132" s="61"/>
      <c r="L132" s="64"/>
      <c r="M132" s="65"/>
      <c r="N132" s="65"/>
      <c r="O132" s="65"/>
      <c r="P132" s="64"/>
      <c r="Q132" s="65"/>
      <c r="R132" s="65"/>
      <c r="S132" s="65"/>
      <c r="T132" s="64"/>
      <c r="U132" s="66"/>
      <c r="V132" s="65"/>
    </row>
    <row r="133">
      <c r="B133" s="59" t="s">
        <v>127</v>
      </c>
      <c r="C133" s="59">
        <f>if(countif(F126:F132,F133)&gt;1,0,3)</f>
        <v>3</v>
      </c>
      <c r="D133" s="59"/>
      <c r="E133" s="61"/>
      <c r="F133" s="62"/>
      <c r="G133" s="61"/>
      <c r="H133" s="62"/>
      <c r="I133" s="63"/>
      <c r="J133" s="61"/>
      <c r="K133" s="61"/>
      <c r="L133" s="64"/>
      <c r="M133" s="65"/>
      <c r="N133" s="65"/>
      <c r="O133" s="65"/>
      <c r="P133" s="64"/>
      <c r="Q133" s="65"/>
      <c r="R133" s="65"/>
      <c r="S133" s="65"/>
      <c r="T133" s="64"/>
      <c r="U133" s="66"/>
      <c r="V133" s="65"/>
    </row>
    <row r="134">
      <c r="B134" s="59" t="s">
        <v>128</v>
      </c>
      <c r="C134" s="59">
        <f>if(countif(F126:F133,F134)&gt;1,0,2)</f>
        <v>2</v>
      </c>
      <c r="D134" s="59"/>
      <c r="E134" s="61"/>
      <c r="F134" s="62"/>
      <c r="G134" s="61"/>
      <c r="H134" s="62"/>
      <c r="I134" s="63"/>
      <c r="J134" s="61"/>
      <c r="K134" s="61"/>
      <c r="L134" s="64"/>
      <c r="M134" s="65"/>
      <c r="N134" s="65"/>
      <c r="O134" s="65"/>
      <c r="P134" s="64"/>
      <c r="Q134" s="65"/>
      <c r="R134" s="65"/>
      <c r="S134" s="65"/>
      <c r="T134" s="64"/>
      <c r="U134" s="66"/>
      <c r="V134" s="65"/>
    </row>
    <row r="135">
      <c r="B135" s="59" t="s">
        <v>129</v>
      </c>
      <c r="C135" s="59">
        <f>if(countif(F126:F134,F135)&gt;1,0,1)</f>
        <v>1</v>
      </c>
      <c r="D135" s="59"/>
      <c r="E135" s="61"/>
      <c r="F135" s="62"/>
      <c r="G135" s="61"/>
      <c r="H135" s="62"/>
      <c r="I135" s="63"/>
      <c r="J135" s="61"/>
      <c r="K135" s="61"/>
      <c r="L135" s="64"/>
      <c r="M135" s="65"/>
      <c r="N135" s="65"/>
      <c r="O135" s="65"/>
      <c r="P135" s="64"/>
      <c r="Q135" s="65"/>
      <c r="R135" s="65"/>
      <c r="S135" s="65"/>
      <c r="T135" s="64"/>
      <c r="U135" s="66"/>
      <c r="V135" s="65"/>
    </row>
  </sheetData>
  <mergeCells count="19">
    <mergeCell ref="A56:A65"/>
    <mergeCell ref="A46:A55"/>
    <mergeCell ref="A76:A85"/>
    <mergeCell ref="A66:A75"/>
    <mergeCell ref="A86:A95"/>
    <mergeCell ref="A116:A125"/>
    <mergeCell ref="A106:A115"/>
    <mergeCell ref="A126:A135"/>
    <mergeCell ref="A96:A105"/>
    <mergeCell ref="M5:O5"/>
    <mergeCell ref="Q5:S5"/>
    <mergeCell ref="W5:W135"/>
    <mergeCell ref="A26:A35"/>
    <mergeCell ref="A16:A25"/>
    <mergeCell ref="A36:A45"/>
    <mergeCell ref="A6:A15"/>
    <mergeCell ref="A4:W4"/>
    <mergeCell ref="A1:W3"/>
    <mergeCell ref="I5:K5"/>
  </mergeCells>
  <conditionalFormatting sqref="U5">
    <cfRule type="containsText" dxfId="0" priority="1" operator="containsText" text="There are same totals">
      <formula>NOT(ISERROR(SEARCH(("There are same totals"),(U5))))</formula>
    </cfRule>
  </conditionalFormatting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5.43"/>
    <col customWidth="1" min="2" max="2" width="4.71"/>
    <col customWidth="1" min="3" max="3" width="5.71"/>
    <col customWidth="1" min="4" max="4" width="7.29"/>
    <col customWidth="1" min="5" max="5" width="6.14"/>
    <col customWidth="1" min="6" max="6" width="15.86"/>
    <col customWidth="1" min="7" max="7" width="8.0"/>
    <col customWidth="1" min="8" max="8" width="18.29"/>
    <col customWidth="1" min="9" max="22" width="5.43"/>
    <col customWidth="1" min="23" max="23" width="4.14"/>
  </cols>
  <sheetData>
    <row r="1">
      <c r="A1" s="56" t="s">
        <v>134</v>
      </c>
    </row>
    <row r="4" ht="3.0" customHeight="1">
      <c r="A4" s="4"/>
    </row>
    <row r="5" ht="18.75" customHeight="1">
      <c r="A5" s="14"/>
      <c r="B5" s="14"/>
      <c r="C5" s="14"/>
      <c r="D5" s="14"/>
      <c r="E5" s="16" t="s">
        <v>35</v>
      </c>
      <c r="F5" s="18" t="s">
        <v>22</v>
      </c>
      <c r="G5" s="57" t="s">
        <v>23</v>
      </c>
      <c r="H5" s="18" t="s">
        <v>25</v>
      </c>
      <c r="I5" s="57" t="s">
        <v>115</v>
      </c>
      <c r="L5" s="57"/>
      <c r="M5" s="57" t="s">
        <v>116</v>
      </c>
      <c r="P5" s="57"/>
      <c r="Q5" s="57" t="s">
        <v>117</v>
      </c>
      <c r="T5" s="57"/>
      <c r="U5" s="57" t="s">
        <v>118</v>
      </c>
      <c r="V5" s="57" t="s">
        <v>119</v>
      </c>
      <c r="W5" s="57"/>
    </row>
    <row r="6">
      <c r="A6" s="58">
        <v>97.0</v>
      </c>
      <c r="B6" s="59" t="s">
        <v>120</v>
      </c>
      <c r="C6" s="59">
        <v>12.0</v>
      </c>
      <c r="D6" s="60" t="str">
        <f>IFERROR(__xludf.DUMMYFUNCTION("ARRAY_CONSTRAIN(sort(filter(WJV_Tie_Breaker!D6:X285,WJV_Tie_Breaker!D6:D285=""97 WJV""),18,false,4,true,20,false,21,true),10,19)"),"97 WJV")</f>
        <v>97 WJV</v>
      </c>
      <c r="E6" s="61" t="str">
        <f>IFERROR(__xludf.DUMMYFUNCTION("""COMPUTED_VALUE"""),"WJV")</f>
        <v>WJV</v>
      </c>
      <c r="F6" s="62" t="str">
        <f>IFERROR(__xludf.DUMMYFUNCTION("""COMPUTED_VALUE"""),"Central Montcalm")</f>
        <v>Central Montcalm</v>
      </c>
      <c r="G6" s="61">
        <f>IFERROR(__xludf.DUMMYFUNCTION("""COMPUTED_VALUE"""),90.8)</f>
        <v>90.8</v>
      </c>
      <c r="H6" s="62" t="str">
        <f>IFERROR(__xludf.DUMMYFUNCTION("""COMPUTED_VALUE"""),"Kalnins, Carrie")</f>
        <v>Kalnins, Carrie</v>
      </c>
      <c r="I6" s="63" t="str">
        <f>IFERROR(__xludf.DUMMYFUNCTION("""COMPUTED_VALUE"""),"130g")</f>
        <v>130g</v>
      </c>
      <c r="J6" s="61" t="str">
        <f>IFERROR(__xludf.DUMMYFUNCTION("""COMPUTED_VALUE"""),"140g")</f>
        <v>140g</v>
      </c>
      <c r="K6" s="61" t="str">
        <f>IFERROR(__xludf.DUMMYFUNCTION("""COMPUTED_VALUE"""),"155g")</f>
        <v>155g</v>
      </c>
      <c r="L6" s="77">
        <f>IFERROR(__xludf.DUMMYFUNCTION("""COMPUTED_VALUE"""),155.0)</f>
        <v>155</v>
      </c>
      <c r="M6" s="65" t="str">
        <f>IFERROR(__xludf.DUMMYFUNCTION("""COMPUTED_VALUE"""),"75g")</f>
        <v>75g</v>
      </c>
      <c r="N6" s="65" t="str">
        <f>IFERROR(__xludf.DUMMYFUNCTION("""COMPUTED_VALUE"""),"80g")</f>
        <v>80g</v>
      </c>
      <c r="O6" s="65" t="str">
        <f>IFERROR(__xludf.DUMMYFUNCTION("""COMPUTED_VALUE"""),"85x")</f>
        <v>85x</v>
      </c>
      <c r="P6" s="64">
        <f>IFERROR(__xludf.DUMMYFUNCTION("""COMPUTED_VALUE"""),80.0)</f>
        <v>80</v>
      </c>
      <c r="Q6" s="65" t="str">
        <f>IFERROR(__xludf.DUMMYFUNCTION("""COMPUTED_VALUE"""),"165g")</f>
        <v>165g</v>
      </c>
      <c r="R6" s="65" t="str">
        <f>IFERROR(__xludf.DUMMYFUNCTION("""COMPUTED_VALUE"""),"180g")</f>
        <v>180g</v>
      </c>
      <c r="S6" s="65" t="str">
        <f>IFERROR(__xludf.DUMMYFUNCTION("""COMPUTED_VALUE"""),"195x")</f>
        <v>195x</v>
      </c>
      <c r="T6" s="64">
        <f>IFERROR(__xludf.DUMMYFUNCTION("""COMPUTED_VALUE"""),180.0)</f>
        <v>180</v>
      </c>
      <c r="U6" s="66">
        <f>IFERROR(__xludf.DUMMYFUNCTION("""COMPUTED_VALUE"""),415.0)</f>
        <v>415</v>
      </c>
      <c r="V6" s="78">
        <f>IFERROR(__xludf.DUMMYFUNCTION("""COMPUTED_VALUE"""),4.570484581497798)</f>
        <v>4.570484581</v>
      </c>
    </row>
    <row r="7">
      <c r="B7" s="59" t="s">
        <v>121</v>
      </c>
      <c r="C7" s="59">
        <v>9.0</v>
      </c>
      <c r="D7" s="59" t="str">
        <f>IFERROR(__xludf.DUMMYFUNCTION("""COMPUTED_VALUE"""),"97 WJV")</f>
        <v>97 WJV</v>
      </c>
      <c r="E7" s="61" t="str">
        <f>IFERROR(__xludf.DUMMYFUNCTION("""COMPUTED_VALUE"""),"WJV")</f>
        <v>WJV</v>
      </c>
      <c r="F7" s="62" t="str">
        <f>IFERROR(__xludf.DUMMYFUNCTION("""COMPUTED_VALUE"""),"Martin")</f>
        <v>Martin</v>
      </c>
      <c r="G7" s="61">
        <f>IFERROR(__xludf.DUMMYFUNCTION("""COMPUTED_VALUE"""),94.4)</f>
        <v>94.4</v>
      </c>
      <c r="H7" s="62" t="str">
        <f>IFERROR(__xludf.DUMMYFUNCTION("""COMPUTED_VALUE"""),"Bozzo, Kyia")</f>
        <v>Bozzo, Kyia</v>
      </c>
      <c r="I7" s="63" t="str">
        <f>IFERROR(__xludf.DUMMYFUNCTION("""COMPUTED_VALUE"""),"115g")</f>
        <v>115g</v>
      </c>
      <c r="J7" s="61" t="str">
        <f>IFERROR(__xludf.DUMMYFUNCTION("""COMPUTED_VALUE"""),"135g")</f>
        <v>135g</v>
      </c>
      <c r="K7" s="61" t="str">
        <f>IFERROR(__xludf.DUMMYFUNCTION("""COMPUTED_VALUE"""),"150x")</f>
        <v>150x</v>
      </c>
      <c r="L7" s="77">
        <f>IFERROR(__xludf.DUMMYFUNCTION("""COMPUTED_VALUE"""),135.0)</f>
        <v>135</v>
      </c>
      <c r="M7" s="65" t="str">
        <f>IFERROR(__xludf.DUMMYFUNCTION("""COMPUTED_VALUE"""),"60g")</f>
        <v>60g</v>
      </c>
      <c r="N7" s="65" t="str">
        <f>IFERROR(__xludf.DUMMYFUNCTION("""COMPUTED_VALUE"""),"70g")</f>
        <v>70g</v>
      </c>
      <c r="O7" s="65" t="str">
        <f>IFERROR(__xludf.DUMMYFUNCTION("""COMPUTED_VALUE"""),"80g")</f>
        <v>80g</v>
      </c>
      <c r="P7" s="64">
        <f>IFERROR(__xludf.DUMMYFUNCTION("""COMPUTED_VALUE"""),80.0)</f>
        <v>80</v>
      </c>
      <c r="Q7" s="65" t="str">
        <f>IFERROR(__xludf.DUMMYFUNCTION("""COMPUTED_VALUE"""),"140g")</f>
        <v>140g</v>
      </c>
      <c r="R7" s="65" t="str">
        <f>IFERROR(__xludf.DUMMYFUNCTION("""COMPUTED_VALUE"""),"160g")</f>
        <v>160g</v>
      </c>
      <c r="S7" s="65" t="str">
        <f>IFERROR(__xludf.DUMMYFUNCTION("""COMPUTED_VALUE"""),"180g")</f>
        <v>180g</v>
      </c>
      <c r="T7" s="64">
        <f>IFERROR(__xludf.DUMMYFUNCTION("""COMPUTED_VALUE"""),180.0)</f>
        <v>180</v>
      </c>
      <c r="U7" s="66">
        <f>IFERROR(__xludf.DUMMYFUNCTION("""COMPUTED_VALUE"""),395.0)</f>
        <v>395</v>
      </c>
      <c r="V7" s="78">
        <f>IFERROR(__xludf.DUMMYFUNCTION("""COMPUTED_VALUE"""),4.1843220338983045)</f>
        <v>4.184322034</v>
      </c>
    </row>
    <row r="8">
      <c r="B8" s="59" t="s">
        <v>122</v>
      </c>
      <c r="C8" s="59">
        <f>if(countif(F6:F7,F8)&gt;1,0,8)</f>
        <v>8</v>
      </c>
      <c r="D8" s="59" t="str">
        <f>IFERROR(__xludf.DUMMYFUNCTION("""COMPUTED_VALUE"""),"97 WJV")</f>
        <v>97 WJV</v>
      </c>
      <c r="E8" s="61" t="str">
        <f>IFERROR(__xludf.DUMMYFUNCTION("""COMPUTED_VALUE"""),"WJV")</f>
        <v>WJV</v>
      </c>
      <c r="F8" s="62" t="str">
        <f>IFERROR(__xludf.DUMMYFUNCTION("""COMPUTED_VALUE"""),"Cros-Lex")</f>
        <v>Cros-Lex</v>
      </c>
      <c r="G8" s="61">
        <f>IFERROR(__xludf.DUMMYFUNCTION("""COMPUTED_VALUE"""),83.6)</f>
        <v>83.6</v>
      </c>
      <c r="H8" s="62" t="str">
        <f>IFERROR(__xludf.DUMMYFUNCTION("""COMPUTED_VALUE"""),"Hendrick, taylor")</f>
        <v>Hendrick, taylor</v>
      </c>
      <c r="I8" s="63" t="str">
        <f>IFERROR(__xludf.DUMMYFUNCTION("""COMPUTED_VALUE"""),"100g")</f>
        <v>100g</v>
      </c>
      <c r="J8" s="61" t="str">
        <f>IFERROR(__xludf.DUMMYFUNCTION("""COMPUTED_VALUE"""),"110g")</f>
        <v>110g</v>
      </c>
      <c r="K8" s="61" t="str">
        <f>IFERROR(__xludf.DUMMYFUNCTION("""COMPUTED_VALUE"""),"115x")</f>
        <v>115x</v>
      </c>
      <c r="L8" s="77">
        <f>IFERROR(__xludf.DUMMYFUNCTION("""COMPUTED_VALUE"""),110.0)</f>
        <v>110</v>
      </c>
      <c r="M8" s="65" t="str">
        <f>IFERROR(__xludf.DUMMYFUNCTION("""COMPUTED_VALUE"""),"65g")</f>
        <v>65g</v>
      </c>
      <c r="N8" s="65" t="str">
        <f>IFERROR(__xludf.DUMMYFUNCTION("""COMPUTED_VALUE"""),"70g")</f>
        <v>70g</v>
      </c>
      <c r="O8" s="65" t="str">
        <f>IFERROR(__xludf.DUMMYFUNCTION("""COMPUTED_VALUE"""),"75g")</f>
        <v>75g</v>
      </c>
      <c r="P8" s="64">
        <f>IFERROR(__xludf.DUMMYFUNCTION("""COMPUTED_VALUE"""),75.0)</f>
        <v>75</v>
      </c>
      <c r="Q8" s="65" t="str">
        <f>IFERROR(__xludf.DUMMYFUNCTION("""COMPUTED_VALUE"""),"150g")</f>
        <v>150g</v>
      </c>
      <c r="R8" s="65" t="str">
        <f>IFERROR(__xludf.DUMMYFUNCTION("""COMPUTED_VALUE"""),"165g")</f>
        <v>165g</v>
      </c>
      <c r="S8" s="65" t="str">
        <f>IFERROR(__xludf.DUMMYFUNCTION("""COMPUTED_VALUE"""),"190g")</f>
        <v>190g</v>
      </c>
      <c r="T8" s="64">
        <f>IFERROR(__xludf.DUMMYFUNCTION("""COMPUTED_VALUE"""),190.0)</f>
        <v>190</v>
      </c>
      <c r="U8" s="66">
        <f>IFERROR(__xludf.DUMMYFUNCTION("""COMPUTED_VALUE"""),375.0)</f>
        <v>375</v>
      </c>
      <c r="V8" s="78">
        <f>IFERROR(__xludf.DUMMYFUNCTION("""COMPUTED_VALUE"""),4.4856459330143545)</f>
        <v>4.485645933</v>
      </c>
    </row>
    <row r="9">
      <c r="B9" s="59" t="s">
        <v>123</v>
      </c>
      <c r="C9" s="59">
        <f>if(countif(F6:F8,F9)&gt;1,0,7)</f>
        <v>7</v>
      </c>
      <c r="D9" s="59" t="str">
        <f>IFERROR(__xludf.DUMMYFUNCTION("""COMPUTED_VALUE"""),"97 WJV")</f>
        <v>97 WJV</v>
      </c>
      <c r="E9" s="61" t="str">
        <f>IFERROR(__xludf.DUMMYFUNCTION("""COMPUTED_VALUE"""),"WJV")</f>
        <v>WJV</v>
      </c>
      <c r="F9" s="62" t="str">
        <f>IFERROR(__xludf.DUMMYFUNCTION("""COMPUTED_VALUE"""),"Kearsley")</f>
        <v>Kearsley</v>
      </c>
      <c r="G9" s="61">
        <f>IFERROR(__xludf.DUMMYFUNCTION("""COMPUTED_VALUE"""),95.0)</f>
        <v>95</v>
      </c>
      <c r="H9" s="62" t="str">
        <f>IFERROR(__xludf.DUMMYFUNCTION("""COMPUTED_VALUE"""),"Boggs, Ava")</f>
        <v>Boggs, Ava</v>
      </c>
      <c r="I9" s="63" t="str">
        <f>IFERROR(__xludf.DUMMYFUNCTION("""COMPUTED_VALUE"""),"110g")</f>
        <v>110g</v>
      </c>
      <c r="J9" s="61" t="str">
        <f>IFERROR(__xludf.DUMMYFUNCTION("""COMPUTED_VALUE"""),"115g")</f>
        <v>115g</v>
      </c>
      <c r="K9" s="61" t="str">
        <f>IFERROR(__xludf.DUMMYFUNCTION("""COMPUTED_VALUE"""),"125x")</f>
        <v>125x</v>
      </c>
      <c r="L9" s="77">
        <f>IFERROR(__xludf.DUMMYFUNCTION("""COMPUTED_VALUE"""),115.0)</f>
        <v>115</v>
      </c>
      <c r="M9" s="65" t="str">
        <f>IFERROR(__xludf.DUMMYFUNCTION("""COMPUTED_VALUE"""),"55g")</f>
        <v>55g</v>
      </c>
      <c r="N9" s="65">
        <f>IFERROR(__xludf.DUMMYFUNCTION("""COMPUTED_VALUE"""),65.0)</f>
        <v>65</v>
      </c>
      <c r="O9" s="65" t="str">
        <f>IFERROR(__xludf.DUMMYFUNCTION("""COMPUTED_VALUE"""),"75x")</f>
        <v>75x</v>
      </c>
      <c r="P9" s="64">
        <f>IFERROR(__xludf.DUMMYFUNCTION("""COMPUTED_VALUE"""),55.0)</f>
        <v>55</v>
      </c>
      <c r="Q9" s="65" t="str">
        <f>IFERROR(__xludf.DUMMYFUNCTION("""COMPUTED_VALUE"""),"145g")</f>
        <v>145g</v>
      </c>
      <c r="R9" s="65" t="str">
        <f>IFERROR(__xludf.DUMMYFUNCTION("""COMPUTED_VALUE"""),"160g")</f>
        <v>160g</v>
      </c>
      <c r="S9" s="65" t="str">
        <f>IFERROR(__xludf.DUMMYFUNCTION("""COMPUTED_VALUE"""),"190g")</f>
        <v>190g</v>
      </c>
      <c r="T9" s="64">
        <f>IFERROR(__xludf.DUMMYFUNCTION("""COMPUTED_VALUE"""),190.0)</f>
        <v>190</v>
      </c>
      <c r="U9" s="66">
        <f>IFERROR(__xludf.DUMMYFUNCTION("""COMPUTED_VALUE"""),360.0)</f>
        <v>360</v>
      </c>
      <c r="V9" s="78">
        <f>IFERROR(__xludf.DUMMYFUNCTION("""COMPUTED_VALUE"""),3.789473684210526)</f>
        <v>3.789473684</v>
      </c>
    </row>
    <row r="10">
      <c r="B10" s="59" t="s">
        <v>124</v>
      </c>
      <c r="C10" s="59">
        <f>if(countif(F6:F9,F10)&gt;1,0,6)</f>
        <v>6</v>
      </c>
      <c r="D10" s="59" t="str">
        <f>IFERROR(__xludf.DUMMYFUNCTION("""COMPUTED_VALUE"""),"97 WJV")</f>
        <v>97 WJV</v>
      </c>
      <c r="E10" s="61" t="str">
        <f>IFERROR(__xludf.DUMMYFUNCTION("""COMPUTED_VALUE"""),"WJV")</f>
        <v>WJV</v>
      </c>
      <c r="F10" s="62" t="str">
        <f>IFERROR(__xludf.DUMMYFUNCTION("""COMPUTED_VALUE"""),"Central Montcalm")</f>
        <v>Central Montcalm</v>
      </c>
      <c r="G10" s="61">
        <f>IFERROR(__xludf.DUMMYFUNCTION("""COMPUTED_VALUE"""),95.3)</f>
        <v>95.3</v>
      </c>
      <c r="H10" s="62" t="str">
        <f>IFERROR(__xludf.DUMMYFUNCTION("""COMPUTED_VALUE"""),"Stauffer, Payton")</f>
        <v>Stauffer, Payton</v>
      </c>
      <c r="I10" s="63" t="str">
        <f>IFERROR(__xludf.DUMMYFUNCTION("""COMPUTED_VALUE"""),"95g")</f>
        <v>95g</v>
      </c>
      <c r="J10" s="61" t="str">
        <f>IFERROR(__xludf.DUMMYFUNCTION("""COMPUTED_VALUE"""),"105g")</f>
        <v>105g</v>
      </c>
      <c r="K10" s="61" t="str">
        <f>IFERROR(__xludf.DUMMYFUNCTION("""COMPUTED_VALUE"""),"110g")</f>
        <v>110g</v>
      </c>
      <c r="L10" s="77">
        <f>IFERROR(__xludf.DUMMYFUNCTION("""COMPUTED_VALUE"""),110.0)</f>
        <v>110</v>
      </c>
      <c r="M10" s="65" t="str">
        <f>IFERROR(__xludf.DUMMYFUNCTION("""COMPUTED_VALUE"""),"60g")</f>
        <v>60g</v>
      </c>
      <c r="N10" s="65" t="str">
        <f>IFERROR(__xludf.DUMMYFUNCTION("""COMPUTED_VALUE"""),"65g")</f>
        <v>65g</v>
      </c>
      <c r="O10" s="65" t="str">
        <f>IFERROR(__xludf.DUMMYFUNCTION("""COMPUTED_VALUE"""),"70x")</f>
        <v>70x</v>
      </c>
      <c r="P10" s="64">
        <f>IFERROR(__xludf.DUMMYFUNCTION("""COMPUTED_VALUE"""),65.0)</f>
        <v>65</v>
      </c>
      <c r="Q10" s="65" t="str">
        <f>IFERROR(__xludf.DUMMYFUNCTION("""COMPUTED_VALUE"""),"155g")</f>
        <v>155g</v>
      </c>
      <c r="R10" s="65" t="str">
        <f>IFERROR(__xludf.DUMMYFUNCTION("""COMPUTED_VALUE"""),"165g")</f>
        <v>165g</v>
      </c>
      <c r="S10" s="65" t="str">
        <f>IFERROR(__xludf.DUMMYFUNCTION("""COMPUTED_VALUE"""),"170g")</f>
        <v>170g</v>
      </c>
      <c r="T10" s="64">
        <f>IFERROR(__xludf.DUMMYFUNCTION("""COMPUTED_VALUE"""),170.0)</f>
        <v>170</v>
      </c>
      <c r="U10" s="66">
        <f>IFERROR(__xludf.DUMMYFUNCTION("""COMPUTED_VALUE"""),345.0)</f>
        <v>345</v>
      </c>
      <c r="V10" s="78">
        <f>IFERROR(__xludf.DUMMYFUNCTION("""COMPUTED_VALUE"""),3.620146904512067)</f>
        <v>3.620146905</v>
      </c>
    </row>
    <row r="11">
      <c r="B11" s="59" t="s">
        <v>125</v>
      </c>
      <c r="C11" s="59">
        <f>if(countif(F6:F10,F11)&gt;1,0,5)</f>
        <v>5</v>
      </c>
      <c r="D11" s="59" t="str">
        <f>IFERROR(__xludf.DUMMYFUNCTION("""COMPUTED_VALUE"""),"97 WJV")</f>
        <v>97 WJV</v>
      </c>
      <c r="E11" s="61" t="str">
        <f>IFERROR(__xludf.DUMMYFUNCTION("""COMPUTED_VALUE"""),"WJV")</f>
        <v>WJV</v>
      </c>
      <c r="F11" s="62" t="str">
        <f>IFERROR(__xludf.DUMMYFUNCTION("""COMPUTED_VALUE"""),"Yale")</f>
        <v>Yale</v>
      </c>
      <c r="G11" s="61">
        <f>IFERROR(__xludf.DUMMYFUNCTION("""COMPUTED_VALUE"""),92.0)</f>
        <v>92</v>
      </c>
      <c r="H11" s="62" t="str">
        <f>IFERROR(__xludf.DUMMYFUNCTION("""COMPUTED_VALUE"""),"Ferguson, Juliana")</f>
        <v>Ferguson, Juliana</v>
      </c>
      <c r="I11" s="63" t="str">
        <f>IFERROR(__xludf.DUMMYFUNCTION("""COMPUTED_VALUE"""),"100g")</f>
        <v>100g</v>
      </c>
      <c r="J11" s="61" t="str">
        <f>IFERROR(__xludf.DUMMYFUNCTION("""COMPUTED_VALUE"""),"110g")</f>
        <v>110g</v>
      </c>
      <c r="K11" s="61" t="str">
        <f>IFERROR(__xludf.DUMMYFUNCTION("""COMPUTED_VALUE"""),"125x")</f>
        <v>125x</v>
      </c>
      <c r="L11" s="77">
        <f>IFERROR(__xludf.DUMMYFUNCTION("""COMPUTED_VALUE"""),110.0)</f>
        <v>110</v>
      </c>
      <c r="M11" s="65" t="str">
        <f>IFERROR(__xludf.DUMMYFUNCTION("""COMPUTED_VALUE"""),"50g")</f>
        <v>50g</v>
      </c>
      <c r="N11" s="65" t="str">
        <f>IFERROR(__xludf.DUMMYFUNCTION("""COMPUTED_VALUE"""),"60g")</f>
        <v>60g</v>
      </c>
      <c r="O11" s="65" t="str">
        <f>IFERROR(__xludf.DUMMYFUNCTION("""COMPUTED_VALUE"""),"70x")</f>
        <v>70x</v>
      </c>
      <c r="P11" s="64">
        <f>IFERROR(__xludf.DUMMYFUNCTION("""COMPUTED_VALUE"""),60.0)</f>
        <v>60</v>
      </c>
      <c r="Q11" s="65" t="str">
        <f>IFERROR(__xludf.DUMMYFUNCTION("""COMPUTED_VALUE"""),"125g")</f>
        <v>125g</v>
      </c>
      <c r="R11" s="65" t="str">
        <f>IFERROR(__xludf.DUMMYFUNCTION("""COMPUTED_VALUE"""),"145g")</f>
        <v>145g</v>
      </c>
      <c r="S11" s="65" t="str">
        <f>IFERROR(__xludf.DUMMYFUNCTION("""COMPUTED_VALUE"""),"170g")</f>
        <v>170g</v>
      </c>
      <c r="T11" s="64">
        <f>IFERROR(__xludf.DUMMYFUNCTION("""COMPUTED_VALUE"""),170.0)</f>
        <v>170</v>
      </c>
      <c r="U11" s="66">
        <f>IFERROR(__xludf.DUMMYFUNCTION("""COMPUTED_VALUE"""),340.0)</f>
        <v>340</v>
      </c>
      <c r="V11" s="78">
        <f>IFERROR(__xludf.DUMMYFUNCTION("""COMPUTED_VALUE"""),3.6956521739130435)</f>
        <v>3.695652174</v>
      </c>
    </row>
    <row r="12">
      <c r="B12" s="59" t="s">
        <v>126</v>
      </c>
      <c r="C12" s="59">
        <f>if(countif(F6:F11,F12)&gt;1,0,4)</f>
        <v>4</v>
      </c>
      <c r="D12" s="59" t="str">
        <f>IFERROR(__xludf.DUMMYFUNCTION("""COMPUTED_VALUE"""),"97 WJV")</f>
        <v>97 WJV</v>
      </c>
      <c r="E12" s="61" t="str">
        <f>IFERROR(__xludf.DUMMYFUNCTION("""COMPUTED_VALUE"""),"WJV")</f>
        <v>WJV</v>
      </c>
      <c r="F12" s="62" t="str">
        <f>IFERROR(__xludf.DUMMYFUNCTION("""COMPUTED_VALUE"""),"Elk Rapids")</f>
        <v>Elk Rapids</v>
      </c>
      <c r="G12" s="61">
        <f>IFERROR(__xludf.DUMMYFUNCTION("""COMPUTED_VALUE"""),93.5)</f>
        <v>93.5</v>
      </c>
      <c r="H12" s="62" t="str">
        <f>IFERROR(__xludf.DUMMYFUNCTION("""COMPUTED_VALUE"""),"Pyle, Abigail")</f>
        <v>Pyle, Abigail</v>
      </c>
      <c r="I12" s="63" t="str">
        <f>IFERROR(__xludf.DUMMYFUNCTION("""COMPUTED_VALUE"""),"95g")</f>
        <v>95g</v>
      </c>
      <c r="J12" s="61" t="str">
        <f>IFERROR(__xludf.DUMMYFUNCTION("""COMPUTED_VALUE"""),"95g")</f>
        <v>95g</v>
      </c>
      <c r="K12" s="61" t="str">
        <f>IFERROR(__xludf.DUMMYFUNCTION("""COMPUTED_VALUE"""),"100g")</f>
        <v>100g</v>
      </c>
      <c r="L12" s="77">
        <f>IFERROR(__xludf.DUMMYFUNCTION("""COMPUTED_VALUE"""),100.0)</f>
        <v>100</v>
      </c>
      <c r="M12" s="65" t="str">
        <f>IFERROR(__xludf.DUMMYFUNCTION("""COMPUTED_VALUE"""),"50g")</f>
        <v>50g</v>
      </c>
      <c r="N12" s="65" t="str">
        <f>IFERROR(__xludf.DUMMYFUNCTION("""COMPUTED_VALUE"""),"55g")</f>
        <v>55g</v>
      </c>
      <c r="O12" s="65" t="str">
        <f>IFERROR(__xludf.DUMMYFUNCTION("""COMPUTED_VALUE"""),"65g")</f>
        <v>65g</v>
      </c>
      <c r="P12" s="64">
        <f>IFERROR(__xludf.DUMMYFUNCTION("""COMPUTED_VALUE"""),65.0)</f>
        <v>65</v>
      </c>
      <c r="Q12" s="65" t="str">
        <f>IFERROR(__xludf.DUMMYFUNCTION("""COMPUTED_VALUE"""),"145g")</f>
        <v>145g</v>
      </c>
      <c r="R12" s="65" t="str">
        <f>IFERROR(__xludf.DUMMYFUNCTION("""COMPUTED_VALUE"""),"155g")</f>
        <v>155g</v>
      </c>
      <c r="S12" s="65" t="str">
        <f>IFERROR(__xludf.DUMMYFUNCTION("""COMPUTED_VALUE"""),"160g")</f>
        <v>160g</v>
      </c>
      <c r="T12" s="64">
        <f>IFERROR(__xludf.DUMMYFUNCTION("""COMPUTED_VALUE"""),160.0)</f>
        <v>160</v>
      </c>
      <c r="U12" s="66">
        <f>IFERROR(__xludf.DUMMYFUNCTION("""COMPUTED_VALUE"""),325.0)</f>
        <v>325</v>
      </c>
      <c r="V12" s="78">
        <f>IFERROR(__xludf.DUMMYFUNCTION("""COMPUTED_VALUE"""),3.4759358288770055)</f>
        <v>3.475935829</v>
      </c>
    </row>
    <row r="13">
      <c r="B13" s="59" t="s">
        <v>127</v>
      </c>
      <c r="C13" s="59">
        <f>if(countif(F6:F12,F13)&gt;1,0,3)</f>
        <v>3</v>
      </c>
      <c r="D13" s="59" t="str">
        <f>IFERROR(__xludf.DUMMYFUNCTION("""COMPUTED_VALUE"""),"97 WJV")</f>
        <v>97 WJV</v>
      </c>
      <c r="E13" s="61" t="str">
        <f>IFERROR(__xludf.DUMMYFUNCTION("""COMPUTED_VALUE"""),"WJV")</f>
        <v>WJV</v>
      </c>
      <c r="F13" s="62" t="str">
        <f>IFERROR(__xludf.DUMMYFUNCTION("""COMPUTED_VALUE"""),"Birch Run")</f>
        <v>Birch Run</v>
      </c>
      <c r="G13" s="61">
        <f>IFERROR(__xludf.DUMMYFUNCTION("""COMPUTED_VALUE"""),91.0)</f>
        <v>91</v>
      </c>
      <c r="H13" s="62" t="str">
        <f>IFERROR(__xludf.DUMMYFUNCTION("""COMPUTED_VALUE"""),"Ursuy, Sam")</f>
        <v>Ursuy, Sam</v>
      </c>
      <c r="I13" s="63" t="str">
        <f>IFERROR(__xludf.DUMMYFUNCTION("""COMPUTED_VALUE"""),"90g")</f>
        <v>90g</v>
      </c>
      <c r="J13" s="61" t="str">
        <f>IFERROR(__xludf.DUMMYFUNCTION("""COMPUTED_VALUE"""),"95g")</f>
        <v>95g</v>
      </c>
      <c r="K13" s="61" t="str">
        <f>IFERROR(__xludf.DUMMYFUNCTION("""COMPUTED_VALUE"""),"100x")</f>
        <v>100x</v>
      </c>
      <c r="L13" s="77">
        <f>IFERROR(__xludf.DUMMYFUNCTION("""COMPUTED_VALUE"""),95.0)</f>
        <v>95</v>
      </c>
      <c r="M13" s="65" t="str">
        <f>IFERROR(__xludf.DUMMYFUNCTION("""COMPUTED_VALUE"""),"60g")</f>
        <v>60g</v>
      </c>
      <c r="N13" s="65" t="str">
        <f>IFERROR(__xludf.DUMMYFUNCTION("""COMPUTED_VALUE"""),"65g")</f>
        <v>65g</v>
      </c>
      <c r="O13" s="65" t="str">
        <f>IFERROR(__xludf.DUMMYFUNCTION("""COMPUTED_VALUE"""),"75x")</f>
        <v>75x</v>
      </c>
      <c r="P13" s="64">
        <f>IFERROR(__xludf.DUMMYFUNCTION("""COMPUTED_VALUE"""),65.0)</f>
        <v>65</v>
      </c>
      <c r="Q13" s="65" t="str">
        <f>IFERROR(__xludf.DUMMYFUNCTION("""COMPUTED_VALUE"""),"125g")</f>
        <v>125g</v>
      </c>
      <c r="R13" s="65" t="str">
        <f>IFERROR(__xludf.DUMMYFUNCTION("""COMPUTED_VALUE"""),"135g")</f>
        <v>135g</v>
      </c>
      <c r="S13" s="65" t="str">
        <f>IFERROR(__xludf.DUMMYFUNCTION("""COMPUTED_VALUE"""),"145g")</f>
        <v>145g</v>
      </c>
      <c r="T13" s="64">
        <f>IFERROR(__xludf.DUMMYFUNCTION("""COMPUTED_VALUE"""),145.0)</f>
        <v>145</v>
      </c>
      <c r="U13" s="66">
        <f>IFERROR(__xludf.DUMMYFUNCTION("""COMPUTED_VALUE"""),305.0)</f>
        <v>305</v>
      </c>
      <c r="V13" s="78">
        <f>IFERROR(__xludf.DUMMYFUNCTION("""COMPUTED_VALUE"""),3.3516483516483517)</f>
        <v>3.351648352</v>
      </c>
    </row>
    <row r="14">
      <c r="B14" s="59" t="s">
        <v>128</v>
      </c>
      <c r="C14" s="59">
        <f>if(countif(F6:F13,F14)&gt;1,0,2)</f>
        <v>2</v>
      </c>
      <c r="D14" s="59"/>
      <c r="E14" s="61"/>
      <c r="F14" s="62"/>
      <c r="G14" s="61"/>
      <c r="H14" s="62"/>
      <c r="I14" s="63"/>
      <c r="J14" s="61"/>
      <c r="K14" s="61"/>
      <c r="L14" s="77"/>
      <c r="M14" s="65"/>
      <c r="N14" s="65"/>
      <c r="O14" s="65"/>
      <c r="P14" s="64"/>
      <c r="Q14" s="65"/>
      <c r="R14" s="65"/>
      <c r="S14" s="65"/>
      <c r="T14" s="64"/>
      <c r="U14" s="66"/>
      <c r="V14" s="65"/>
    </row>
    <row r="15">
      <c r="B15" s="59" t="s">
        <v>129</v>
      </c>
      <c r="C15" s="59">
        <f>if(countif(F6:F14,F15)&gt;1,0,1)</f>
        <v>1</v>
      </c>
      <c r="D15" s="59"/>
      <c r="E15" s="61"/>
      <c r="F15" s="62"/>
      <c r="G15" s="61"/>
      <c r="H15" s="62"/>
      <c r="I15" s="63"/>
      <c r="J15" s="61"/>
      <c r="K15" s="61"/>
      <c r="L15" s="77"/>
      <c r="M15" s="65"/>
      <c r="N15" s="65"/>
      <c r="O15" s="65"/>
      <c r="P15" s="64"/>
      <c r="Q15" s="65"/>
      <c r="R15" s="65"/>
      <c r="S15" s="65"/>
      <c r="T15" s="64"/>
      <c r="U15" s="66"/>
      <c r="V15" s="65"/>
    </row>
    <row r="16">
      <c r="A16" s="67">
        <v>105.0</v>
      </c>
      <c r="B16" s="68" t="s">
        <v>120</v>
      </c>
      <c r="C16" s="68">
        <v>12.0</v>
      </c>
      <c r="D16" s="68" t="str">
        <f>IFERROR(__xludf.DUMMYFUNCTION("ARRAY_CONSTRAIN(sort(filter(WJV_Tie_Breaker!D6:X285,WJV_Tie_Breaker!D6:D285=""105 WJV""),18,false,4,true,20,false,21,true),10,19)"),"105 WJV")</f>
        <v>105 WJV</v>
      </c>
      <c r="E16" s="69" t="str">
        <f>IFERROR(__xludf.DUMMYFUNCTION("""COMPUTED_VALUE"""),"WJV")</f>
        <v>WJV</v>
      </c>
      <c r="F16" s="70" t="str">
        <f>IFERROR(__xludf.DUMMYFUNCTION("""COMPUTED_VALUE"""),"Whitehall")</f>
        <v>Whitehall</v>
      </c>
      <c r="G16" s="69">
        <f>IFERROR(__xludf.DUMMYFUNCTION("""COMPUTED_VALUE"""),104.3)</f>
        <v>104.3</v>
      </c>
      <c r="H16" s="70" t="str">
        <f>IFERROR(__xludf.DUMMYFUNCTION("""COMPUTED_VALUE"""),"Cordray, Ashely")</f>
        <v>Cordray, Ashely</v>
      </c>
      <c r="I16" s="71" t="str">
        <f>IFERROR(__xludf.DUMMYFUNCTION("""COMPUTED_VALUE"""),"175g")</f>
        <v>175g</v>
      </c>
      <c r="J16" s="69" t="str">
        <f>IFERROR(__xludf.DUMMYFUNCTION("""COMPUTED_VALUE"""),"185g")</f>
        <v>185g</v>
      </c>
      <c r="K16" s="69" t="str">
        <f>IFERROR(__xludf.DUMMYFUNCTION("""COMPUTED_VALUE"""),"190x")</f>
        <v>190x</v>
      </c>
      <c r="L16" s="77">
        <f>IFERROR(__xludf.DUMMYFUNCTION("""COMPUTED_VALUE"""),185.0)</f>
        <v>185</v>
      </c>
      <c r="M16" s="72" t="str">
        <f>IFERROR(__xludf.DUMMYFUNCTION("""COMPUTED_VALUE"""),"105g")</f>
        <v>105g</v>
      </c>
      <c r="N16" s="72" t="str">
        <f>IFERROR(__xludf.DUMMYFUNCTION("""COMPUTED_VALUE"""),"110g")</f>
        <v>110g</v>
      </c>
      <c r="O16" s="72" t="str">
        <f>IFERROR(__xludf.DUMMYFUNCTION("""COMPUTED_VALUE"""),"120x")</f>
        <v>120x</v>
      </c>
      <c r="P16" s="64">
        <f>IFERROR(__xludf.DUMMYFUNCTION("""COMPUTED_VALUE"""),110.0)</f>
        <v>110</v>
      </c>
      <c r="Q16" s="72" t="str">
        <f>IFERROR(__xludf.DUMMYFUNCTION("""COMPUTED_VALUE"""),"225g")</f>
        <v>225g</v>
      </c>
      <c r="R16" s="72" t="str">
        <f>IFERROR(__xludf.DUMMYFUNCTION("""COMPUTED_VALUE"""),"240x")</f>
        <v>240x</v>
      </c>
      <c r="S16" s="72" t="str">
        <f>IFERROR(__xludf.DUMMYFUNCTION("""COMPUTED_VALUE"""),"240g")</f>
        <v>240g</v>
      </c>
      <c r="T16" s="64">
        <f>IFERROR(__xludf.DUMMYFUNCTION("""COMPUTED_VALUE"""),240.0)</f>
        <v>240</v>
      </c>
      <c r="U16" s="66">
        <f>IFERROR(__xludf.DUMMYFUNCTION("""COMPUTED_VALUE"""),535.0)</f>
        <v>535</v>
      </c>
      <c r="V16" s="79">
        <f>IFERROR(__xludf.DUMMYFUNCTION("""COMPUTED_VALUE"""),5.129434324065197)</f>
        <v>5.129434324</v>
      </c>
    </row>
    <row r="17">
      <c r="B17" s="68" t="s">
        <v>121</v>
      </c>
      <c r="C17" s="68">
        <v>9.0</v>
      </c>
      <c r="D17" s="68" t="str">
        <f>IFERROR(__xludf.DUMMYFUNCTION("""COMPUTED_VALUE"""),"105 WJV")</f>
        <v>105 WJV</v>
      </c>
      <c r="E17" s="69" t="str">
        <f>IFERROR(__xludf.DUMMYFUNCTION("""COMPUTED_VALUE"""),"WJV")</f>
        <v>WJV</v>
      </c>
      <c r="F17" s="70" t="str">
        <f>IFERROR(__xludf.DUMMYFUNCTION("""COMPUTED_VALUE"""),"Kearsley")</f>
        <v>Kearsley</v>
      </c>
      <c r="G17" s="69">
        <f>IFERROR(__xludf.DUMMYFUNCTION("""COMPUTED_VALUE"""),102.0)</f>
        <v>102</v>
      </c>
      <c r="H17" s="70" t="str">
        <f>IFERROR(__xludf.DUMMYFUNCTION("""COMPUTED_VALUE"""),"Hardy, Miranda")</f>
        <v>Hardy, Miranda</v>
      </c>
      <c r="I17" s="71" t="str">
        <f>IFERROR(__xludf.DUMMYFUNCTION("""COMPUTED_VALUE"""),"160g")</f>
        <v>160g</v>
      </c>
      <c r="J17" s="69" t="str">
        <f>IFERROR(__xludf.DUMMYFUNCTION("""COMPUTED_VALUE"""),"175g")</f>
        <v>175g</v>
      </c>
      <c r="K17" s="69" t="str">
        <f>IFERROR(__xludf.DUMMYFUNCTION("""COMPUTED_VALUE"""),"185x")</f>
        <v>185x</v>
      </c>
      <c r="L17" s="77">
        <f>IFERROR(__xludf.DUMMYFUNCTION("""COMPUTED_VALUE"""),175.0)</f>
        <v>175</v>
      </c>
      <c r="M17" s="72" t="str">
        <f>IFERROR(__xludf.DUMMYFUNCTION("""COMPUTED_VALUE"""),"90g")</f>
        <v>90g</v>
      </c>
      <c r="N17" s="72" t="str">
        <f>IFERROR(__xludf.DUMMYFUNCTION("""COMPUTED_VALUE"""),"100g")</f>
        <v>100g</v>
      </c>
      <c r="O17" s="72" t="str">
        <f>IFERROR(__xludf.DUMMYFUNCTION("""COMPUTED_VALUE"""),"110x")</f>
        <v>110x</v>
      </c>
      <c r="P17" s="64">
        <f>IFERROR(__xludf.DUMMYFUNCTION("""COMPUTED_VALUE"""),100.0)</f>
        <v>100</v>
      </c>
      <c r="Q17" s="72" t="str">
        <f>IFERROR(__xludf.DUMMYFUNCTION("""COMPUTED_VALUE"""),"210g")</f>
        <v>210g</v>
      </c>
      <c r="R17" s="72" t="str">
        <f>IFERROR(__xludf.DUMMYFUNCTION("""COMPUTED_VALUE"""),"225g")</f>
        <v>225g</v>
      </c>
      <c r="S17" s="72" t="str">
        <f>IFERROR(__xludf.DUMMYFUNCTION("""COMPUTED_VALUE"""),"235g")</f>
        <v>235g</v>
      </c>
      <c r="T17" s="64">
        <f>IFERROR(__xludf.DUMMYFUNCTION("""COMPUTED_VALUE"""),235.0)</f>
        <v>235</v>
      </c>
      <c r="U17" s="66">
        <f>IFERROR(__xludf.DUMMYFUNCTION("""COMPUTED_VALUE"""),510.0)</f>
        <v>510</v>
      </c>
      <c r="V17" s="79">
        <f>IFERROR(__xludf.DUMMYFUNCTION("""COMPUTED_VALUE"""),5.0)</f>
        <v>5</v>
      </c>
    </row>
    <row r="18">
      <c r="B18" s="68" t="s">
        <v>122</v>
      </c>
      <c r="C18" s="68">
        <f>if(countif(F16:F17,F18)&gt;1,0,8)</f>
        <v>8</v>
      </c>
      <c r="D18" s="68" t="str">
        <f>IFERROR(__xludf.DUMMYFUNCTION("""COMPUTED_VALUE"""),"105 WJV")</f>
        <v>105 WJV</v>
      </c>
      <c r="E18" s="69" t="str">
        <f>IFERROR(__xludf.DUMMYFUNCTION("""COMPUTED_VALUE"""),"WJV")</f>
        <v>WJV</v>
      </c>
      <c r="F18" s="70" t="str">
        <f>IFERROR(__xludf.DUMMYFUNCTION("""COMPUTED_VALUE"""),"Central Montcalm")</f>
        <v>Central Montcalm</v>
      </c>
      <c r="G18" s="69">
        <f>IFERROR(__xludf.DUMMYFUNCTION("""COMPUTED_VALUE"""),103.7)</f>
        <v>103.7</v>
      </c>
      <c r="H18" s="70" t="str">
        <f>IFERROR(__xludf.DUMMYFUNCTION("""COMPUTED_VALUE"""),"Bacon, Zoey")</f>
        <v>Bacon, Zoey</v>
      </c>
      <c r="I18" s="71" t="str">
        <f>IFERROR(__xludf.DUMMYFUNCTION("""COMPUTED_VALUE"""),"140g")</f>
        <v>140g</v>
      </c>
      <c r="J18" s="69" t="str">
        <f>IFERROR(__xludf.DUMMYFUNCTION("""COMPUTED_VALUE"""),"150g")</f>
        <v>150g</v>
      </c>
      <c r="K18" s="69" t="str">
        <f>IFERROR(__xludf.DUMMYFUNCTION("""COMPUTED_VALUE"""),"160g")</f>
        <v>160g</v>
      </c>
      <c r="L18" s="77">
        <f>IFERROR(__xludf.DUMMYFUNCTION("""COMPUTED_VALUE"""),160.0)</f>
        <v>160</v>
      </c>
      <c r="M18" s="72" t="str">
        <f>IFERROR(__xludf.DUMMYFUNCTION("""COMPUTED_VALUE"""),"75g")</f>
        <v>75g</v>
      </c>
      <c r="N18" s="72" t="str">
        <f>IFERROR(__xludf.DUMMYFUNCTION("""COMPUTED_VALUE"""),"85g")</f>
        <v>85g</v>
      </c>
      <c r="O18" s="72" t="str">
        <f>IFERROR(__xludf.DUMMYFUNCTION("""COMPUTED_VALUE"""),"90x")</f>
        <v>90x</v>
      </c>
      <c r="P18" s="64">
        <f>IFERROR(__xludf.DUMMYFUNCTION("""COMPUTED_VALUE"""),85.0)</f>
        <v>85</v>
      </c>
      <c r="Q18" s="72" t="str">
        <f>IFERROR(__xludf.DUMMYFUNCTION("""COMPUTED_VALUE"""),"195g")</f>
        <v>195g</v>
      </c>
      <c r="R18" s="72" t="str">
        <f>IFERROR(__xludf.DUMMYFUNCTION("""COMPUTED_VALUE"""),"225g")</f>
        <v>225g</v>
      </c>
      <c r="S18" s="72" t="str">
        <f>IFERROR(__xludf.DUMMYFUNCTION("""COMPUTED_VALUE"""),"250g")</f>
        <v>250g</v>
      </c>
      <c r="T18" s="64">
        <f>IFERROR(__xludf.DUMMYFUNCTION("""COMPUTED_VALUE"""),250.0)</f>
        <v>250</v>
      </c>
      <c r="U18" s="66">
        <f>IFERROR(__xludf.DUMMYFUNCTION("""COMPUTED_VALUE"""),495.0)</f>
        <v>495</v>
      </c>
      <c r="V18" s="79">
        <f>IFERROR(__xludf.DUMMYFUNCTION("""COMPUTED_VALUE"""),4.7733847637415625)</f>
        <v>4.773384764</v>
      </c>
    </row>
    <row r="19">
      <c r="B19" s="68" t="s">
        <v>123</v>
      </c>
      <c r="C19" s="68">
        <f>if(countif(F16:F18,F19)&gt;1,0,7)</f>
        <v>7</v>
      </c>
      <c r="D19" s="68" t="str">
        <f>IFERROR(__xludf.DUMMYFUNCTION("""COMPUTED_VALUE"""),"105 WJV")</f>
        <v>105 WJV</v>
      </c>
      <c r="E19" s="69" t="str">
        <f>IFERROR(__xludf.DUMMYFUNCTION("""COMPUTED_VALUE"""),"WJV")</f>
        <v>WJV</v>
      </c>
      <c r="F19" s="70" t="str">
        <f>IFERROR(__xludf.DUMMYFUNCTION("""COMPUTED_VALUE"""),"Edwardsburg")</f>
        <v>Edwardsburg</v>
      </c>
      <c r="G19" s="69">
        <f>IFERROR(__xludf.DUMMYFUNCTION("""COMPUTED_VALUE"""),102.9)</f>
        <v>102.9</v>
      </c>
      <c r="H19" s="70" t="str">
        <f>IFERROR(__xludf.DUMMYFUNCTION("""COMPUTED_VALUE"""),"Hartley, Madison")</f>
        <v>Hartley, Madison</v>
      </c>
      <c r="I19" s="71" t="str">
        <f>IFERROR(__xludf.DUMMYFUNCTION("""COMPUTED_VALUE"""),"125g")</f>
        <v>125g</v>
      </c>
      <c r="J19" s="69" t="str">
        <f>IFERROR(__xludf.DUMMYFUNCTION("""COMPUTED_VALUE"""),"135x")</f>
        <v>135x</v>
      </c>
      <c r="K19" s="69" t="str">
        <f>IFERROR(__xludf.DUMMYFUNCTION("""COMPUTED_VALUE"""),"140g")</f>
        <v>140g</v>
      </c>
      <c r="L19" s="77">
        <f>IFERROR(__xludf.DUMMYFUNCTION("""COMPUTED_VALUE"""),140.0)</f>
        <v>140</v>
      </c>
      <c r="M19" s="72" t="str">
        <f>IFERROR(__xludf.DUMMYFUNCTION("""COMPUTED_VALUE"""),"75g")</f>
        <v>75g</v>
      </c>
      <c r="N19" s="72" t="str">
        <f>IFERROR(__xludf.DUMMYFUNCTION("""COMPUTED_VALUE"""),"85g")</f>
        <v>85g</v>
      </c>
      <c r="O19" s="72" t="str">
        <f>IFERROR(__xludf.DUMMYFUNCTION("""COMPUTED_VALUE"""),"90x")</f>
        <v>90x</v>
      </c>
      <c r="P19" s="64">
        <f>IFERROR(__xludf.DUMMYFUNCTION("""COMPUTED_VALUE"""),85.0)</f>
        <v>85</v>
      </c>
      <c r="Q19" s="72" t="str">
        <f>IFERROR(__xludf.DUMMYFUNCTION("""COMPUTED_VALUE"""),"190g")</f>
        <v>190g</v>
      </c>
      <c r="R19" s="72" t="str">
        <f>IFERROR(__xludf.DUMMYFUNCTION("""COMPUTED_VALUE"""),"200g")</f>
        <v>200g</v>
      </c>
      <c r="S19" s="72" t="str">
        <f>IFERROR(__xludf.DUMMYFUNCTION("""COMPUTED_VALUE"""),"220g")</f>
        <v>220g</v>
      </c>
      <c r="T19" s="64">
        <f>IFERROR(__xludf.DUMMYFUNCTION("""COMPUTED_VALUE"""),220.0)</f>
        <v>220</v>
      </c>
      <c r="U19" s="66">
        <f>IFERROR(__xludf.DUMMYFUNCTION("""COMPUTED_VALUE"""),445.0)</f>
        <v>445</v>
      </c>
      <c r="V19" s="79">
        <f>IFERROR(__xludf.DUMMYFUNCTION("""COMPUTED_VALUE"""),4.3245869776482015)</f>
        <v>4.324586978</v>
      </c>
    </row>
    <row r="20">
      <c r="B20" s="68" t="s">
        <v>124</v>
      </c>
      <c r="C20" s="68">
        <f>if(countif(F16:F19,F20)&gt;1,0,6)</f>
        <v>6</v>
      </c>
      <c r="D20" s="68" t="str">
        <f>IFERROR(__xludf.DUMMYFUNCTION("""COMPUTED_VALUE"""),"105 WJV")</f>
        <v>105 WJV</v>
      </c>
      <c r="E20" s="69" t="str">
        <f>IFERROR(__xludf.DUMMYFUNCTION("""COMPUTED_VALUE"""),"WJV")</f>
        <v>WJV</v>
      </c>
      <c r="F20" s="70" t="str">
        <f>IFERROR(__xludf.DUMMYFUNCTION("""COMPUTED_VALUE"""),"Lake Orion")</f>
        <v>Lake Orion</v>
      </c>
      <c r="G20" s="69">
        <f>IFERROR(__xludf.DUMMYFUNCTION("""COMPUTED_VALUE"""),101.2)</f>
        <v>101.2</v>
      </c>
      <c r="H20" s="70" t="str">
        <f>IFERROR(__xludf.DUMMYFUNCTION("""COMPUTED_VALUE"""),"Carlson, Becca")</f>
        <v>Carlson, Becca</v>
      </c>
      <c r="I20" s="71" t="str">
        <f>IFERROR(__xludf.DUMMYFUNCTION("""COMPUTED_VALUE"""),"125g")</f>
        <v>125g</v>
      </c>
      <c r="J20" s="69" t="str">
        <f>IFERROR(__xludf.DUMMYFUNCTION("""COMPUTED_VALUE"""),"135g")</f>
        <v>135g</v>
      </c>
      <c r="K20" s="69" t="str">
        <f>IFERROR(__xludf.DUMMYFUNCTION("""COMPUTED_VALUE"""),"155x")</f>
        <v>155x</v>
      </c>
      <c r="L20" s="77">
        <f>IFERROR(__xludf.DUMMYFUNCTION("""COMPUTED_VALUE"""),135.0)</f>
        <v>135</v>
      </c>
      <c r="M20" s="72" t="str">
        <f>IFERROR(__xludf.DUMMYFUNCTION("""COMPUTED_VALUE"""),"65g")</f>
        <v>65g</v>
      </c>
      <c r="N20" s="72" t="str">
        <f>IFERROR(__xludf.DUMMYFUNCTION("""COMPUTED_VALUE"""),"75g")</f>
        <v>75g</v>
      </c>
      <c r="O20" s="72" t="str">
        <f>IFERROR(__xludf.DUMMYFUNCTION("""COMPUTED_VALUE"""),"80x")</f>
        <v>80x</v>
      </c>
      <c r="P20" s="64">
        <f>IFERROR(__xludf.DUMMYFUNCTION("""COMPUTED_VALUE"""),75.0)</f>
        <v>75</v>
      </c>
      <c r="Q20" s="72" t="str">
        <f>IFERROR(__xludf.DUMMYFUNCTION("""COMPUTED_VALUE"""),"200g")</f>
        <v>200g</v>
      </c>
      <c r="R20" s="72" t="str">
        <f>IFERROR(__xludf.DUMMYFUNCTION("""COMPUTED_VALUE"""),"215g")</f>
        <v>215g</v>
      </c>
      <c r="S20" s="72" t="str">
        <f>IFERROR(__xludf.DUMMYFUNCTION("""COMPUTED_VALUE"""),"225x")</f>
        <v>225x</v>
      </c>
      <c r="T20" s="64">
        <f>IFERROR(__xludf.DUMMYFUNCTION("""COMPUTED_VALUE"""),215.0)</f>
        <v>215</v>
      </c>
      <c r="U20" s="66">
        <f>IFERROR(__xludf.DUMMYFUNCTION("""COMPUTED_VALUE"""),425.0)</f>
        <v>425</v>
      </c>
      <c r="V20" s="79">
        <f>IFERROR(__xludf.DUMMYFUNCTION("""COMPUTED_VALUE"""),4.199604743083004)</f>
        <v>4.199604743</v>
      </c>
    </row>
    <row r="21">
      <c r="B21" s="68" t="s">
        <v>125</v>
      </c>
      <c r="C21" s="68">
        <f>if(countif(F16:F20,F21)&gt;1,0,5)</f>
        <v>5</v>
      </c>
      <c r="D21" s="68" t="str">
        <f>IFERROR(__xludf.DUMMYFUNCTION("""COMPUTED_VALUE"""),"105 WJV")</f>
        <v>105 WJV</v>
      </c>
      <c r="E21" s="69" t="str">
        <f>IFERROR(__xludf.DUMMYFUNCTION("""COMPUTED_VALUE"""),"WJV")</f>
        <v>WJV</v>
      </c>
      <c r="F21" s="70" t="str">
        <f>IFERROR(__xludf.DUMMYFUNCTION("""COMPUTED_VALUE"""),"Central Montcalm")</f>
        <v>Central Montcalm</v>
      </c>
      <c r="G21" s="69">
        <f>IFERROR(__xludf.DUMMYFUNCTION("""COMPUTED_VALUE"""),102.0)</f>
        <v>102</v>
      </c>
      <c r="H21" s="70" t="str">
        <f>IFERROR(__xludf.DUMMYFUNCTION("""COMPUTED_VALUE"""),"Haddix, Adrianna")</f>
        <v>Haddix, Adrianna</v>
      </c>
      <c r="I21" s="71" t="str">
        <f>IFERROR(__xludf.DUMMYFUNCTION("""COMPUTED_VALUE"""),"115g")</f>
        <v>115g</v>
      </c>
      <c r="J21" s="69" t="str">
        <f>IFERROR(__xludf.DUMMYFUNCTION("""COMPUTED_VALUE"""),"125g")</f>
        <v>125g</v>
      </c>
      <c r="K21" s="69" t="str">
        <f>IFERROR(__xludf.DUMMYFUNCTION("""COMPUTED_VALUE"""),"140x")</f>
        <v>140x</v>
      </c>
      <c r="L21" s="77">
        <f>IFERROR(__xludf.DUMMYFUNCTION("""COMPUTED_VALUE"""),125.0)</f>
        <v>125</v>
      </c>
      <c r="M21" s="72" t="str">
        <f>IFERROR(__xludf.DUMMYFUNCTION("""COMPUTED_VALUE"""),"70g")</f>
        <v>70g</v>
      </c>
      <c r="N21" s="72" t="str">
        <f>IFERROR(__xludf.DUMMYFUNCTION("""COMPUTED_VALUE"""),"85g")</f>
        <v>85g</v>
      </c>
      <c r="O21" s="72" t="str">
        <f>IFERROR(__xludf.DUMMYFUNCTION("""COMPUTED_VALUE"""),"90x")</f>
        <v>90x</v>
      </c>
      <c r="P21" s="64">
        <f>IFERROR(__xludf.DUMMYFUNCTION("""COMPUTED_VALUE"""),85.0)</f>
        <v>85</v>
      </c>
      <c r="Q21" s="72" t="str">
        <f>IFERROR(__xludf.DUMMYFUNCTION("""COMPUTED_VALUE"""),"175g")</f>
        <v>175g</v>
      </c>
      <c r="R21" s="72" t="str">
        <f>IFERROR(__xludf.DUMMYFUNCTION("""COMPUTED_VALUE"""),"185g")</f>
        <v>185g</v>
      </c>
      <c r="S21" s="72" t="str">
        <f>IFERROR(__xludf.DUMMYFUNCTION("""COMPUTED_VALUE"""),"210g")</f>
        <v>210g</v>
      </c>
      <c r="T21" s="64">
        <f>IFERROR(__xludf.DUMMYFUNCTION("""COMPUTED_VALUE"""),210.0)</f>
        <v>210</v>
      </c>
      <c r="U21" s="66">
        <f>IFERROR(__xludf.DUMMYFUNCTION("""COMPUTED_VALUE"""),420.0)</f>
        <v>420</v>
      </c>
      <c r="V21" s="79">
        <f>IFERROR(__xludf.DUMMYFUNCTION("""COMPUTED_VALUE"""),4.117647058823529)</f>
        <v>4.117647059</v>
      </c>
    </row>
    <row r="22">
      <c r="B22" s="68" t="s">
        <v>126</v>
      </c>
      <c r="C22" s="68">
        <f>if(countif(F16:F21,F22)&gt;1,0,4)</f>
        <v>0</v>
      </c>
      <c r="D22" s="68" t="str">
        <f>IFERROR(__xludf.DUMMYFUNCTION("""COMPUTED_VALUE"""),"105 WJV")</f>
        <v>105 WJV</v>
      </c>
      <c r="E22" s="69" t="str">
        <f>IFERROR(__xludf.DUMMYFUNCTION("""COMPUTED_VALUE"""),"WJV")</f>
        <v>WJV</v>
      </c>
      <c r="F22" s="70" t="str">
        <f>IFERROR(__xludf.DUMMYFUNCTION("""COMPUTED_VALUE"""),"Central Montcalm")</f>
        <v>Central Montcalm</v>
      </c>
      <c r="G22" s="69">
        <f>IFERROR(__xludf.DUMMYFUNCTION("""COMPUTED_VALUE"""),103.0)</f>
        <v>103</v>
      </c>
      <c r="H22" s="70" t="str">
        <f>IFERROR(__xludf.DUMMYFUNCTION("""COMPUTED_VALUE"""),"Hansen, Kaitlyn")</f>
        <v>Hansen, Kaitlyn</v>
      </c>
      <c r="I22" s="71" t="str">
        <f>IFERROR(__xludf.DUMMYFUNCTION("""COMPUTED_VALUE"""),"110g")</f>
        <v>110g</v>
      </c>
      <c r="J22" s="69" t="str">
        <f>IFERROR(__xludf.DUMMYFUNCTION("""COMPUTED_VALUE"""),"120g")</f>
        <v>120g</v>
      </c>
      <c r="K22" s="69" t="str">
        <f>IFERROR(__xludf.DUMMYFUNCTION("""COMPUTED_VALUE"""),"130x")</f>
        <v>130x</v>
      </c>
      <c r="L22" s="77">
        <f>IFERROR(__xludf.DUMMYFUNCTION("""COMPUTED_VALUE"""),120.0)</f>
        <v>120</v>
      </c>
      <c r="M22" s="72" t="str">
        <f>IFERROR(__xludf.DUMMYFUNCTION("""COMPUTED_VALUE"""),"65g")</f>
        <v>65g</v>
      </c>
      <c r="N22" s="72" t="str">
        <f>IFERROR(__xludf.DUMMYFUNCTION("""COMPUTED_VALUE"""),"75g")</f>
        <v>75g</v>
      </c>
      <c r="O22" s="72" t="str">
        <f>IFERROR(__xludf.DUMMYFUNCTION("""COMPUTED_VALUE"""),"80x")</f>
        <v>80x</v>
      </c>
      <c r="P22" s="64">
        <f>IFERROR(__xludf.DUMMYFUNCTION("""COMPUTED_VALUE"""),75.0)</f>
        <v>75</v>
      </c>
      <c r="Q22" s="72" t="str">
        <f>IFERROR(__xludf.DUMMYFUNCTION("""COMPUTED_VALUE"""),"190g")</f>
        <v>190g</v>
      </c>
      <c r="R22" s="72" t="str">
        <f>IFERROR(__xludf.DUMMYFUNCTION("""COMPUTED_VALUE"""),"200g")</f>
        <v>200g</v>
      </c>
      <c r="S22" s="72" t="str">
        <f>IFERROR(__xludf.DUMMYFUNCTION("""COMPUTED_VALUE"""),"210g")</f>
        <v>210g</v>
      </c>
      <c r="T22" s="64">
        <f>IFERROR(__xludf.DUMMYFUNCTION("""COMPUTED_VALUE"""),210.0)</f>
        <v>210</v>
      </c>
      <c r="U22" s="66">
        <f>IFERROR(__xludf.DUMMYFUNCTION("""COMPUTED_VALUE"""),405.0)</f>
        <v>405</v>
      </c>
      <c r="V22" s="79">
        <f>IFERROR(__xludf.DUMMYFUNCTION("""COMPUTED_VALUE"""),3.9320388349514563)</f>
        <v>3.932038835</v>
      </c>
    </row>
    <row r="23">
      <c r="B23" s="68" t="s">
        <v>127</v>
      </c>
      <c r="C23" s="68">
        <f>if(countif(F16:F22,F23)&gt;1,0,3)</f>
        <v>3</v>
      </c>
      <c r="D23" s="68" t="str">
        <f>IFERROR(__xludf.DUMMYFUNCTION("""COMPUTED_VALUE"""),"105 WJV")</f>
        <v>105 WJV</v>
      </c>
      <c r="E23" s="69" t="str">
        <f>IFERROR(__xludf.DUMMYFUNCTION("""COMPUTED_VALUE"""),"WJV")</f>
        <v>WJV</v>
      </c>
      <c r="F23" s="70" t="str">
        <f>IFERROR(__xludf.DUMMYFUNCTION("""COMPUTED_VALUE"""),"Brighton")</f>
        <v>Brighton</v>
      </c>
      <c r="G23" s="69">
        <f>IFERROR(__xludf.DUMMYFUNCTION("""COMPUTED_VALUE"""),101.0)</f>
        <v>101</v>
      </c>
      <c r="H23" s="70" t="str">
        <f>IFERROR(__xludf.DUMMYFUNCTION("""COMPUTED_VALUE"""),"Cogan, Alyssa")</f>
        <v>Cogan, Alyssa</v>
      </c>
      <c r="I23" s="71" t="str">
        <f>IFERROR(__xludf.DUMMYFUNCTION("""COMPUTED_VALUE"""),"135g")</f>
        <v>135g</v>
      </c>
      <c r="J23" s="69" t="str">
        <f>IFERROR(__xludf.DUMMYFUNCTION("""COMPUTED_VALUE"""),"150g")</f>
        <v>150g</v>
      </c>
      <c r="K23" s="69" t="str">
        <f>IFERROR(__xludf.DUMMYFUNCTION("""COMPUTED_VALUE"""),"165x")</f>
        <v>165x</v>
      </c>
      <c r="L23" s="77">
        <f>IFERROR(__xludf.DUMMYFUNCTION("""COMPUTED_VALUE"""),150.0)</f>
        <v>150</v>
      </c>
      <c r="M23" s="72" t="str">
        <f>IFERROR(__xludf.DUMMYFUNCTION("""COMPUTED_VALUE"""),"65g")</f>
        <v>65g</v>
      </c>
      <c r="N23" s="72" t="str">
        <f>IFERROR(__xludf.DUMMYFUNCTION("""COMPUTED_VALUE"""),"75g")</f>
        <v>75g</v>
      </c>
      <c r="O23" s="72" t="str">
        <f>IFERROR(__xludf.DUMMYFUNCTION("""COMPUTED_VALUE"""),"80x")</f>
        <v>80x</v>
      </c>
      <c r="P23" s="64">
        <f>IFERROR(__xludf.DUMMYFUNCTION("""COMPUTED_VALUE"""),75.0)</f>
        <v>75</v>
      </c>
      <c r="Q23" s="72" t="str">
        <f>IFERROR(__xludf.DUMMYFUNCTION("""COMPUTED_VALUE"""),"155g")</f>
        <v>155g</v>
      </c>
      <c r="R23" s="72" t="str">
        <f>IFERROR(__xludf.DUMMYFUNCTION("""COMPUTED_VALUE"""),"170g")</f>
        <v>170g</v>
      </c>
      <c r="S23" s="72" t="str">
        <f>IFERROR(__xludf.DUMMYFUNCTION("""COMPUTED_VALUE"""),"185x")</f>
        <v>185x</v>
      </c>
      <c r="T23" s="64">
        <f>IFERROR(__xludf.DUMMYFUNCTION("""COMPUTED_VALUE"""),170.0)</f>
        <v>170</v>
      </c>
      <c r="U23" s="66">
        <f>IFERROR(__xludf.DUMMYFUNCTION("""COMPUTED_VALUE"""),395.0)</f>
        <v>395</v>
      </c>
      <c r="V23" s="79">
        <f>IFERROR(__xludf.DUMMYFUNCTION("""COMPUTED_VALUE"""),3.910891089108911)</f>
        <v>3.910891089</v>
      </c>
    </row>
    <row r="24">
      <c r="B24" s="68" t="s">
        <v>128</v>
      </c>
      <c r="C24" s="68">
        <f>if(countif(F16:F23,F24)&gt;1,0,2)</f>
        <v>2</v>
      </c>
      <c r="D24" s="68" t="str">
        <f>IFERROR(__xludf.DUMMYFUNCTION("""COMPUTED_VALUE"""),"105 WJV")</f>
        <v>105 WJV</v>
      </c>
      <c r="E24" s="69" t="str">
        <f>IFERROR(__xludf.DUMMYFUNCTION("""COMPUTED_VALUE"""),"WJV")</f>
        <v>WJV</v>
      </c>
      <c r="F24" s="70" t="str">
        <f>IFERROR(__xludf.DUMMYFUNCTION("""COMPUTED_VALUE"""),"Goodrich")</f>
        <v>Goodrich</v>
      </c>
      <c r="G24" s="69">
        <f>IFERROR(__xludf.DUMMYFUNCTION("""COMPUTED_VALUE"""),102.1)</f>
        <v>102.1</v>
      </c>
      <c r="H24" s="70" t="str">
        <f>IFERROR(__xludf.DUMMYFUNCTION("""COMPUTED_VALUE"""),"Vicory, Kendra")</f>
        <v>Vicory, Kendra</v>
      </c>
      <c r="I24" s="71" t="str">
        <f>IFERROR(__xludf.DUMMYFUNCTION("""COMPUTED_VALUE"""),"115g")</f>
        <v>115g</v>
      </c>
      <c r="J24" s="69" t="str">
        <f>IFERROR(__xludf.DUMMYFUNCTION("""COMPUTED_VALUE"""),"135g")</f>
        <v>135g</v>
      </c>
      <c r="K24" s="69" t="str">
        <f>IFERROR(__xludf.DUMMYFUNCTION("""COMPUTED_VALUE"""),"155x")</f>
        <v>155x</v>
      </c>
      <c r="L24" s="77">
        <f>IFERROR(__xludf.DUMMYFUNCTION("""COMPUTED_VALUE"""),135.0)</f>
        <v>135</v>
      </c>
      <c r="M24" s="72" t="str">
        <f>IFERROR(__xludf.DUMMYFUNCTION("""COMPUTED_VALUE"""),"75g")</f>
        <v>75g</v>
      </c>
      <c r="N24" s="72" t="str">
        <f>IFERROR(__xludf.DUMMYFUNCTION("""COMPUTED_VALUE"""),"85x")</f>
        <v>85x</v>
      </c>
      <c r="O24" s="72" t="str">
        <f>IFERROR(__xludf.DUMMYFUNCTION("""COMPUTED_VALUE"""),"100x")</f>
        <v>100x</v>
      </c>
      <c r="P24" s="64">
        <f>IFERROR(__xludf.DUMMYFUNCTION("""COMPUTED_VALUE"""),75.0)</f>
        <v>75</v>
      </c>
      <c r="Q24" s="72" t="str">
        <f>IFERROR(__xludf.DUMMYFUNCTION("""COMPUTED_VALUE"""),"155g")</f>
        <v>155g</v>
      </c>
      <c r="R24" s="72" t="str">
        <f>IFERROR(__xludf.DUMMYFUNCTION("""COMPUTED_VALUE"""),"185g")</f>
        <v>185g</v>
      </c>
      <c r="S24" s="72" t="str">
        <f>IFERROR(__xludf.DUMMYFUNCTION("""COMPUTED_VALUE"""),"205x")</f>
        <v>205x</v>
      </c>
      <c r="T24" s="64">
        <f>IFERROR(__xludf.DUMMYFUNCTION("""COMPUTED_VALUE"""),185.0)</f>
        <v>185</v>
      </c>
      <c r="U24" s="66">
        <f>IFERROR(__xludf.DUMMYFUNCTION("""COMPUTED_VALUE"""),395.0)</f>
        <v>395</v>
      </c>
      <c r="V24" s="79">
        <f>IFERROR(__xludf.DUMMYFUNCTION("""COMPUTED_VALUE"""),3.8687561214495596)</f>
        <v>3.868756121</v>
      </c>
    </row>
    <row r="25">
      <c r="B25" s="68" t="s">
        <v>129</v>
      </c>
      <c r="C25" s="68">
        <f>if(countif(F16:F24,F25)&gt;1,0,1)</f>
        <v>0</v>
      </c>
      <c r="D25" s="68" t="str">
        <f>IFERROR(__xludf.DUMMYFUNCTION("""COMPUTED_VALUE"""),"105 WJV")</f>
        <v>105 WJV</v>
      </c>
      <c r="E25" s="69" t="str">
        <f>IFERROR(__xludf.DUMMYFUNCTION("""COMPUTED_VALUE"""),"WJV")</f>
        <v>WJV</v>
      </c>
      <c r="F25" s="70" t="str">
        <f>IFERROR(__xludf.DUMMYFUNCTION("""COMPUTED_VALUE"""),"Central Montcalm")</f>
        <v>Central Montcalm</v>
      </c>
      <c r="G25" s="69">
        <f>IFERROR(__xludf.DUMMYFUNCTION("""COMPUTED_VALUE"""),104.8)</f>
        <v>104.8</v>
      </c>
      <c r="H25" s="70" t="str">
        <f>IFERROR(__xludf.DUMMYFUNCTION("""COMPUTED_VALUE"""),"Christiansen, Marlee")</f>
        <v>Christiansen, Marlee</v>
      </c>
      <c r="I25" s="71" t="str">
        <f>IFERROR(__xludf.DUMMYFUNCTION("""COMPUTED_VALUE"""),"125g")</f>
        <v>125g</v>
      </c>
      <c r="J25" s="69" t="str">
        <f>IFERROR(__xludf.DUMMYFUNCTION("""COMPUTED_VALUE"""),"140x")</f>
        <v>140x</v>
      </c>
      <c r="K25" s="69" t="str">
        <f>IFERROR(__xludf.DUMMYFUNCTION("""COMPUTED_VALUE"""),"140x")</f>
        <v>140x</v>
      </c>
      <c r="L25" s="77">
        <f>IFERROR(__xludf.DUMMYFUNCTION("""COMPUTED_VALUE"""),125.0)</f>
        <v>125</v>
      </c>
      <c r="M25" s="72" t="str">
        <f>IFERROR(__xludf.DUMMYFUNCTION("""COMPUTED_VALUE"""),"70g")</f>
        <v>70g</v>
      </c>
      <c r="N25" s="72" t="str">
        <f>IFERROR(__xludf.DUMMYFUNCTION("""COMPUTED_VALUE"""),"80g")</f>
        <v>80g</v>
      </c>
      <c r="O25" s="72" t="str">
        <f>IFERROR(__xludf.DUMMYFUNCTION("""COMPUTED_VALUE"""),"90x")</f>
        <v>90x</v>
      </c>
      <c r="P25" s="64">
        <f>IFERROR(__xludf.DUMMYFUNCTION("""COMPUTED_VALUE"""),80.0)</f>
        <v>80</v>
      </c>
      <c r="Q25" s="72" t="str">
        <f>IFERROR(__xludf.DUMMYFUNCTION("""COMPUTED_VALUE"""),"160g")</f>
        <v>160g</v>
      </c>
      <c r="R25" s="72" t="str">
        <f>IFERROR(__xludf.DUMMYFUNCTION("""COMPUTED_VALUE"""),"185g")</f>
        <v>185g</v>
      </c>
      <c r="S25" s="72" t="str">
        <f>IFERROR(__xludf.DUMMYFUNCTION("""COMPUTED_VALUE"""),"200x")</f>
        <v>200x</v>
      </c>
      <c r="T25" s="64">
        <f>IFERROR(__xludf.DUMMYFUNCTION("""COMPUTED_VALUE"""),185.0)</f>
        <v>185</v>
      </c>
      <c r="U25" s="66">
        <f>IFERROR(__xludf.DUMMYFUNCTION("""COMPUTED_VALUE"""),390.0)</f>
        <v>390</v>
      </c>
      <c r="V25" s="79">
        <f>IFERROR(__xludf.DUMMYFUNCTION("""COMPUTED_VALUE"""),3.721374045801527)</f>
        <v>3.721374046</v>
      </c>
    </row>
    <row r="26">
      <c r="A26" s="58">
        <v>114.0</v>
      </c>
      <c r="B26" s="59" t="s">
        <v>120</v>
      </c>
      <c r="C26" s="59">
        <v>12.0</v>
      </c>
      <c r="D26" s="59" t="str">
        <f>IFERROR(__xludf.DUMMYFUNCTION("ARRAY_CONSTRAIN(sort(filter(WJV_Tie_Breaker!D6:X285,WJV_Tie_Breaker!D6:D285=""114 WJV""),18,false,4,true,20,false,21,true),10,19)"),"114 WJV")</f>
        <v>114 WJV</v>
      </c>
      <c r="E26" s="61" t="str">
        <f>IFERROR(__xludf.DUMMYFUNCTION("""COMPUTED_VALUE"""),"WJV")</f>
        <v>WJV</v>
      </c>
      <c r="F26" s="62" t="str">
        <f>IFERROR(__xludf.DUMMYFUNCTION("""COMPUTED_VALUE"""),"Central Montcalm")</f>
        <v>Central Montcalm</v>
      </c>
      <c r="G26" s="61">
        <f>IFERROR(__xludf.DUMMYFUNCTION("""COMPUTED_VALUE"""),111.1)</f>
        <v>111.1</v>
      </c>
      <c r="H26" s="62" t="str">
        <f>IFERROR(__xludf.DUMMYFUNCTION("""COMPUTED_VALUE"""),"Hoffman, Tea")</f>
        <v>Hoffman, Tea</v>
      </c>
      <c r="I26" s="63" t="str">
        <f>IFERROR(__xludf.DUMMYFUNCTION("""COMPUTED_VALUE"""),"180g")</f>
        <v>180g</v>
      </c>
      <c r="J26" s="61" t="str">
        <f>IFERROR(__xludf.DUMMYFUNCTION("""COMPUTED_VALUE"""),"195g")</f>
        <v>195g</v>
      </c>
      <c r="K26" s="61" t="str">
        <f>IFERROR(__xludf.DUMMYFUNCTION("""COMPUTED_VALUE"""),"205g")</f>
        <v>205g</v>
      </c>
      <c r="L26" s="77">
        <f>IFERROR(__xludf.DUMMYFUNCTION("""COMPUTED_VALUE"""),205.0)</f>
        <v>205</v>
      </c>
      <c r="M26" s="65" t="str">
        <f>IFERROR(__xludf.DUMMYFUNCTION("""COMPUTED_VALUE"""),"95g")</f>
        <v>95g</v>
      </c>
      <c r="N26" s="65" t="str">
        <f>IFERROR(__xludf.DUMMYFUNCTION("""COMPUTED_VALUE"""),"105g")</f>
        <v>105g</v>
      </c>
      <c r="O26" s="65" t="str">
        <f>IFERROR(__xludf.DUMMYFUNCTION("""COMPUTED_VALUE"""),"110x")</f>
        <v>110x</v>
      </c>
      <c r="P26" s="64">
        <f>IFERROR(__xludf.DUMMYFUNCTION("""COMPUTED_VALUE"""),105.0)</f>
        <v>105</v>
      </c>
      <c r="Q26" s="65" t="str">
        <f>IFERROR(__xludf.DUMMYFUNCTION("""COMPUTED_VALUE"""),"225g")</f>
        <v>225g</v>
      </c>
      <c r="R26" s="65" t="str">
        <f>IFERROR(__xludf.DUMMYFUNCTION("""COMPUTED_VALUE"""),"245g")</f>
        <v>245g</v>
      </c>
      <c r="S26" s="65" t="str">
        <f>IFERROR(__xludf.DUMMYFUNCTION("""COMPUTED_VALUE"""),"260x")</f>
        <v>260x</v>
      </c>
      <c r="T26" s="64">
        <f>IFERROR(__xludf.DUMMYFUNCTION("""COMPUTED_VALUE"""),245.0)</f>
        <v>245</v>
      </c>
      <c r="U26" s="66">
        <f>IFERROR(__xludf.DUMMYFUNCTION("""COMPUTED_VALUE"""),555.0)</f>
        <v>555</v>
      </c>
      <c r="V26" s="78">
        <f>IFERROR(__xludf.DUMMYFUNCTION("""COMPUTED_VALUE"""),4.995499549954996)</f>
        <v>4.99549955</v>
      </c>
    </row>
    <row r="27">
      <c r="B27" s="59" t="s">
        <v>121</v>
      </c>
      <c r="C27" s="59">
        <v>9.0</v>
      </c>
      <c r="D27" s="59" t="str">
        <f>IFERROR(__xludf.DUMMYFUNCTION("""COMPUTED_VALUE"""),"114 WJV")</f>
        <v>114 WJV</v>
      </c>
      <c r="E27" s="61" t="str">
        <f>IFERROR(__xludf.DUMMYFUNCTION("""COMPUTED_VALUE"""),"WJV")</f>
        <v>WJV</v>
      </c>
      <c r="F27" s="62" t="str">
        <f>IFERROR(__xludf.DUMMYFUNCTION("""COMPUTED_VALUE"""),"Cros-Lex")</f>
        <v>Cros-Lex</v>
      </c>
      <c r="G27" s="61">
        <f>IFERROR(__xludf.DUMMYFUNCTION("""COMPUTED_VALUE"""),109.0)</f>
        <v>109</v>
      </c>
      <c r="H27" s="62" t="str">
        <f>IFERROR(__xludf.DUMMYFUNCTION("""COMPUTED_VALUE"""),"Day, Gabriella")</f>
        <v>Day, Gabriella</v>
      </c>
      <c r="I27" s="63" t="str">
        <f>IFERROR(__xludf.DUMMYFUNCTION("""COMPUTED_VALUE"""),"165g")</f>
        <v>165g</v>
      </c>
      <c r="J27" s="61" t="str">
        <f>IFERROR(__xludf.DUMMYFUNCTION("""COMPUTED_VALUE"""),"175g")</f>
        <v>175g</v>
      </c>
      <c r="K27" s="61" t="str">
        <f>IFERROR(__xludf.DUMMYFUNCTION("""COMPUTED_VALUE"""),"180g")</f>
        <v>180g</v>
      </c>
      <c r="L27" s="77">
        <f>IFERROR(__xludf.DUMMYFUNCTION("""COMPUTED_VALUE"""),180.0)</f>
        <v>180</v>
      </c>
      <c r="M27" s="65" t="str">
        <f>IFERROR(__xludf.DUMMYFUNCTION("""COMPUTED_VALUE"""),"75g")</f>
        <v>75g</v>
      </c>
      <c r="N27" s="65" t="str">
        <f>IFERROR(__xludf.DUMMYFUNCTION("""COMPUTED_VALUE"""),"80g")</f>
        <v>80g</v>
      </c>
      <c r="O27" s="65" t="str">
        <f>IFERROR(__xludf.DUMMYFUNCTION("""COMPUTED_VALUE"""),"85x")</f>
        <v>85x</v>
      </c>
      <c r="P27" s="64">
        <f>IFERROR(__xludf.DUMMYFUNCTION("""COMPUTED_VALUE"""),80.0)</f>
        <v>80</v>
      </c>
      <c r="Q27" s="65" t="str">
        <f>IFERROR(__xludf.DUMMYFUNCTION("""COMPUTED_VALUE"""),"215g")</f>
        <v>215g</v>
      </c>
      <c r="R27" s="65" t="str">
        <f>IFERROR(__xludf.DUMMYFUNCTION("""COMPUTED_VALUE"""),"235g")</f>
        <v>235g</v>
      </c>
      <c r="S27" s="65" t="str">
        <f>IFERROR(__xludf.DUMMYFUNCTION("""COMPUTED_VALUE"""),"245g")</f>
        <v>245g</v>
      </c>
      <c r="T27" s="64">
        <f>IFERROR(__xludf.DUMMYFUNCTION("""COMPUTED_VALUE"""),245.0)</f>
        <v>245</v>
      </c>
      <c r="U27" s="66">
        <f>IFERROR(__xludf.DUMMYFUNCTION("""COMPUTED_VALUE"""),505.0)</f>
        <v>505</v>
      </c>
      <c r="V27" s="78">
        <f>IFERROR(__xludf.DUMMYFUNCTION("""COMPUTED_VALUE"""),4.63302752293578)</f>
        <v>4.633027523</v>
      </c>
    </row>
    <row r="28">
      <c r="B28" s="59" t="s">
        <v>122</v>
      </c>
      <c r="C28" s="59">
        <f>if(countif(F26:F27,F28)&gt;1,0,8)</f>
        <v>8</v>
      </c>
      <c r="D28" s="59" t="str">
        <f>IFERROR(__xludf.DUMMYFUNCTION("""COMPUTED_VALUE"""),"114 WJV")</f>
        <v>114 WJV</v>
      </c>
      <c r="E28" s="61" t="str">
        <f>IFERROR(__xludf.DUMMYFUNCTION("""COMPUTED_VALUE"""),"WJV")</f>
        <v>WJV</v>
      </c>
      <c r="F28" s="62" t="str">
        <f>IFERROR(__xludf.DUMMYFUNCTION("""COMPUTED_VALUE"""),"Standish-Sterling")</f>
        <v>Standish-Sterling</v>
      </c>
      <c r="G28" s="61">
        <f>IFERROR(__xludf.DUMMYFUNCTION("""COMPUTED_VALUE"""),113.2)</f>
        <v>113.2</v>
      </c>
      <c r="H28" s="62" t="str">
        <f>IFERROR(__xludf.DUMMYFUNCTION("""COMPUTED_VALUE"""),"Kopasz, Remi")</f>
        <v>Kopasz, Remi</v>
      </c>
      <c r="I28" s="63" t="str">
        <f>IFERROR(__xludf.DUMMYFUNCTION("""COMPUTED_VALUE"""),"140g")</f>
        <v>140g</v>
      </c>
      <c r="J28" s="61" t="str">
        <f>IFERROR(__xludf.DUMMYFUNCTION("""COMPUTED_VALUE"""),"155g")</f>
        <v>155g</v>
      </c>
      <c r="K28" s="61" t="str">
        <f>IFERROR(__xludf.DUMMYFUNCTION("""COMPUTED_VALUE"""),"165x")</f>
        <v>165x</v>
      </c>
      <c r="L28" s="77">
        <f>IFERROR(__xludf.DUMMYFUNCTION("""COMPUTED_VALUE"""),155.0)</f>
        <v>155</v>
      </c>
      <c r="M28" s="65" t="str">
        <f>IFERROR(__xludf.DUMMYFUNCTION("""COMPUTED_VALUE"""),"85g")</f>
        <v>85g</v>
      </c>
      <c r="N28" s="65" t="str">
        <f>IFERROR(__xludf.DUMMYFUNCTION("""COMPUTED_VALUE"""),"95g")</f>
        <v>95g</v>
      </c>
      <c r="O28" s="65" t="str">
        <f>IFERROR(__xludf.DUMMYFUNCTION("""COMPUTED_VALUE"""),"100x")</f>
        <v>100x</v>
      </c>
      <c r="P28" s="64">
        <f>IFERROR(__xludf.DUMMYFUNCTION("""COMPUTED_VALUE"""),95.0)</f>
        <v>95</v>
      </c>
      <c r="Q28" s="65" t="str">
        <f>IFERROR(__xludf.DUMMYFUNCTION("""COMPUTED_VALUE"""),"210g")</f>
        <v>210g</v>
      </c>
      <c r="R28" s="65" t="str">
        <f>IFERROR(__xludf.DUMMYFUNCTION("""COMPUTED_VALUE"""),"225g")</f>
        <v>225g</v>
      </c>
      <c r="S28" s="65" t="str">
        <f>IFERROR(__xludf.DUMMYFUNCTION("""COMPUTED_VALUE"""),"235g")</f>
        <v>235g</v>
      </c>
      <c r="T28" s="64">
        <f>IFERROR(__xludf.DUMMYFUNCTION("""COMPUTED_VALUE"""),235.0)</f>
        <v>235</v>
      </c>
      <c r="U28" s="66">
        <f>IFERROR(__xludf.DUMMYFUNCTION("""COMPUTED_VALUE"""),485.0)</f>
        <v>485</v>
      </c>
      <c r="V28" s="78">
        <f>IFERROR(__xludf.DUMMYFUNCTION("""COMPUTED_VALUE"""),4.284452296819788)</f>
        <v>4.284452297</v>
      </c>
    </row>
    <row r="29">
      <c r="B29" s="59" t="s">
        <v>123</v>
      </c>
      <c r="C29" s="59">
        <f>if(countif(F26:F28,F29)&gt;1,0,7)</f>
        <v>7</v>
      </c>
      <c r="D29" s="59" t="str">
        <f>IFERROR(__xludf.DUMMYFUNCTION("""COMPUTED_VALUE"""),"114 WJV")</f>
        <v>114 WJV</v>
      </c>
      <c r="E29" s="61" t="str">
        <f>IFERROR(__xludf.DUMMYFUNCTION("""COMPUTED_VALUE"""),"WJV")</f>
        <v>WJV</v>
      </c>
      <c r="F29" s="62" t="str">
        <f>IFERROR(__xludf.DUMMYFUNCTION("""COMPUTED_VALUE"""),"Central Montcalm")</f>
        <v>Central Montcalm</v>
      </c>
      <c r="G29" s="61">
        <f>IFERROR(__xludf.DUMMYFUNCTION("""COMPUTED_VALUE"""),110.9)</f>
        <v>110.9</v>
      </c>
      <c r="H29" s="62" t="str">
        <f>IFERROR(__xludf.DUMMYFUNCTION("""COMPUTED_VALUE"""),"Bohen, Lily")</f>
        <v>Bohen, Lily</v>
      </c>
      <c r="I29" s="63" t="str">
        <f>IFERROR(__xludf.DUMMYFUNCTION("""COMPUTED_VALUE"""),"120g")</f>
        <v>120g</v>
      </c>
      <c r="J29" s="61" t="str">
        <f>IFERROR(__xludf.DUMMYFUNCTION("""COMPUTED_VALUE"""),"135g")</f>
        <v>135g</v>
      </c>
      <c r="K29" s="61" t="str">
        <f>IFERROR(__xludf.DUMMYFUNCTION("""COMPUTED_VALUE"""),"145g")</f>
        <v>145g</v>
      </c>
      <c r="L29" s="77">
        <f>IFERROR(__xludf.DUMMYFUNCTION("""COMPUTED_VALUE"""),145.0)</f>
        <v>145</v>
      </c>
      <c r="M29" s="65" t="str">
        <f>IFERROR(__xludf.DUMMYFUNCTION("""COMPUTED_VALUE"""),"80g")</f>
        <v>80g</v>
      </c>
      <c r="N29" s="65" t="str">
        <f>IFERROR(__xludf.DUMMYFUNCTION("""COMPUTED_VALUE"""),"85g")</f>
        <v>85g</v>
      </c>
      <c r="O29" s="65" t="str">
        <f>IFERROR(__xludf.DUMMYFUNCTION("""COMPUTED_VALUE"""),"90x")</f>
        <v>90x</v>
      </c>
      <c r="P29" s="64">
        <f>IFERROR(__xludf.DUMMYFUNCTION("""COMPUTED_VALUE"""),85.0)</f>
        <v>85</v>
      </c>
      <c r="Q29" s="65" t="str">
        <f>IFERROR(__xludf.DUMMYFUNCTION("""COMPUTED_VALUE"""),"200g")</f>
        <v>200g</v>
      </c>
      <c r="R29" s="65" t="str">
        <f>IFERROR(__xludf.DUMMYFUNCTION("""COMPUTED_VALUE"""),"235g")</f>
        <v>235g</v>
      </c>
      <c r="S29" s="65" t="str">
        <f>IFERROR(__xludf.DUMMYFUNCTION("""COMPUTED_VALUE"""),"245g")</f>
        <v>245g</v>
      </c>
      <c r="T29" s="64">
        <f>IFERROR(__xludf.DUMMYFUNCTION("""COMPUTED_VALUE"""),245.0)</f>
        <v>245</v>
      </c>
      <c r="U29" s="66">
        <f>IFERROR(__xludf.DUMMYFUNCTION("""COMPUTED_VALUE"""),475.0)</f>
        <v>475</v>
      </c>
      <c r="V29" s="78">
        <f>IFERROR(__xludf.DUMMYFUNCTION("""COMPUTED_VALUE"""),4.283137962128043)</f>
        <v>4.283137962</v>
      </c>
    </row>
    <row r="30">
      <c r="B30" s="59" t="s">
        <v>124</v>
      </c>
      <c r="C30" s="59">
        <f>if(countif(F26:F29,F30)&gt;1,0,6)</f>
        <v>6</v>
      </c>
      <c r="D30" s="59" t="str">
        <f>IFERROR(__xludf.DUMMYFUNCTION("""COMPUTED_VALUE"""),"114 WJV")</f>
        <v>114 WJV</v>
      </c>
      <c r="E30" s="61" t="str">
        <f>IFERROR(__xludf.DUMMYFUNCTION("""COMPUTED_VALUE"""),"WJV")</f>
        <v>WJV</v>
      </c>
      <c r="F30" s="62" t="str">
        <f>IFERROR(__xludf.DUMMYFUNCTION("""COMPUTED_VALUE"""),"Port Huron")</f>
        <v>Port Huron</v>
      </c>
      <c r="G30" s="61">
        <f>IFERROR(__xludf.DUMMYFUNCTION("""COMPUTED_VALUE"""),110.2)</f>
        <v>110.2</v>
      </c>
      <c r="H30" s="62" t="str">
        <f>IFERROR(__xludf.DUMMYFUNCTION("""COMPUTED_VALUE"""),"Harris, Halle")</f>
        <v>Harris, Halle</v>
      </c>
      <c r="I30" s="63" t="str">
        <f>IFERROR(__xludf.DUMMYFUNCTION("""COMPUTED_VALUE"""),"145g")</f>
        <v>145g</v>
      </c>
      <c r="J30" s="61" t="str">
        <f>IFERROR(__xludf.DUMMYFUNCTION("""COMPUTED_VALUE"""),"155g")</f>
        <v>155g</v>
      </c>
      <c r="K30" s="61" t="str">
        <f>IFERROR(__xludf.DUMMYFUNCTION("""COMPUTED_VALUE"""),"165x")</f>
        <v>165x</v>
      </c>
      <c r="L30" s="77">
        <f>IFERROR(__xludf.DUMMYFUNCTION("""COMPUTED_VALUE"""),155.0)</f>
        <v>155</v>
      </c>
      <c r="M30" s="65" t="str">
        <f>IFERROR(__xludf.DUMMYFUNCTION("""COMPUTED_VALUE"""),"90g")</f>
        <v>90g</v>
      </c>
      <c r="N30" s="65" t="str">
        <f>IFERROR(__xludf.DUMMYFUNCTION("""COMPUTED_VALUE"""),"95g")</f>
        <v>95g</v>
      </c>
      <c r="O30" s="65" t="str">
        <f>IFERROR(__xludf.DUMMYFUNCTION("""COMPUTED_VALUE"""),"105x")</f>
        <v>105x</v>
      </c>
      <c r="P30" s="64">
        <f>IFERROR(__xludf.DUMMYFUNCTION("""COMPUTED_VALUE"""),95.0)</f>
        <v>95</v>
      </c>
      <c r="Q30" s="65" t="str">
        <f>IFERROR(__xludf.DUMMYFUNCTION("""COMPUTED_VALUE"""),"215x")</f>
        <v>215x</v>
      </c>
      <c r="R30" s="65" t="str">
        <f>IFERROR(__xludf.DUMMYFUNCTION("""COMPUTED_VALUE"""),"215g")</f>
        <v>215g</v>
      </c>
      <c r="S30" s="65" t="str">
        <f>IFERROR(__xludf.DUMMYFUNCTION("""COMPUTED_VALUE"""),"220g")</f>
        <v>220g</v>
      </c>
      <c r="T30" s="64">
        <f>IFERROR(__xludf.DUMMYFUNCTION("""COMPUTED_VALUE"""),220.0)</f>
        <v>220</v>
      </c>
      <c r="U30" s="66">
        <f>IFERROR(__xludf.DUMMYFUNCTION("""COMPUTED_VALUE"""),470.0)</f>
        <v>470</v>
      </c>
      <c r="V30" s="78">
        <f>IFERROR(__xludf.DUMMYFUNCTION("""COMPUTED_VALUE"""),4.26497277676951)</f>
        <v>4.264972777</v>
      </c>
    </row>
    <row r="31">
      <c r="B31" s="59" t="s">
        <v>125</v>
      </c>
      <c r="C31" s="59">
        <f>if(countif(F26:F30,F31)&gt;1,0,5)</f>
        <v>5</v>
      </c>
      <c r="D31" s="59" t="str">
        <f>IFERROR(__xludf.DUMMYFUNCTION("""COMPUTED_VALUE"""),"114 WJV")</f>
        <v>114 WJV</v>
      </c>
      <c r="E31" s="61" t="str">
        <f>IFERROR(__xludf.DUMMYFUNCTION("""COMPUTED_VALUE"""),"WJV")</f>
        <v>WJV</v>
      </c>
      <c r="F31" s="62" t="str">
        <f>IFERROR(__xludf.DUMMYFUNCTION("""COMPUTED_VALUE"""),"Traverse City West")</f>
        <v>Traverse City West</v>
      </c>
      <c r="G31" s="61">
        <f>IFERROR(__xludf.DUMMYFUNCTION("""COMPUTED_VALUE"""),113.6)</f>
        <v>113.6</v>
      </c>
      <c r="H31" s="62" t="str">
        <f>IFERROR(__xludf.DUMMYFUNCTION("""COMPUTED_VALUE"""),"Barfield, Skyler")</f>
        <v>Barfield, Skyler</v>
      </c>
      <c r="I31" s="63" t="str">
        <f>IFERROR(__xludf.DUMMYFUNCTION("""COMPUTED_VALUE"""),"170x")</f>
        <v>170x</v>
      </c>
      <c r="J31" s="61" t="str">
        <f>IFERROR(__xludf.DUMMYFUNCTION("""COMPUTED_VALUE"""),"170g")</f>
        <v>170g</v>
      </c>
      <c r="K31" s="61" t="str">
        <f>IFERROR(__xludf.DUMMYFUNCTION("""COMPUTED_VALUE"""),"175g")</f>
        <v>175g</v>
      </c>
      <c r="L31" s="77">
        <f>IFERROR(__xludf.DUMMYFUNCTION("""COMPUTED_VALUE"""),175.0)</f>
        <v>175</v>
      </c>
      <c r="M31" s="65" t="str">
        <f>IFERROR(__xludf.DUMMYFUNCTION("""COMPUTED_VALUE"""),"110g")</f>
        <v>110g</v>
      </c>
      <c r="N31" s="65" t="str">
        <f>IFERROR(__xludf.DUMMYFUNCTION("""COMPUTED_VALUE"""),"120x")</f>
        <v>120x</v>
      </c>
      <c r="O31" s="65" t="str">
        <f>IFERROR(__xludf.DUMMYFUNCTION("""COMPUTED_VALUE"""),"120x")</f>
        <v>120x</v>
      </c>
      <c r="P31" s="64">
        <f>IFERROR(__xludf.DUMMYFUNCTION("""COMPUTED_VALUE"""),110.0)</f>
        <v>110</v>
      </c>
      <c r="Q31" s="65" t="str">
        <f>IFERROR(__xludf.DUMMYFUNCTION("""COMPUTED_VALUE"""),"155g")</f>
        <v>155g</v>
      </c>
      <c r="R31" s="65" t="str">
        <f>IFERROR(__xludf.DUMMYFUNCTION("""COMPUTED_VALUE"""),"165g")</f>
        <v>165g</v>
      </c>
      <c r="S31" s="65" t="str">
        <f>IFERROR(__xludf.DUMMYFUNCTION("""COMPUTED_VALUE"""),"175g")</f>
        <v>175g</v>
      </c>
      <c r="T31" s="64">
        <f>IFERROR(__xludf.DUMMYFUNCTION("""COMPUTED_VALUE"""),175.0)</f>
        <v>175</v>
      </c>
      <c r="U31" s="66">
        <f>IFERROR(__xludf.DUMMYFUNCTION("""COMPUTED_VALUE"""),460.0)</f>
        <v>460</v>
      </c>
      <c r="V31" s="78">
        <f>IFERROR(__xludf.DUMMYFUNCTION("""COMPUTED_VALUE"""),4.049295774647888)</f>
        <v>4.049295775</v>
      </c>
    </row>
    <row r="32">
      <c r="B32" s="59" t="s">
        <v>126</v>
      </c>
      <c r="C32" s="59">
        <f>if(countif(F26:F31,F32)&gt;1,0,4)</f>
        <v>4</v>
      </c>
      <c r="D32" s="59" t="str">
        <f>IFERROR(__xludf.DUMMYFUNCTION("""COMPUTED_VALUE"""),"114 WJV")</f>
        <v>114 WJV</v>
      </c>
      <c r="E32" s="61" t="str">
        <f>IFERROR(__xludf.DUMMYFUNCTION("""COMPUTED_VALUE"""),"WJV")</f>
        <v>WJV</v>
      </c>
      <c r="F32" s="62" t="str">
        <f>IFERROR(__xludf.DUMMYFUNCTION("""COMPUTED_VALUE"""),"Port Huron")</f>
        <v>Port Huron</v>
      </c>
      <c r="G32" s="61">
        <f>IFERROR(__xludf.DUMMYFUNCTION("""COMPUTED_VALUE"""),108.2)</f>
        <v>108.2</v>
      </c>
      <c r="H32" s="62" t="str">
        <f>IFERROR(__xludf.DUMMYFUNCTION("""COMPUTED_VALUE"""),"Pionk, Abi")</f>
        <v>Pionk, Abi</v>
      </c>
      <c r="I32" s="63" t="str">
        <f>IFERROR(__xludf.DUMMYFUNCTION("""COMPUTED_VALUE"""),"145g")</f>
        <v>145g</v>
      </c>
      <c r="J32" s="61" t="str">
        <f>IFERROR(__xludf.DUMMYFUNCTION("""COMPUTED_VALUE"""),"155g")</f>
        <v>155g</v>
      </c>
      <c r="K32" s="61" t="str">
        <f>IFERROR(__xludf.DUMMYFUNCTION("""COMPUTED_VALUE"""),"165g")</f>
        <v>165g</v>
      </c>
      <c r="L32" s="77">
        <f>IFERROR(__xludf.DUMMYFUNCTION("""COMPUTED_VALUE"""),165.0)</f>
        <v>165</v>
      </c>
      <c r="M32" s="65" t="str">
        <f>IFERROR(__xludf.DUMMYFUNCTION("""COMPUTED_VALUE"""),"65g")</f>
        <v>65g</v>
      </c>
      <c r="N32" s="65" t="str">
        <f>IFERROR(__xludf.DUMMYFUNCTION("""COMPUTED_VALUE"""),"70g")</f>
        <v>70g</v>
      </c>
      <c r="O32" s="65" t="str">
        <f>IFERROR(__xludf.DUMMYFUNCTION("""COMPUTED_VALUE"""),"75x")</f>
        <v>75x</v>
      </c>
      <c r="P32" s="64">
        <f>IFERROR(__xludf.DUMMYFUNCTION("""COMPUTED_VALUE"""),70.0)</f>
        <v>70</v>
      </c>
      <c r="Q32" s="65" t="str">
        <f>IFERROR(__xludf.DUMMYFUNCTION("""COMPUTED_VALUE"""),"195g")</f>
        <v>195g</v>
      </c>
      <c r="R32" s="65" t="str">
        <f>IFERROR(__xludf.DUMMYFUNCTION("""COMPUTED_VALUE"""),"210g")</f>
        <v>210g</v>
      </c>
      <c r="S32" s="65" t="str">
        <f>IFERROR(__xludf.DUMMYFUNCTION("""COMPUTED_VALUE"""),"220g")</f>
        <v>220g</v>
      </c>
      <c r="T32" s="64">
        <f>IFERROR(__xludf.DUMMYFUNCTION("""COMPUTED_VALUE"""),220.0)</f>
        <v>220</v>
      </c>
      <c r="U32" s="66">
        <f>IFERROR(__xludf.DUMMYFUNCTION("""COMPUTED_VALUE"""),455.0)</f>
        <v>455</v>
      </c>
      <c r="V32" s="78">
        <f>IFERROR(__xludf.DUMMYFUNCTION("""COMPUTED_VALUE"""),4.205175600739372)</f>
        <v>4.205175601</v>
      </c>
    </row>
    <row r="33">
      <c r="B33" s="59" t="s">
        <v>127</v>
      </c>
      <c r="C33" s="59">
        <f>if(countif(F26:F32,F33)&gt;1,0,3)</f>
        <v>3</v>
      </c>
      <c r="D33" s="59" t="str">
        <f>IFERROR(__xludf.DUMMYFUNCTION("""COMPUTED_VALUE"""),"114 WJV")</f>
        <v>114 WJV</v>
      </c>
      <c r="E33" s="61" t="str">
        <f>IFERROR(__xludf.DUMMYFUNCTION("""COMPUTED_VALUE"""),"WJV")</f>
        <v>WJV</v>
      </c>
      <c r="F33" s="62" t="str">
        <f>IFERROR(__xludf.DUMMYFUNCTION("""COMPUTED_VALUE"""),"North Branch")</f>
        <v>North Branch</v>
      </c>
      <c r="G33" s="61">
        <f>IFERROR(__xludf.DUMMYFUNCTION("""COMPUTED_VALUE"""),113.8)</f>
        <v>113.8</v>
      </c>
      <c r="H33" s="62" t="str">
        <f>IFERROR(__xludf.DUMMYFUNCTION("""COMPUTED_VALUE"""),"Mauk, Jasmine")</f>
        <v>Mauk, Jasmine</v>
      </c>
      <c r="I33" s="63" t="str">
        <f>IFERROR(__xludf.DUMMYFUNCTION("""COMPUTED_VALUE"""),"130g")</f>
        <v>130g</v>
      </c>
      <c r="J33" s="61" t="str">
        <f>IFERROR(__xludf.DUMMYFUNCTION("""COMPUTED_VALUE"""),"145g")</f>
        <v>145g</v>
      </c>
      <c r="K33" s="61" t="str">
        <f>IFERROR(__xludf.DUMMYFUNCTION("""COMPUTED_VALUE"""),"150g")</f>
        <v>150g</v>
      </c>
      <c r="L33" s="77">
        <f>IFERROR(__xludf.DUMMYFUNCTION("""COMPUTED_VALUE"""),150.0)</f>
        <v>150</v>
      </c>
      <c r="M33" s="65" t="str">
        <f>IFERROR(__xludf.DUMMYFUNCTION("""COMPUTED_VALUE"""),"70g")</f>
        <v>70g</v>
      </c>
      <c r="N33" s="65" t="str">
        <f>IFERROR(__xludf.DUMMYFUNCTION("""COMPUTED_VALUE"""),"80x")</f>
        <v>80x</v>
      </c>
      <c r="O33" s="65" t="str">
        <f>IFERROR(__xludf.DUMMYFUNCTION("""COMPUTED_VALUE"""),"80x")</f>
        <v>80x</v>
      </c>
      <c r="P33" s="64">
        <f>IFERROR(__xludf.DUMMYFUNCTION("""COMPUTED_VALUE"""),70.0)</f>
        <v>70</v>
      </c>
      <c r="Q33" s="65" t="str">
        <f>IFERROR(__xludf.DUMMYFUNCTION("""COMPUTED_VALUE"""),"200g")</f>
        <v>200g</v>
      </c>
      <c r="R33" s="65" t="str">
        <f>IFERROR(__xludf.DUMMYFUNCTION("""COMPUTED_VALUE"""),"220g")</f>
        <v>220g</v>
      </c>
      <c r="S33" s="65" t="str">
        <f>IFERROR(__xludf.DUMMYFUNCTION("""COMPUTED_VALUE"""),"235g")</f>
        <v>235g</v>
      </c>
      <c r="T33" s="64">
        <f>IFERROR(__xludf.DUMMYFUNCTION("""COMPUTED_VALUE"""),235.0)</f>
        <v>235</v>
      </c>
      <c r="U33" s="66">
        <f>IFERROR(__xludf.DUMMYFUNCTION("""COMPUTED_VALUE"""),455.0)</f>
        <v>455</v>
      </c>
      <c r="V33" s="78">
        <f>IFERROR(__xludf.DUMMYFUNCTION("""COMPUTED_VALUE"""),3.9982425307557117)</f>
        <v>3.998242531</v>
      </c>
    </row>
    <row r="34">
      <c r="B34" s="59" t="s">
        <v>128</v>
      </c>
      <c r="C34" s="59">
        <f>if(countif(F26:F33,F34)&gt;1,0,2)</f>
        <v>2</v>
      </c>
      <c r="D34" s="59" t="str">
        <f>IFERROR(__xludf.DUMMYFUNCTION("""COMPUTED_VALUE"""),"114 WJV")</f>
        <v>114 WJV</v>
      </c>
      <c r="E34" s="61" t="str">
        <f>IFERROR(__xludf.DUMMYFUNCTION("""COMPUTED_VALUE"""),"WJV")</f>
        <v>WJV</v>
      </c>
      <c r="F34" s="62" t="str">
        <f>IFERROR(__xludf.DUMMYFUNCTION("""COMPUTED_VALUE"""),"Whitehall")</f>
        <v>Whitehall</v>
      </c>
      <c r="G34" s="61">
        <f>IFERROR(__xludf.DUMMYFUNCTION("""COMPUTED_VALUE"""),112.5)</f>
        <v>112.5</v>
      </c>
      <c r="H34" s="62" t="str">
        <f>IFERROR(__xludf.DUMMYFUNCTION("""COMPUTED_VALUE"""),"Kennedy, Tristyn")</f>
        <v>Kennedy, Tristyn</v>
      </c>
      <c r="I34" s="63" t="str">
        <f>IFERROR(__xludf.DUMMYFUNCTION("""COMPUTED_VALUE"""),"140g")</f>
        <v>140g</v>
      </c>
      <c r="J34" s="61" t="str">
        <f>IFERROR(__xludf.DUMMYFUNCTION("""COMPUTED_VALUE"""),"150g")</f>
        <v>150g</v>
      </c>
      <c r="K34" s="61" t="str">
        <f>IFERROR(__xludf.DUMMYFUNCTION("""COMPUTED_VALUE"""),"155x")</f>
        <v>155x</v>
      </c>
      <c r="L34" s="77">
        <f>IFERROR(__xludf.DUMMYFUNCTION("""COMPUTED_VALUE"""),150.0)</f>
        <v>150</v>
      </c>
      <c r="M34" s="65" t="str">
        <f>IFERROR(__xludf.DUMMYFUNCTION("""COMPUTED_VALUE"""),"75g")</f>
        <v>75g</v>
      </c>
      <c r="N34" s="65" t="str">
        <f>IFERROR(__xludf.DUMMYFUNCTION("""COMPUTED_VALUE"""),"80g")</f>
        <v>80g</v>
      </c>
      <c r="O34" s="65" t="str">
        <f>IFERROR(__xludf.DUMMYFUNCTION("""COMPUTED_VALUE"""),"90x")</f>
        <v>90x</v>
      </c>
      <c r="P34" s="64">
        <f>IFERROR(__xludf.DUMMYFUNCTION("""COMPUTED_VALUE"""),80.0)</f>
        <v>80</v>
      </c>
      <c r="Q34" s="65" t="str">
        <f>IFERROR(__xludf.DUMMYFUNCTION("""COMPUTED_VALUE"""),"200g")</f>
        <v>200g</v>
      </c>
      <c r="R34" s="65" t="str">
        <f>IFERROR(__xludf.DUMMYFUNCTION("""COMPUTED_VALUE"""),"220g")</f>
        <v>220g</v>
      </c>
      <c r="S34" s="65" t="str">
        <f>IFERROR(__xludf.DUMMYFUNCTION("""COMPUTED_VALUE"""),"235x")</f>
        <v>235x</v>
      </c>
      <c r="T34" s="64">
        <f>IFERROR(__xludf.DUMMYFUNCTION("""COMPUTED_VALUE"""),220.0)</f>
        <v>220</v>
      </c>
      <c r="U34" s="66">
        <f>IFERROR(__xludf.DUMMYFUNCTION("""COMPUTED_VALUE"""),450.0)</f>
        <v>450</v>
      </c>
      <c r="V34" s="78">
        <f>IFERROR(__xludf.DUMMYFUNCTION("""COMPUTED_VALUE"""),4.0)</f>
        <v>4</v>
      </c>
    </row>
    <row r="35">
      <c r="B35" s="59" t="s">
        <v>129</v>
      </c>
      <c r="C35" s="59">
        <f>if(countif(F26:F34,F35)&gt;1,0,1)</f>
        <v>0</v>
      </c>
      <c r="D35" s="59" t="str">
        <f>IFERROR(__xludf.DUMMYFUNCTION("""COMPUTED_VALUE"""),"114 WJV")</f>
        <v>114 WJV</v>
      </c>
      <c r="E35" s="61" t="str">
        <f>IFERROR(__xludf.DUMMYFUNCTION("""COMPUTED_VALUE"""),"WJV")</f>
        <v>WJV</v>
      </c>
      <c r="F35" s="62" t="str">
        <f>IFERROR(__xludf.DUMMYFUNCTION("""COMPUTED_VALUE"""),"Port Huron")</f>
        <v>Port Huron</v>
      </c>
      <c r="G35" s="61">
        <f>IFERROR(__xludf.DUMMYFUNCTION("""COMPUTED_VALUE"""),112.8)</f>
        <v>112.8</v>
      </c>
      <c r="H35" s="62" t="str">
        <f>IFERROR(__xludf.DUMMYFUNCTION("""COMPUTED_VALUE"""),"Stocks, Bryanna")</f>
        <v>Stocks, Bryanna</v>
      </c>
      <c r="I35" s="63" t="str">
        <f>IFERROR(__xludf.DUMMYFUNCTION("""COMPUTED_VALUE"""),"130g")</f>
        <v>130g</v>
      </c>
      <c r="J35" s="61" t="str">
        <f>IFERROR(__xludf.DUMMYFUNCTION("""COMPUTED_VALUE"""),"140g")</f>
        <v>140g</v>
      </c>
      <c r="K35" s="61" t="str">
        <f>IFERROR(__xludf.DUMMYFUNCTION("""COMPUTED_VALUE"""),"150g")</f>
        <v>150g</v>
      </c>
      <c r="L35" s="77">
        <f>IFERROR(__xludf.DUMMYFUNCTION("""COMPUTED_VALUE"""),150.0)</f>
        <v>150</v>
      </c>
      <c r="M35" s="65" t="str">
        <f>IFERROR(__xludf.DUMMYFUNCTION("""COMPUTED_VALUE"""),"70g")</f>
        <v>70g</v>
      </c>
      <c r="N35" s="65" t="str">
        <f>IFERROR(__xludf.DUMMYFUNCTION("""COMPUTED_VALUE"""),"80g")</f>
        <v>80g</v>
      </c>
      <c r="O35" s="65" t="str">
        <f>IFERROR(__xludf.DUMMYFUNCTION("""COMPUTED_VALUE"""),"85x")</f>
        <v>85x</v>
      </c>
      <c r="P35" s="64">
        <f>IFERROR(__xludf.DUMMYFUNCTION("""COMPUTED_VALUE"""),80.0)</f>
        <v>80</v>
      </c>
      <c r="Q35" s="65" t="str">
        <f>IFERROR(__xludf.DUMMYFUNCTION("""COMPUTED_VALUE"""),"205g")</f>
        <v>205g</v>
      </c>
      <c r="R35" s="65" t="str">
        <f>IFERROR(__xludf.DUMMYFUNCTION("""COMPUTED_VALUE"""),"220g")</f>
        <v>220g</v>
      </c>
      <c r="S35" s="65" t="str">
        <f>IFERROR(__xludf.DUMMYFUNCTION("""COMPUTED_VALUE"""),"230x")</f>
        <v>230x</v>
      </c>
      <c r="T35" s="64">
        <f>IFERROR(__xludf.DUMMYFUNCTION("""COMPUTED_VALUE"""),220.0)</f>
        <v>220</v>
      </c>
      <c r="U35" s="66">
        <f>IFERROR(__xludf.DUMMYFUNCTION("""COMPUTED_VALUE"""),450.0)</f>
        <v>450</v>
      </c>
      <c r="V35" s="78">
        <f>IFERROR(__xludf.DUMMYFUNCTION("""COMPUTED_VALUE"""),3.9893617021276597)</f>
        <v>3.989361702</v>
      </c>
    </row>
    <row r="36">
      <c r="A36" s="73">
        <v>123.0</v>
      </c>
      <c r="B36" s="68" t="s">
        <v>120</v>
      </c>
      <c r="C36" s="68">
        <v>12.0</v>
      </c>
      <c r="D36" s="68" t="str">
        <f>IFERROR(__xludf.DUMMYFUNCTION("ARRAY_CONSTRAIN(sort(filter(WJV_Tie_Breaker!D6:X285,WJV_Tie_Breaker!D6:D285=""123 WJV""),18,false,4,true,20,false,21,true),10,19)"),"123 WJV")</f>
        <v>123 WJV</v>
      </c>
      <c r="E36" s="69" t="str">
        <f>IFERROR(__xludf.DUMMYFUNCTION("""COMPUTED_VALUE"""),"WJV")</f>
        <v>WJV</v>
      </c>
      <c r="F36" s="70" t="str">
        <f>IFERROR(__xludf.DUMMYFUNCTION("""COMPUTED_VALUE"""),"Central Montcalm")</f>
        <v>Central Montcalm</v>
      </c>
      <c r="G36" s="69">
        <f>IFERROR(__xludf.DUMMYFUNCTION("""COMPUTED_VALUE"""),118.8)</f>
        <v>118.8</v>
      </c>
      <c r="H36" s="70" t="str">
        <f>IFERROR(__xludf.DUMMYFUNCTION("""COMPUTED_VALUE"""),"Nicholson, Kamryn")</f>
        <v>Nicholson, Kamryn</v>
      </c>
      <c r="I36" s="71" t="str">
        <f>IFERROR(__xludf.DUMMYFUNCTION("""COMPUTED_VALUE"""),"195g")</f>
        <v>195g</v>
      </c>
      <c r="J36" s="69" t="str">
        <f>IFERROR(__xludf.DUMMYFUNCTION("""COMPUTED_VALUE"""),"205g")</f>
        <v>205g</v>
      </c>
      <c r="K36" s="69" t="str">
        <f>IFERROR(__xludf.DUMMYFUNCTION("""COMPUTED_VALUE"""),"215x")</f>
        <v>215x</v>
      </c>
      <c r="L36" s="77">
        <f>IFERROR(__xludf.DUMMYFUNCTION("""COMPUTED_VALUE"""),205.0)</f>
        <v>205</v>
      </c>
      <c r="M36" s="72" t="str">
        <f>IFERROR(__xludf.DUMMYFUNCTION("""COMPUTED_VALUE"""),"95g")</f>
        <v>95g</v>
      </c>
      <c r="N36" s="72" t="str">
        <f>IFERROR(__xludf.DUMMYFUNCTION("""COMPUTED_VALUE"""),"105g")</f>
        <v>105g</v>
      </c>
      <c r="O36" s="72" t="str">
        <f>IFERROR(__xludf.DUMMYFUNCTION("""COMPUTED_VALUE"""),"110g")</f>
        <v>110g</v>
      </c>
      <c r="P36" s="64">
        <f>IFERROR(__xludf.DUMMYFUNCTION("""COMPUTED_VALUE"""),110.0)</f>
        <v>110</v>
      </c>
      <c r="Q36" s="72" t="str">
        <f>IFERROR(__xludf.DUMMYFUNCTION("""COMPUTED_VALUE"""),"225g")</f>
        <v>225g</v>
      </c>
      <c r="R36" s="72" t="str">
        <f>IFERROR(__xludf.DUMMYFUNCTION("""COMPUTED_VALUE"""),"250g")</f>
        <v>250g</v>
      </c>
      <c r="S36" s="72" t="str">
        <f>IFERROR(__xludf.DUMMYFUNCTION("""COMPUTED_VALUE"""),"265g")</f>
        <v>265g</v>
      </c>
      <c r="T36" s="64">
        <f>IFERROR(__xludf.DUMMYFUNCTION("""COMPUTED_VALUE"""),265.0)</f>
        <v>265</v>
      </c>
      <c r="U36" s="66">
        <f>IFERROR(__xludf.DUMMYFUNCTION("""COMPUTED_VALUE"""),580.0)</f>
        <v>580</v>
      </c>
      <c r="V36" s="79">
        <f>IFERROR(__xludf.DUMMYFUNCTION("""COMPUTED_VALUE"""),4.882154882154882)</f>
        <v>4.882154882</v>
      </c>
    </row>
    <row r="37">
      <c r="B37" s="68" t="s">
        <v>121</v>
      </c>
      <c r="C37" s="68">
        <v>9.0</v>
      </c>
      <c r="D37" s="68" t="str">
        <f>IFERROR(__xludf.DUMMYFUNCTION("""COMPUTED_VALUE"""),"123 WJV")</f>
        <v>123 WJV</v>
      </c>
      <c r="E37" s="69" t="str">
        <f>IFERROR(__xludf.DUMMYFUNCTION("""COMPUTED_VALUE"""),"WJV")</f>
        <v>WJV</v>
      </c>
      <c r="F37" s="70" t="str">
        <f>IFERROR(__xludf.DUMMYFUNCTION("""COMPUTED_VALUE"""),"Central Montcalm")</f>
        <v>Central Montcalm</v>
      </c>
      <c r="G37" s="69">
        <f>IFERROR(__xludf.DUMMYFUNCTION("""COMPUTED_VALUE"""),115.3)</f>
        <v>115.3</v>
      </c>
      <c r="H37" s="70" t="str">
        <f>IFERROR(__xludf.DUMMYFUNCTION("""COMPUTED_VALUE"""),"Choponis, Grace")</f>
        <v>Choponis, Grace</v>
      </c>
      <c r="I37" s="71" t="str">
        <f>IFERROR(__xludf.DUMMYFUNCTION("""COMPUTED_VALUE"""),"185g")</f>
        <v>185g</v>
      </c>
      <c r="J37" s="69" t="str">
        <f>IFERROR(__xludf.DUMMYFUNCTION("""COMPUTED_VALUE"""),"195x")</f>
        <v>195x</v>
      </c>
      <c r="K37" s="69" t="str">
        <f>IFERROR(__xludf.DUMMYFUNCTION("""COMPUTED_VALUE"""),"205x")</f>
        <v>205x</v>
      </c>
      <c r="L37" s="77">
        <f>IFERROR(__xludf.DUMMYFUNCTION("""COMPUTED_VALUE"""),185.0)</f>
        <v>185</v>
      </c>
      <c r="M37" s="72" t="str">
        <f>IFERROR(__xludf.DUMMYFUNCTION("""COMPUTED_VALUE"""),"85g")</f>
        <v>85g</v>
      </c>
      <c r="N37" s="72" t="str">
        <f>IFERROR(__xludf.DUMMYFUNCTION("""COMPUTED_VALUE"""),"95g")</f>
        <v>95g</v>
      </c>
      <c r="O37" s="72" t="str">
        <f>IFERROR(__xludf.DUMMYFUNCTION("""COMPUTED_VALUE"""),"100x")</f>
        <v>100x</v>
      </c>
      <c r="P37" s="64">
        <f>IFERROR(__xludf.DUMMYFUNCTION("""COMPUTED_VALUE"""),95.0)</f>
        <v>95</v>
      </c>
      <c r="Q37" s="72" t="str">
        <f>IFERROR(__xludf.DUMMYFUNCTION("""COMPUTED_VALUE"""),"225g")</f>
        <v>225g</v>
      </c>
      <c r="R37" s="72" t="str">
        <f>IFERROR(__xludf.DUMMYFUNCTION("""COMPUTED_VALUE"""),"265g")</f>
        <v>265g</v>
      </c>
      <c r="S37" s="72" t="str">
        <f>IFERROR(__xludf.DUMMYFUNCTION("""COMPUTED_VALUE"""),"280x")</f>
        <v>280x</v>
      </c>
      <c r="T37" s="64">
        <f>IFERROR(__xludf.DUMMYFUNCTION("""COMPUTED_VALUE"""),265.0)</f>
        <v>265</v>
      </c>
      <c r="U37" s="66">
        <f>IFERROR(__xludf.DUMMYFUNCTION("""COMPUTED_VALUE"""),545.0)</f>
        <v>545</v>
      </c>
      <c r="V37" s="79">
        <f>IFERROR(__xludf.DUMMYFUNCTION("""COMPUTED_VALUE"""),4.726799653078925)</f>
        <v>4.726799653</v>
      </c>
    </row>
    <row r="38">
      <c r="B38" s="68" t="s">
        <v>122</v>
      </c>
      <c r="C38" s="68">
        <f>if(countif(F36:F37,F38)&gt;1,0,8)</f>
        <v>8</v>
      </c>
      <c r="D38" s="68" t="str">
        <f>IFERROR(__xludf.DUMMYFUNCTION("""COMPUTED_VALUE"""),"123 WJV")</f>
        <v>123 WJV</v>
      </c>
      <c r="E38" s="69" t="str">
        <f>IFERROR(__xludf.DUMMYFUNCTION("""COMPUTED_VALUE"""),"WJV")</f>
        <v>WJV</v>
      </c>
      <c r="F38" s="70" t="str">
        <f>IFERROR(__xludf.DUMMYFUNCTION("""COMPUTED_VALUE"""),"Standish-Sterling")</f>
        <v>Standish-Sterling</v>
      </c>
      <c r="G38" s="69">
        <f>IFERROR(__xludf.DUMMYFUNCTION("""COMPUTED_VALUE"""),120.6)</f>
        <v>120.6</v>
      </c>
      <c r="H38" s="70" t="str">
        <f>IFERROR(__xludf.DUMMYFUNCTION("""COMPUTED_VALUE"""),"Kraska, Karasyn")</f>
        <v>Kraska, Karasyn</v>
      </c>
      <c r="I38" s="71" t="str">
        <f>IFERROR(__xludf.DUMMYFUNCTION("""COMPUTED_VALUE"""),"185g")</f>
        <v>185g</v>
      </c>
      <c r="J38" s="69" t="str">
        <f>IFERROR(__xludf.DUMMYFUNCTION("""COMPUTED_VALUE"""),"205g")</f>
        <v>205g</v>
      </c>
      <c r="K38" s="69" t="str">
        <f>IFERROR(__xludf.DUMMYFUNCTION("""COMPUTED_VALUE"""),"215x")</f>
        <v>215x</v>
      </c>
      <c r="L38" s="77">
        <f>IFERROR(__xludf.DUMMYFUNCTION("""COMPUTED_VALUE"""),205.0)</f>
        <v>205</v>
      </c>
      <c r="M38" s="72" t="str">
        <f>IFERROR(__xludf.DUMMYFUNCTION("""COMPUTED_VALUE"""),"115x")</f>
        <v>115x</v>
      </c>
      <c r="N38" s="72" t="str">
        <f>IFERROR(__xludf.DUMMYFUNCTION("""COMPUTED_VALUE"""),"115g")</f>
        <v>115g</v>
      </c>
      <c r="O38" s="72" t="str">
        <f>IFERROR(__xludf.DUMMYFUNCTION("""COMPUTED_VALUE"""),"125x")</f>
        <v>125x</v>
      </c>
      <c r="P38" s="64">
        <f>IFERROR(__xludf.DUMMYFUNCTION("""COMPUTED_VALUE"""),115.0)</f>
        <v>115</v>
      </c>
      <c r="Q38" s="72" t="str">
        <f>IFERROR(__xludf.DUMMYFUNCTION("""COMPUTED_VALUE"""),"215g")</f>
        <v>215g</v>
      </c>
      <c r="R38" s="72" t="str">
        <f>IFERROR(__xludf.DUMMYFUNCTION("""COMPUTED_VALUE"""),"225g")</f>
        <v>225g</v>
      </c>
      <c r="S38" s="72" t="str">
        <f>IFERROR(__xludf.DUMMYFUNCTION("""COMPUTED_VALUE"""),"250x")</f>
        <v>250x</v>
      </c>
      <c r="T38" s="64">
        <f>IFERROR(__xludf.DUMMYFUNCTION("""COMPUTED_VALUE"""),225.0)</f>
        <v>225</v>
      </c>
      <c r="U38" s="66">
        <f>IFERROR(__xludf.DUMMYFUNCTION("""COMPUTED_VALUE"""),545.0)</f>
        <v>545</v>
      </c>
      <c r="V38" s="79">
        <f>IFERROR(__xludf.DUMMYFUNCTION("""COMPUTED_VALUE"""),4.519071310116087)</f>
        <v>4.51907131</v>
      </c>
    </row>
    <row r="39">
      <c r="B39" s="68" t="s">
        <v>123</v>
      </c>
      <c r="C39" s="68">
        <f>if(countif(F36:F38,F39)&gt;1,0,7)</f>
        <v>7</v>
      </c>
      <c r="D39" s="68" t="str">
        <f>IFERROR(__xludf.DUMMYFUNCTION("""COMPUTED_VALUE"""),"123 WJV")</f>
        <v>123 WJV</v>
      </c>
      <c r="E39" s="69" t="str">
        <f>IFERROR(__xludf.DUMMYFUNCTION("""COMPUTED_VALUE"""),"WJV")</f>
        <v>WJV</v>
      </c>
      <c r="F39" s="70" t="str">
        <f>IFERROR(__xludf.DUMMYFUNCTION("""COMPUTED_VALUE"""),"Cros-Lex")</f>
        <v>Cros-Lex</v>
      </c>
      <c r="G39" s="69">
        <f>IFERROR(__xludf.DUMMYFUNCTION("""COMPUTED_VALUE"""),119.6)</f>
        <v>119.6</v>
      </c>
      <c r="H39" s="70" t="str">
        <f>IFERROR(__xludf.DUMMYFUNCTION("""COMPUTED_VALUE"""),"Brooks, Kayla")</f>
        <v>Brooks, Kayla</v>
      </c>
      <c r="I39" s="71" t="str">
        <f>IFERROR(__xludf.DUMMYFUNCTION("""COMPUTED_VALUE"""),"170g")</f>
        <v>170g</v>
      </c>
      <c r="J39" s="69" t="str">
        <f>IFERROR(__xludf.DUMMYFUNCTION("""COMPUTED_VALUE"""),"180g")</f>
        <v>180g</v>
      </c>
      <c r="K39" s="69" t="str">
        <f>IFERROR(__xludf.DUMMYFUNCTION("""COMPUTED_VALUE"""),"190g")</f>
        <v>190g</v>
      </c>
      <c r="L39" s="77">
        <f>IFERROR(__xludf.DUMMYFUNCTION("""COMPUTED_VALUE"""),190.0)</f>
        <v>190</v>
      </c>
      <c r="M39" s="72" t="str">
        <f>IFERROR(__xludf.DUMMYFUNCTION("""COMPUTED_VALUE"""),"90g")</f>
        <v>90g</v>
      </c>
      <c r="N39" s="72" t="str">
        <f>IFERROR(__xludf.DUMMYFUNCTION("""COMPUTED_VALUE"""),"100g")</f>
        <v>100g</v>
      </c>
      <c r="O39" s="72" t="str">
        <f>IFERROR(__xludf.DUMMYFUNCTION("""COMPUTED_VALUE"""),"105g")</f>
        <v>105g</v>
      </c>
      <c r="P39" s="64">
        <f>IFERROR(__xludf.DUMMYFUNCTION("""COMPUTED_VALUE"""),105.0)</f>
        <v>105</v>
      </c>
      <c r="Q39" s="72" t="str">
        <f>IFERROR(__xludf.DUMMYFUNCTION("""COMPUTED_VALUE"""),"195g")</f>
        <v>195g</v>
      </c>
      <c r="R39" s="72" t="str">
        <f>IFERROR(__xludf.DUMMYFUNCTION("""COMPUTED_VALUE"""),"220g")</f>
        <v>220g</v>
      </c>
      <c r="S39" s="72" t="str">
        <f>IFERROR(__xludf.DUMMYFUNCTION("""COMPUTED_VALUE"""),"235g")</f>
        <v>235g</v>
      </c>
      <c r="T39" s="64">
        <f>IFERROR(__xludf.DUMMYFUNCTION("""COMPUTED_VALUE"""),235.0)</f>
        <v>235</v>
      </c>
      <c r="U39" s="66">
        <f>IFERROR(__xludf.DUMMYFUNCTION("""COMPUTED_VALUE"""),530.0)</f>
        <v>530</v>
      </c>
      <c r="V39" s="79">
        <f>IFERROR(__xludf.DUMMYFUNCTION("""COMPUTED_VALUE"""),4.431438127090301)</f>
        <v>4.431438127</v>
      </c>
    </row>
    <row r="40">
      <c r="B40" s="68" t="s">
        <v>124</v>
      </c>
      <c r="C40" s="68">
        <f>if(countif(F36:F39,F40)&gt;1,0,6)</f>
        <v>6</v>
      </c>
      <c r="D40" s="68" t="str">
        <f>IFERROR(__xludf.DUMMYFUNCTION("""COMPUTED_VALUE"""),"123 WJV")</f>
        <v>123 WJV</v>
      </c>
      <c r="E40" s="69" t="str">
        <f>IFERROR(__xludf.DUMMYFUNCTION("""COMPUTED_VALUE"""),"WJV")</f>
        <v>WJV</v>
      </c>
      <c r="F40" s="70" t="str">
        <f>IFERROR(__xludf.DUMMYFUNCTION("""COMPUTED_VALUE"""),"Port Huron")</f>
        <v>Port Huron</v>
      </c>
      <c r="G40" s="69">
        <f>IFERROR(__xludf.DUMMYFUNCTION("""COMPUTED_VALUE"""),120.4)</f>
        <v>120.4</v>
      </c>
      <c r="H40" s="70" t="str">
        <f>IFERROR(__xludf.DUMMYFUNCTION("""COMPUTED_VALUE"""),"Post, Angelina")</f>
        <v>Post, Angelina</v>
      </c>
      <c r="I40" s="71" t="str">
        <f>IFERROR(__xludf.DUMMYFUNCTION("""COMPUTED_VALUE"""),"175g")</f>
        <v>175g</v>
      </c>
      <c r="J40" s="69" t="str">
        <f>IFERROR(__xludf.DUMMYFUNCTION("""COMPUTED_VALUE"""),"185g")</f>
        <v>185g</v>
      </c>
      <c r="K40" s="69" t="str">
        <f>IFERROR(__xludf.DUMMYFUNCTION("""COMPUTED_VALUE"""),"195g")</f>
        <v>195g</v>
      </c>
      <c r="L40" s="77">
        <f>IFERROR(__xludf.DUMMYFUNCTION("""COMPUTED_VALUE"""),195.0)</f>
        <v>195</v>
      </c>
      <c r="M40" s="72" t="str">
        <f>IFERROR(__xludf.DUMMYFUNCTION("""COMPUTED_VALUE"""),"90g")</f>
        <v>90g</v>
      </c>
      <c r="N40" s="72" t="str">
        <f>IFERROR(__xludf.DUMMYFUNCTION("""COMPUTED_VALUE"""),"95g")</f>
        <v>95g</v>
      </c>
      <c r="O40" s="72" t="str">
        <f>IFERROR(__xludf.DUMMYFUNCTION("""COMPUTED_VALUE"""),"100x")</f>
        <v>100x</v>
      </c>
      <c r="P40" s="64">
        <f>IFERROR(__xludf.DUMMYFUNCTION("""COMPUTED_VALUE"""),95.0)</f>
        <v>95</v>
      </c>
      <c r="Q40" s="72" t="str">
        <f>IFERROR(__xludf.DUMMYFUNCTION("""COMPUTED_VALUE"""),"215g")</f>
        <v>215g</v>
      </c>
      <c r="R40" s="72" t="str">
        <f>IFERROR(__xludf.DUMMYFUNCTION("""COMPUTED_VALUE"""),"225g")</f>
        <v>225g</v>
      </c>
      <c r="S40" s="72" t="str">
        <f>IFERROR(__xludf.DUMMYFUNCTION("""COMPUTED_VALUE"""),"235g")</f>
        <v>235g</v>
      </c>
      <c r="T40" s="64">
        <f>IFERROR(__xludf.DUMMYFUNCTION("""COMPUTED_VALUE"""),235.0)</f>
        <v>235</v>
      </c>
      <c r="U40" s="66">
        <f>IFERROR(__xludf.DUMMYFUNCTION("""COMPUTED_VALUE"""),525.0)</f>
        <v>525</v>
      </c>
      <c r="V40" s="79">
        <f>IFERROR(__xludf.DUMMYFUNCTION("""COMPUTED_VALUE"""),4.3604651162790695)</f>
        <v>4.360465116</v>
      </c>
    </row>
    <row r="41">
      <c r="B41" s="68" t="s">
        <v>125</v>
      </c>
      <c r="C41" s="68">
        <f>if(countif(F36:F40,F41)&gt;1,0,5)</f>
        <v>5</v>
      </c>
      <c r="D41" s="68" t="str">
        <f>IFERROR(__xludf.DUMMYFUNCTION("""COMPUTED_VALUE"""),"123 WJV")</f>
        <v>123 WJV</v>
      </c>
      <c r="E41" s="69" t="str">
        <f>IFERROR(__xludf.DUMMYFUNCTION("""COMPUTED_VALUE"""),"WJV")</f>
        <v>WJV</v>
      </c>
      <c r="F41" s="70" t="str">
        <f>IFERROR(__xludf.DUMMYFUNCTION("""COMPUTED_VALUE"""),"Central Lake")</f>
        <v>Central Lake</v>
      </c>
      <c r="G41" s="69">
        <f>IFERROR(__xludf.DUMMYFUNCTION("""COMPUTED_VALUE"""),122.4)</f>
        <v>122.4</v>
      </c>
      <c r="H41" s="70" t="str">
        <f>IFERROR(__xludf.DUMMYFUNCTION("""COMPUTED_VALUE"""),"Perry, Liberty")</f>
        <v>Perry, Liberty</v>
      </c>
      <c r="I41" s="71" t="str">
        <f>IFERROR(__xludf.DUMMYFUNCTION("""COMPUTED_VALUE"""),"185g")</f>
        <v>185g</v>
      </c>
      <c r="J41" s="69" t="str">
        <f>IFERROR(__xludf.DUMMYFUNCTION("""COMPUTED_VALUE"""),"200g")</f>
        <v>200g</v>
      </c>
      <c r="K41" s="69" t="str">
        <f>IFERROR(__xludf.DUMMYFUNCTION("""COMPUTED_VALUE"""),"210x")</f>
        <v>210x</v>
      </c>
      <c r="L41" s="77">
        <f>IFERROR(__xludf.DUMMYFUNCTION("""COMPUTED_VALUE"""),200.0)</f>
        <v>200</v>
      </c>
      <c r="M41" s="72" t="str">
        <f>IFERROR(__xludf.DUMMYFUNCTION("""COMPUTED_VALUE"""),"95g")</f>
        <v>95g</v>
      </c>
      <c r="N41" s="72" t="str">
        <f>IFERROR(__xludf.DUMMYFUNCTION("""COMPUTED_VALUE"""),"105g")</f>
        <v>105g</v>
      </c>
      <c r="O41" s="72" t="str">
        <f>IFERROR(__xludf.DUMMYFUNCTION("""COMPUTED_VALUE"""),"110x")</f>
        <v>110x</v>
      </c>
      <c r="P41" s="64">
        <f>IFERROR(__xludf.DUMMYFUNCTION("""COMPUTED_VALUE"""),105.0)</f>
        <v>105</v>
      </c>
      <c r="Q41" s="72" t="str">
        <f>IFERROR(__xludf.DUMMYFUNCTION("""COMPUTED_VALUE"""),"185g")</f>
        <v>185g</v>
      </c>
      <c r="R41" s="72" t="str">
        <f>IFERROR(__xludf.DUMMYFUNCTION("""COMPUTED_VALUE"""),"200g")</f>
        <v>200g</v>
      </c>
      <c r="S41" s="72" t="str">
        <f>IFERROR(__xludf.DUMMYFUNCTION("""COMPUTED_VALUE"""),"215g")</f>
        <v>215g</v>
      </c>
      <c r="T41" s="64">
        <f>IFERROR(__xludf.DUMMYFUNCTION("""COMPUTED_VALUE"""),215.0)</f>
        <v>215</v>
      </c>
      <c r="U41" s="66">
        <f>IFERROR(__xludf.DUMMYFUNCTION("""COMPUTED_VALUE"""),520.0)</f>
        <v>520</v>
      </c>
      <c r="V41" s="79">
        <f>IFERROR(__xludf.DUMMYFUNCTION("""COMPUTED_VALUE"""),4.248366013071895)</f>
        <v>4.248366013</v>
      </c>
    </row>
    <row r="42">
      <c r="B42" s="68" t="s">
        <v>126</v>
      </c>
      <c r="C42" s="68">
        <f>if(countif(F36:F41,F42)&gt;1,0,4)</f>
        <v>4</v>
      </c>
      <c r="D42" s="68" t="str">
        <f>IFERROR(__xludf.DUMMYFUNCTION("""COMPUTED_VALUE"""),"123 WJV")</f>
        <v>123 WJV</v>
      </c>
      <c r="E42" s="69" t="str">
        <f>IFERROR(__xludf.DUMMYFUNCTION("""COMPUTED_VALUE"""),"WJV")</f>
        <v>WJV</v>
      </c>
      <c r="F42" s="70" t="str">
        <f>IFERROR(__xludf.DUMMYFUNCTION("""COMPUTED_VALUE"""),"Traverse City West")</f>
        <v>Traverse City West</v>
      </c>
      <c r="G42" s="69">
        <f>IFERROR(__xludf.DUMMYFUNCTION("""COMPUTED_VALUE"""),120.8)</f>
        <v>120.8</v>
      </c>
      <c r="H42" s="70" t="str">
        <f>IFERROR(__xludf.DUMMYFUNCTION("""COMPUTED_VALUE"""),"Jaquish, Isabelle")</f>
        <v>Jaquish, Isabelle</v>
      </c>
      <c r="I42" s="71" t="str">
        <f>IFERROR(__xludf.DUMMYFUNCTION("""COMPUTED_VALUE"""),"165x")</f>
        <v>165x</v>
      </c>
      <c r="J42" s="69" t="str">
        <f>IFERROR(__xludf.DUMMYFUNCTION("""COMPUTED_VALUE"""),"165g")</f>
        <v>165g</v>
      </c>
      <c r="K42" s="69" t="str">
        <f>IFERROR(__xludf.DUMMYFUNCTION("""COMPUTED_VALUE"""),"185g")</f>
        <v>185g</v>
      </c>
      <c r="L42" s="77">
        <f>IFERROR(__xludf.DUMMYFUNCTION("""COMPUTED_VALUE"""),185.0)</f>
        <v>185</v>
      </c>
      <c r="M42" s="72" t="str">
        <f>IFERROR(__xludf.DUMMYFUNCTION("""COMPUTED_VALUE"""),"95g")</f>
        <v>95g</v>
      </c>
      <c r="N42" s="72" t="str">
        <f>IFERROR(__xludf.DUMMYFUNCTION("""COMPUTED_VALUE"""),"105x")</f>
        <v>105x</v>
      </c>
      <c r="O42" s="72" t="str">
        <f>IFERROR(__xludf.DUMMYFUNCTION("""COMPUTED_VALUE"""),"105x")</f>
        <v>105x</v>
      </c>
      <c r="P42" s="64">
        <f>IFERROR(__xludf.DUMMYFUNCTION("""COMPUTED_VALUE"""),95.0)</f>
        <v>95</v>
      </c>
      <c r="Q42" s="72" t="str">
        <f>IFERROR(__xludf.DUMMYFUNCTION("""COMPUTED_VALUE"""),"195g")</f>
        <v>195g</v>
      </c>
      <c r="R42" s="72" t="str">
        <f>IFERROR(__xludf.DUMMYFUNCTION("""COMPUTED_VALUE"""),"225g")</f>
        <v>225g</v>
      </c>
      <c r="S42" s="72" t="str">
        <f>IFERROR(__xludf.DUMMYFUNCTION("""COMPUTED_VALUE"""),"235g")</f>
        <v>235g</v>
      </c>
      <c r="T42" s="64">
        <f>IFERROR(__xludf.DUMMYFUNCTION("""COMPUTED_VALUE"""),235.0)</f>
        <v>235</v>
      </c>
      <c r="U42" s="66">
        <f>IFERROR(__xludf.DUMMYFUNCTION("""COMPUTED_VALUE"""),515.0)</f>
        <v>515</v>
      </c>
      <c r="V42" s="79">
        <f>IFERROR(__xludf.DUMMYFUNCTION("""COMPUTED_VALUE"""),4.263245033112583)</f>
        <v>4.263245033</v>
      </c>
    </row>
    <row r="43">
      <c r="B43" s="68" t="s">
        <v>127</v>
      </c>
      <c r="C43" s="68">
        <f>if(countif(F36:F42,F43)&gt;1,0,3)</f>
        <v>3</v>
      </c>
      <c r="D43" s="68" t="str">
        <f>IFERROR(__xludf.DUMMYFUNCTION("""COMPUTED_VALUE"""),"123 WJV")</f>
        <v>123 WJV</v>
      </c>
      <c r="E43" s="69" t="str">
        <f>IFERROR(__xludf.DUMMYFUNCTION("""COMPUTED_VALUE"""),"WJV")</f>
        <v>WJV</v>
      </c>
      <c r="F43" s="70" t="str">
        <f>IFERROR(__xludf.DUMMYFUNCTION("""COMPUTED_VALUE"""),"Almont")</f>
        <v>Almont</v>
      </c>
      <c r="G43" s="69">
        <f>IFERROR(__xludf.DUMMYFUNCTION("""COMPUTED_VALUE"""),121.0)</f>
        <v>121</v>
      </c>
      <c r="H43" s="70" t="str">
        <f>IFERROR(__xludf.DUMMYFUNCTION("""COMPUTED_VALUE"""),"Wilson, Lindsey")</f>
        <v>Wilson, Lindsey</v>
      </c>
      <c r="I43" s="71" t="str">
        <f>IFERROR(__xludf.DUMMYFUNCTION("""COMPUTED_VALUE"""),"170g")</f>
        <v>170g</v>
      </c>
      <c r="J43" s="69" t="str">
        <f>IFERROR(__xludf.DUMMYFUNCTION("""COMPUTED_VALUE"""),"185g")</f>
        <v>185g</v>
      </c>
      <c r="K43" s="69" t="str">
        <f>IFERROR(__xludf.DUMMYFUNCTION("""COMPUTED_VALUE"""),"200x")</f>
        <v>200x</v>
      </c>
      <c r="L43" s="77">
        <f>IFERROR(__xludf.DUMMYFUNCTION("""COMPUTED_VALUE"""),185.0)</f>
        <v>185</v>
      </c>
      <c r="M43" s="72" t="str">
        <f>IFERROR(__xludf.DUMMYFUNCTION("""COMPUTED_VALUE"""),"75g")</f>
        <v>75g</v>
      </c>
      <c r="N43" s="72" t="str">
        <f>IFERROR(__xludf.DUMMYFUNCTION("""COMPUTED_VALUE"""),"85g")</f>
        <v>85g</v>
      </c>
      <c r="O43" s="72" t="str">
        <f>IFERROR(__xludf.DUMMYFUNCTION("""COMPUTED_VALUE"""),"90g")</f>
        <v>90g</v>
      </c>
      <c r="P43" s="64">
        <f>IFERROR(__xludf.DUMMYFUNCTION("""COMPUTED_VALUE"""),90.0)</f>
        <v>90</v>
      </c>
      <c r="Q43" s="72" t="str">
        <f>IFERROR(__xludf.DUMMYFUNCTION("""COMPUTED_VALUE"""),"210g")</f>
        <v>210g</v>
      </c>
      <c r="R43" s="72" t="str">
        <f>IFERROR(__xludf.DUMMYFUNCTION("""COMPUTED_VALUE"""),"220g")</f>
        <v>220g</v>
      </c>
      <c r="S43" s="72" t="str">
        <f>IFERROR(__xludf.DUMMYFUNCTION("""COMPUTED_VALUE"""),"235g")</f>
        <v>235g</v>
      </c>
      <c r="T43" s="64">
        <f>IFERROR(__xludf.DUMMYFUNCTION("""COMPUTED_VALUE"""),235.0)</f>
        <v>235</v>
      </c>
      <c r="U43" s="66">
        <f>IFERROR(__xludf.DUMMYFUNCTION("""COMPUTED_VALUE"""),510.0)</f>
        <v>510</v>
      </c>
      <c r="V43" s="79">
        <f>IFERROR(__xludf.DUMMYFUNCTION("""COMPUTED_VALUE"""),4.214876033057851)</f>
        <v>4.214876033</v>
      </c>
    </row>
    <row r="44">
      <c r="B44" s="68" t="s">
        <v>128</v>
      </c>
      <c r="C44" s="68">
        <f>if(countif(F36:F43,F44)&gt;1,0,2)</f>
        <v>2</v>
      </c>
      <c r="D44" s="68" t="str">
        <f>IFERROR(__xludf.DUMMYFUNCTION("""COMPUTED_VALUE"""),"123 WJV")</f>
        <v>123 WJV</v>
      </c>
      <c r="E44" s="69" t="str">
        <f>IFERROR(__xludf.DUMMYFUNCTION("""COMPUTED_VALUE"""),"WJV")</f>
        <v>WJV</v>
      </c>
      <c r="F44" s="70" t="str">
        <f>IFERROR(__xludf.DUMMYFUNCTION("""COMPUTED_VALUE"""),"Grand Haven")</f>
        <v>Grand Haven</v>
      </c>
      <c r="G44" s="69">
        <f>IFERROR(__xludf.DUMMYFUNCTION("""COMPUTED_VALUE"""),119.2)</f>
        <v>119.2</v>
      </c>
      <c r="H44" s="70" t="str">
        <f>IFERROR(__xludf.DUMMYFUNCTION("""COMPUTED_VALUE"""),"Spencer, Sydney")</f>
        <v>Spencer, Sydney</v>
      </c>
      <c r="I44" s="71" t="str">
        <f>IFERROR(__xludf.DUMMYFUNCTION("""COMPUTED_VALUE"""),"155g")</f>
        <v>155g</v>
      </c>
      <c r="J44" s="69" t="str">
        <f>IFERROR(__xludf.DUMMYFUNCTION("""COMPUTED_VALUE"""),"185g")</f>
        <v>185g</v>
      </c>
      <c r="K44" s="69" t="str">
        <f>IFERROR(__xludf.DUMMYFUNCTION("""COMPUTED_VALUE"""),"195g")</f>
        <v>195g</v>
      </c>
      <c r="L44" s="77">
        <f>IFERROR(__xludf.DUMMYFUNCTION("""COMPUTED_VALUE"""),195.0)</f>
        <v>195</v>
      </c>
      <c r="M44" s="72" t="str">
        <f>IFERROR(__xludf.DUMMYFUNCTION("""COMPUTED_VALUE"""),"75g")</f>
        <v>75g</v>
      </c>
      <c r="N44" s="72" t="str">
        <f>IFERROR(__xludf.DUMMYFUNCTION("""COMPUTED_VALUE"""),"85g")</f>
        <v>85g</v>
      </c>
      <c r="O44" s="72" t="str">
        <f>IFERROR(__xludf.DUMMYFUNCTION("""COMPUTED_VALUE"""),"90x")</f>
        <v>90x</v>
      </c>
      <c r="P44" s="64">
        <f>IFERROR(__xludf.DUMMYFUNCTION("""COMPUTED_VALUE"""),85.0)</f>
        <v>85</v>
      </c>
      <c r="Q44" s="72" t="str">
        <f>IFERROR(__xludf.DUMMYFUNCTION("""COMPUTED_VALUE"""),"195g")</f>
        <v>195g</v>
      </c>
      <c r="R44" s="72" t="str">
        <f>IFERROR(__xludf.DUMMYFUNCTION("""COMPUTED_VALUE"""),"215g")</f>
        <v>215g</v>
      </c>
      <c r="S44" s="72" t="str">
        <f>IFERROR(__xludf.DUMMYFUNCTION("""COMPUTED_VALUE"""),"225x")</f>
        <v>225x</v>
      </c>
      <c r="T44" s="64">
        <f>IFERROR(__xludf.DUMMYFUNCTION("""COMPUTED_VALUE"""),215.0)</f>
        <v>215</v>
      </c>
      <c r="U44" s="66">
        <f>IFERROR(__xludf.DUMMYFUNCTION("""COMPUTED_VALUE"""),495.0)</f>
        <v>495</v>
      </c>
      <c r="V44" s="79">
        <f>IFERROR(__xludf.DUMMYFUNCTION("""COMPUTED_VALUE"""),4.152684563758389)</f>
        <v>4.152684564</v>
      </c>
    </row>
    <row r="45">
      <c r="B45" s="68" t="s">
        <v>129</v>
      </c>
      <c r="C45" s="68">
        <f>if(countif(F36:F44,F45)&gt;1,0,1)</f>
        <v>1</v>
      </c>
      <c r="D45" s="68" t="str">
        <f>IFERROR(__xludf.DUMMYFUNCTION("""COMPUTED_VALUE"""),"123 WJV")</f>
        <v>123 WJV</v>
      </c>
      <c r="E45" s="69" t="str">
        <f>IFERROR(__xludf.DUMMYFUNCTION("""COMPUTED_VALUE"""),"WJV")</f>
        <v>WJV</v>
      </c>
      <c r="F45" s="70" t="str">
        <f>IFERROR(__xludf.DUMMYFUNCTION("""COMPUTED_VALUE"""),"Standish-Sterling")</f>
        <v>Standish-Sterling</v>
      </c>
      <c r="G45" s="69">
        <f>IFERROR(__xludf.DUMMYFUNCTION("""COMPUTED_VALUE"""),119.9)</f>
        <v>119.9</v>
      </c>
      <c r="H45" s="70" t="str">
        <f>IFERROR(__xludf.DUMMYFUNCTION("""COMPUTED_VALUE"""),"Wallaker, Rylee")</f>
        <v>Wallaker, Rylee</v>
      </c>
      <c r="I45" s="71" t="str">
        <f>IFERROR(__xludf.DUMMYFUNCTION("""COMPUTED_VALUE"""),"140g")</f>
        <v>140g</v>
      </c>
      <c r="J45" s="69" t="str">
        <f>IFERROR(__xludf.DUMMYFUNCTION("""COMPUTED_VALUE"""),"155g")</f>
        <v>155g</v>
      </c>
      <c r="K45" s="69" t="str">
        <f>IFERROR(__xludf.DUMMYFUNCTION("""COMPUTED_VALUE"""),"175x")</f>
        <v>175x</v>
      </c>
      <c r="L45" s="77">
        <f>IFERROR(__xludf.DUMMYFUNCTION("""COMPUTED_VALUE"""),155.0)</f>
        <v>155</v>
      </c>
      <c r="M45" s="72" t="str">
        <f>IFERROR(__xludf.DUMMYFUNCTION("""COMPUTED_VALUE"""),"75g")</f>
        <v>75g</v>
      </c>
      <c r="N45" s="72" t="str">
        <f>IFERROR(__xludf.DUMMYFUNCTION("""COMPUTED_VALUE"""),"85g")</f>
        <v>85g</v>
      </c>
      <c r="O45" s="72" t="str">
        <f>IFERROR(__xludf.DUMMYFUNCTION("""COMPUTED_VALUE"""),"90x")</f>
        <v>90x</v>
      </c>
      <c r="P45" s="64">
        <f>IFERROR(__xludf.DUMMYFUNCTION("""COMPUTED_VALUE"""),85.0)</f>
        <v>85</v>
      </c>
      <c r="Q45" s="72" t="str">
        <f>IFERROR(__xludf.DUMMYFUNCTION("""COMPUTED_VALUE"""),"185g")</f>
        <v>185g</v>
      </c>
      <c r="R45" s="72" t="str">
        <f>IFERROR(__xludf.DUMMYFUNCTION("""COMPUTED_VALUE"""),"200g")</f>
        <v>200g</v>
      </c>
      <c r="S45" s="72" t="str">
        <f>IFERROR(__xludf.DUMMYFUNCTION("""COMPUTED_VALUE"""),"230g")</f>
        <v>230g</v>
      </c>
      <c r="T45" s="64">
        <f>IFERROR(__xludf.DUMMYFUNCTION("""COMPUTED_VALUE"""),230.0)</f>
        <v>230</v>
      </c>
      <c r="U45" s="66">
        <f>IFERROR(__xludf.DUMMYFUNCTION("""COMPUTED_VALUE"""),470.0)</f>
        <v>470</v>
      </c>
      <c r="V45" s="79">
        <f>IFERROR(__xludf.DUMMYFUNCTION("""COMPUTED_VALUE"""),3.9199332777314426)</f>
        <v>3.919933278</v>
      </c>
    </row>
    <row r="46">
      <c r="A46" s="58">
        <v>132.0</v>
      </c>
      <c r="B46" s="59" t="s">
        <v>120</v>
      </c>
      <c r="C46" s="59">
        <v>12.0</v>
      </c>
      <c r="D46" s="60" t="str">
        <f>IFERROR(__xludf.DUMMYFUNCTION("ARRAY_CONSTRAIN(sort(filter(WJV_Tie_Breaker!D6:X285,WJV_Tie_Breaker!D6:D285=""132 WJV""),18,false,4,true,20,false,21,true),10,19)"),"132 WJV")</f>
        <v>132 WJV</v>
      </c>
      <c r="E46" s="61" t="str">
        <f>IFERROR(__xludf.DUMMYFUNCTION("""COMPUTED_VALUE"""),"WJV")</f>
        <v>WJV</v>
      </c>
      <c r="F46" s="62" t="str">
        <f>IFERROR(__xludf.DUMMYFUNCTION("""COMPUTED_VALUE"""),"Central Montcalm")</f>
        <v>Central Montcalm</v>
      </c>
      <c r="G46" s="61">
        <f>IFERROR(__xludf.DUMMYFUNCTION("""COMPUTED_VALUE"""),130.8)</f>
        <v>130.8</v>
      </c>
      <c r="H46" s="62" t="str">
        <f>IFERROR(__xludf.DUMMYFUNCTION("""COMPUTED_VALUE"""),"Long, Madison")</f>
        <v>Long, Madison</v>
      </c>
      <c r="I46" s="63" t="str">
        <f>IFERROR(__xludf.DUMMYFUNCTION("""COMPUTED_VALUE"""),"195g")</f>
        <v>195g</v>
      </c>
      <c r="J46" s="61" t="str">
        <f>IFERROR(__xludf.DUMMYFUNCTION("""COMPUTED_VALUE"""),"205g")</f>
        <v>205g</v>
      </c>
      <c r="K46" s="61" t="str">
        <f>IFERROR(__xludf.DUMMYFUNCTION("""COMPUTED_VALUE"""),"215x")</f>
        <v>215x</v>
      </c>
      <c r="L46" s="77">
        <f>IFERROR(__xludf.DUMMYFUNCTION("""COMPUTED_VALUE"""),205.0)</f>
        <v>205</v>
      </c>
      <c r="M46" s="65" t="str">
        <f>IFERROR(__xludf.DUMMYFUNCTION("""COMPUTED_VALUE"""),"95g")</f>
        <v>95g</v>
      </c>
      <c r="N46" s="65" t="str">
        <f>IFERROR(__xludf.DUMMYFUNCTION("""COMPUTED_VALUE"""),"105g")</f>
        <v>105g</v>
      </c>
      <c r="O46" s="65" t="str">
        <f>IFERROR(__xludf.DUMMYFUNCTION("""COMPUTED_VALUE"""),"110g")</f>
        <v>110g</v>
      </c>
      <c r="P46" s="64">
        <f>IFERROR(__xludf.DUMMYFUNCTION("""COMPUTED_VALUE"""),110.0)</f>
        <v>110</v>
      </c>
      <c r="Q46" s="65" t="str">
        <f>IFERROR(__xludf.DUMMYFUNCTION("""COMPUTED_VALUE"""),"225g")</f>
        <v>225g</v>
      </c>
      <c r="R46" s="65" t="str">
        <f>IFERROR(__xludf.DUMMYFUNCTION("""COMPUTED_VALUE"""),"255g")</f>
        <v>255g</v>
      </c>
      <c r="S46" s="65" t="str">
        <f>IFERROR(__xludf.DUMMYFUNCTION("""COMPUTED_VALUE"""),"275g")</f>
        <v>275g</v>
      </c>
      <c r="T46" s="64">
        <f>IFERROR(__xludf.DUMMYFUNCTION("""COMPUTED_VALUE"""),275.0)</f>
        <v>275</v>
      </c>
      <c r="U46" s="66">
        <f>IFERROR(__xludf.DUMMYFUNCTION("""COMPUTED_VALUE"""),590.0)</f>
        <v>590</v>
      </c>
      <c r="V46" s="78">
        <f>IFERROR(__xludf.DUMMYFUNCTION("""COMPUTED_VALUE"""),4.510703363914373)</f>
        <v>4.510703364</v>
      </c>
    </row>
    <row r="47">
      <c r="B47" s="59" t="s">
        <v>121</v>
      </c>
      <c r="C47" s="59">
        <v>9.0</v>
      </c>
      <c r="D47" s="59" t="str">
        <f>IFERROR(__xludf.DUMMYFUNCTION("""COMPUTED_VALUE"""),"132 WJV")</f>
        <v>132 WJV</v>
      </c>
      <c r="E47" s="61" t="str">
        <f>IFERROR(__xludf.DUMMYFUNCTION("""COMPUTED_VALUE"""),"WJV")</f>
        <v>WJV</v>
      </c>
      <c r="F47" s="62" t="str">
        <f>IFERROR(__xludf.DUMMYFUNCTION("""COMPUTED_VALUE"""),"Independent")</f>
        <v>Independent</v>
      </c>
      <c r="G47" s="61">
        <f>IFERROR(__xludf.DUMMYFUNCTION("""COMPUTED_VALUE"""),128.1)</f>
        <v>128.1</v>
      </c>
      <c r="H47" s="62" t="str">
        <f>IFERROR(__xludf.DUMMYFUNCTION("""COMPUTED_VALUE"""),"Clark, Reagan")</f>
        <v>Clark, Reagan</v>
      </c>
      <c r="I47" s="63" t="str">
        <f>IFERROR(__xludf.DUMMYFUNCTION("""COMPUTED_VALUE"""),"180x")</f>
        <v>180x</v>
      </c>
      <c r="J47" s="61" t="str">
        <f>IFERROR(__xludf.DUMMYFUNCTION("""COMPUTED_VALUE"""),"180g")</f>
        <v>180g</v>
      </c>
      <c r="K47" s="61" t="str">
        <f>IFERROR(__xludf.DUMMYFUNCTION("""COMPUTED_VALUE"""),"200g")</f>
        <v>200g</v>
      </c>
      <c r="L47" s="77">
        <f>IFERROR(__xludf.DUMMYFUNCTION("""COMPUTED_VALUE"""),200.0)</f>
        <v>200</v>
      </c>
      <c r="M47" s="65" t="str">
        <f>IFERROR(__xludf.DUMMYFUNCTION("""COMPUTED_VALUE"""),"90g")</f>
        <v>90g</v>
      </c>
      <c r="N47" s="65" t="str">
        <f>IFERROR(__xludf.DUMMYFUNCTION("""COMPUTED_VALUE"""),"95g")</f>
        <v>95g</v>
      </c>
      <c r="O47" s="65" t="str">
        <f>IFERROR(__xludf.DUMMYFUNCTION("""COMPUTED_VALUE"""),"105g")</f>
        <v>105g</v>
      </c>
      <c r="P47" s="64">
        <f>IFERROR(__xludf.DUMMYFUNCTION("""COMPUTED_VALUE"""),105.0)</f>
        <v>105</v>
      </c>
      <c r="Q47" s="65" t="str">
        <f>IFERROR(__xludf.DUMMYFUNCTION("""COMPUTED_VALUE"""),"250g")</f>
        <v>250g</v>
      </c>
      <c r="R47" s="65" t="str">
        <f>IFERROR(__xludf.DUMMYFUNCTION("""COMPUTED_VALUE"""),"260g")</f>
        <v>260g</v>
      </c>
      <c r="S47" s="65" t="str">
        <f>IFERROR(__xludf.DUMMYFUNCTION("""COMPUTED_VALUE"""),"270g")</f>
        <v>270g</v>
      </c>
      <c r="T47" s="64">
        <f>IFERROR(__xludf.DUMMYFUNCTION("""COMPUTED_VALUE"""),270.0)</f>
        <v>270</v>
      </c>
      <c r="U47" s="66">
        <f>IFERROR(__xludf.DUMMYFUNCTION("""COMPUTED_VALUE"""),575.0)</f>
        <v>575</v>
      </c>
      <c r="V47" s="78">
        <f>IFERROR(__xludf.DUMMYFUNCTION("""COMPUTED_VALUE"""),4.488680718188915)</f>
        <v>4.488680718</v>
      </c>
    </row>
    <row r="48">
      <c r="B48" s="59" t="s">
        <v>122</v>
      </c>
      <c r="C48" s="59">
        <f>if(countif(F46:F47,F48)&gt;1,0,8)</f>
        <v>8</v>
      </c>
      <c r="D48" s="59" t="str">
        <f>IFERROR(__xludf.DUMMYFUNCTION("""COMPUTED_VALUE"""),"132 WJV")</f>
        <v>132 WJV</v>
      </c>
      <c r="E48" s="61" t="str">
        <f>IFERROR(__xludf.DUMMYFUNCTION("""COMPUTED_VALUE"""),"WJV")</f>
        <v>WJV</v>
      </c>
      <c r="F48" s="62" t="str">
        <f>IFERROR(__xludf.DUMMYFUNCTION("""COMPUTED_VALUE"""),"Central Montcalm")</f>
        <v>Central Montcalm</v>
      </c>
      <c r="G48" s="61">
        <f>IFERROR(__xludf.DUMMYFUNCTION("""COMPUTED_VALUE"""),124.7)</f>
        <v>124.7</v>
      </c>
      <c r="H48" s="62" t="str">
        <f>IFERROR(__xludf.DUMMYFUNCTION("""COMPUTED_VALUE"""),"Scott, Azlynn")</f>
        <v>Scott, Azlynn</v>
      </c>
      <c r="I48" s="63" t="str">
        <f>IFERROR(__xludf.DUMMYFUNCTION("""COMPUTED_VALUE"""),"175g")</f>
        <v>175g</v>
      </c>
      <c r="J48" s="61" t="str">
        <f>IFERROR(__xludf.DUMMYFUNCTION("""COMPUTED_VALUE"""),"185g")</f>
        <v>185g</v>
      </c>
      <c r="K48" s="61" t="str">
        <f>IFERROR(__xludf.DUMMYFUNCTION("""COMPUTED_VALUE"""),"190g")</f>
        <v>190g</v>
      </c>
      <c r="L48" s="77">
        <f>IFERROR(__xludf.DUMMYFUNCTION("""COMPUTED_VALUE"""),190.0)</f>
        <v>190</v>
      </c>
      <c r="M48" s="65" t="str">
        <f>IFERROR(__xludf.DUMMYFUNCTION("""COMPUTED_VALUE"""),"105g")</f>
        <v>105g</v>
      </c>
      <c r="N48" s="65" t="str">
        <f>IFERROR(__xludf.DUMMYFUNCTION("""COMPUTED_VALUE"""),"115g")</f>
        <v>115g</v>
      </c>
      <c r="O48" s="65" t="str">
        <f>IFERROR(__xludf.DUMMYFUNCTION("""COMPUTED_VALUE"""),"120x")</f>
        <v>120x</v>
      </c>
      <c r="P48" s="64">
        <f>IFERROR(__xludf.DUMMYFUNCTION("""COMPUTED_VALUE"""),115.0)</f>
        <v>115</v>
      </c>
      <c r="Q48" s="65" t="str">
        <f>IFERROR(__xludf.DUMMYFUNCTION("""COMPUTED_VALUE"""),"215g")</f>
        <v>215g</v>
      </c>
      <c r="R48" s="65" t="str">
        <f>IFERROR(__xludf.DUMMYFUNCTION("""COMPUTED_VALUE"""),"235g")</f>
        <v>235g</v>
      </c>
      <c r="S48" s="65" t="str">
        <f>IFERROR(__xludf.DUMMYFUNCTION("""COMPUTED_VALUE"""),"250g")</f>
        <v>250g</v>
      </c>
      <c r="T48" s="64">
        <f>IFERROR(__xludf.DUMMYFUNCTION("""COMPUTED_VALUE"""),250.0)</f>
        <v>250</v>
      </c>
      <c r="U48" s="66">
        <f>IFERROR(__xludf.DUMMYFUNCTION("""COMPUTED_VALUE"""),555.0)</f>
        <v>555</v>
      </c>
      <c r="V48" s="78">
        <f>IFERROR(__xludf.DUMMYFUNCTION("""COMPUTED_VALUE"""),4.450681635926223)</f>
        <v>4.450681636</v>
      </c>
    </row>
    <row r="49">
      <c r="B49" s="59" t="s">
        <v>123</v>
      </c>
      <c r="C49" s="59">
        <f>if(countif(F46:F48,F49)&gt;1,0,7)</f>
        <v>7</v>
      </c>
      <c r="D49" s="59" t="str">
        <f>IFERROR(__xludf.DUMMYFUNCTION("""COMPUTED_VALUE"""),"132 WJV")</f>
        <v>132 WJV</v>
      </c>
      <c r="E49" s="61" t="str">
        <f>IFERROR(__xludf.DUMMYFUNCTION("""COMPUTED_VALUE"""),"WJV")</f>
        <v>WJV</v>
      </c>
      <c r="F49" s="62" t="str">
        <f>IFERROR(__xludf.DUMMYFUNCTION("""COMPUTED_VALUE"""),"Lake Orion")</f>
        <v>Lake Orion</v>
      </c>
      <c r="G49" s="61">
        <f>IFERROR(__xludf.DUMMYFUNCTION("""COMPUTED_VALUE"""),127.3)</f>
        <v>127.3</v>
      </c>
      <c r="H49" s="62" t="str">
        <f>IFERROR(__xludf.DUMMYFUNCTION("""COMPUTED_VALUE"""),"McVety, Kylee")</f>
        <v>McVety, Kylee</v>
      </c>
      <c r="I49" s="63" t="str">
        <f>IFERROR(__xludf.DUMMYFUNCTION("""COMPUTED_VALUE"""),"180g")</f>
        <v>180g</v>
      </c>
      <c r="J49" s="61" t="str">
        <f>IFERROR(__xludf.DUMMYFUNCTION("""COMPUTED_VALUE"""),"190g")</f>
        <v>190g</v>
      </c>
      <c r="K49" s="61" t="str">
        <f>IFERROR(__xludf.DUMMYFUNCTION("""COMPUTED_VALUE"""),"200x")</f>
        <v>200x</v>
      </c>
      <c r="L49" s="77">
        <f>IFERROR(__xludf.DUMMYFUNCTION("""COMPUTED_VALUE"""),190.0)</f>
        <v>190</v>
      </c>
      <c r="M49" s="65" t="str">
        <f>IFERROR(__xludf.DUMMYFUNCTION("""COMPUTED_VALUE"""),"120g")</f>
        <v>120g</v>
      </c>
      <c r="N49" s="65" t="str">
        <f>IFERROR(__xludf.DUMMYFUNCTION("""COMPUTED_VALUE"""),"125x")</f>
        <v>125x</v>
      </c>
      <c r="O49" s="65" t="str">
        <f>IFERROR(__xludf.DUMMYFUNCTION("""COMPUTED_VALUE"""),"125x")</f>
        <v>125x</v>
      </c>
      <c r="P49" s="64">
        <f>IFERROR(__xludf.DUMMYFUNCTION("""COMPUTED_VALUE"""),120.0)</f>
        <v>120</v>
      </c>
      <c r="Q49" s="65" t="str">
        <f>IFERROR(__xludf.DUMMYFUNCTION("""COMPUTED_VALUE"""),"240g")</f>
        <v>240g</v>
      </c>
      <c r="R49" s="65" t="str">
        <f>IFERROR(__xludf.DUMMYFUNCTION("""COMPUTED_VALUE"""),"260x")</f>
        <v>260x</v>
      </c>
      <c r="S49" s="65" t="str">
        <f>IFERROR(__xludf.DUMMYFUNCTION("""COMPUTED_VALUE"""),"260x")</f>
        <v>260x</v>
      </c>
      <c r="T49" s="64">
        <f>IFERROR(__xludf.DUMMYFUNCTION("""COMPUTED_VALUE"""),240.0)</f>
        <v>240</v>
      </c>
      <c r="U49" s="66">
        <f>IFERROR(__xludf.DUMMYFUNCTION("""COMPUTED_VALUE"""),550.0)</f>
        <v>550</v>
      </c>
      <c r="V49" s="78">
        <f>IFERROR(__xludf.DUMMYFUNCTION("""COMPUTED_VALUE"""),4.32050274941084)</f>
        <v>4.320502749</v>
      </c>
    </row>
    <row r="50">
      <c r="B50" s="59" t="s">
        <v>124</v>
      </c>
      <c r="C50" s="59">
        <f>if(countif(F46:F49,F50)&gt;1,0,6)</f>
        <v>6</v>
      </c>
      <c r="D50" s="59" t="str">
        <f>IFERROR(__xludf.DUMMYFUNCTION("""COMPUTED_VALUE"""),"132 WJV")</f>
        <v>132 WJV</v>
      </c>
      <c r="E50" s="61" t="str">
        <f>IFERROR(__xludf.DUMMYFUNCTION("""COMPUTED_VALUE"""),"WJV")</f>
        <v>WJV</v>
      </c>
      <c r="F50" s="62" t="str">
        <f>IFERROR(__xludf.DUMMYFUNCTION("""COMPUTED_VALUE"""),"Almont")</f>
        <v>Almont</v>
      </c>
      <c r="G50" s="61">
        <f>IFERROR(__xludf.DUMMYFUNCTION("""COMPUTED_VALUE"""),130.4)</f>
        <v>130.4</v>
      </c>
      <c r="H50" s="62" t="str">
        <f>IFERROR(__xludf.DUMMYFUNCTION("""COMPUTED_VALUE"""),"Burchi, Brianna")</f>
        <v>Burchi, Brianna</v>
      </c>
      <c r="I50" s="63" t="str">
        <f>IFERROR(__xludf.DUMMYFUNCTION("""COMPUTED_VALUE"""),"180g")</f>
        <v>180g</v>
      </c>
      <c r="J50" s="61" t="str">
        <f>IFERROR(__xludf.DUMMYFUNCTION("""COMPUTED_VALUE"""),"200g")</f>
        <v>200g</v>
      </c>
      <c r="K50" s="61" t="str">
        <f>IFERROR(__xludf.DUMMYFUNCTION("""COMPUTED_VALUE"""),"215x")</f>
        <v>215x</v>
      </c>
      <c r="L50" s="77">
        <f>IFERROR(__xludf.DUMMYFUNCTION("""COMPUTED_VALUE"""),200.0)</f>
        <v>200</v>
      </c>
      <c r="M50" s="65" t="str">
        <f>IFERROR(__xludf.DUMMYFUNCTION("""COMPUTED_VALUE"""),"85g")</f>
        <v>85g</v>
      </c>
      <c r="N50" s="65" t="str">
        <f>IFERROR(__xludf.DUMMYFUNCTION("""COMPUTED_VALUE"""),"95g")</f>
        <v>95g</v>
      </c>
      <c r="O50" s="65" t="str">
        <f>IFERROR(__xludf.DUMMYFUNCTION("""COMPUTED_VALUE"""),"100g")</f>
        <v>100g</v>
      </c>
      <c r="P50" s="64">
        <f>IFERROR(__xludf.DUMMYFUNCTION("""COMPUTED_VALUE"""),100.0)</f>
        <v>100</v>
      </c>
      <c r="Q50" s="65" t="str">
        <f>IFERROR(__xludf.DUMMYFUNCTION("""COMPUTED_VALUE"""),"200g")</f>
        <v>200g</v>
      </c>
      <c r="R50" s="65" t="str">
        <f>IFERROR(__xludf.DUMMYFUNCTION("""COMPUTED_VALUE"""),"220g")</f>
        <v>220g</v>
      </c>
      <c r="S50" s="65" t="str">
        <f>IFERROR(__xludf.DUMMYFUNCTION("""COMPUTED_VALUE"""),"235g")</f>
        <v>235g</v>
      </c>
      <c r="T50" s="64">
        <f>IFERROR(__xludf.DUMMYFUNCTION("""COMPUTED_VALUE"""),235.0)</f>
        <v>235</v>
      </c>
      <c r="U50" s="66">
        <f>IFERROR(__xludf.DUMMYFUNCTION("""COMPUTED_VALUE"""),535.0)</f>
        <v>535</v>
      </c>
      <c r="V50" s="78">
        <f>IFERROR(__xludf.DUMMYFUNCTION("""COMPUTED_VALUE"""),4.102760736196319)</f>
        <v>4.102760736</v>
      </c>
    </row>
    <row r="51">
      <c r="B51" s="59" t="s">
        <v>125</v>
      </c>
      <c r="C51" s="59">
        <f>if(countif(F46:F50,F51)&gt;1,0,5)</f>
        <v>5</v>
      </c>
      <c r="D51" s="59" t="str">
        <f>IFERROR(__xludf.DUMMYFUNCTION("""COMPUTED_VALUE"""),"132 WJV")</f>
        <v>132 WJV</v>
      </c>
      <c r="E51" s="61" t="str">
        <f>IFERROR(__xludf.DUMMYFUNCTION("""COMPUTED_VALUE"""),"WJV")</f>
        <v>WJV</v>
      </c>
      <c r="F51" s="62" t="str">
        <f>IFERROR(__xludf.DUMMYFUNCTION("""COMPUTED_VALUE"""),"Port Huron")</f>
        <v>Port Huron</v>
      </c>
      <c r="G51" s="61">
        <f>IFERROR(__xludf.DUMMYFUNCTION("""COMPUTED_VALUE"""),131.3)</f>
        <v>131.3</v>
      </c>
      <c r="H51" s="62" t="str">
        <f>IFERROR(__xludf.DUMMYFUNCTION("""COMPUTED_VALUE"""),"Reid, Ariana")</f>
        <v>Reid, Ariana</v>
      </c>
      <c r="I51" s="63" t="str">
        <f>IFERROR(__xludf.DUMMYFUNCTION("""COMPUTED_VALUE"""),"140g")</f>
        <v>140g</v>
      </c>
      <c r="J51" s="61" t="str">
        <f>IFERROR(__xludf.DUMMYFUNCTION("""COMPUTED_VALUE"""),"150g")</f>
        <v>150g</v>
      </c>
      <c r="K51" s="61" t="str">
        <f>IFERROR(__xludf.DUMMYFUNCTION("""COMPUTED_VALUE"""),"160g")</f>
        <v>160g</v>
      </c>
      <c r="L51" s="77">
        <f>IFERROR(__xludf.DUMMYFUNCTION("""COMPUTED_VALUE"""),160.0)</f>
        <v>160</v>
      </c>
      <c r="M51" s="65" t="str">
        <f>IFERROR(__xludf.DUMMYFUNCTION("""COMPUTED_VALUE"""),"95g")</f>
        <v>95g</v>
      </c>
      <c r="N51" s="65" t="str">
        <f>IFERROR(__xludf.DUMMYFUNCTION("""COMPUTED_VALUE"""),"100g")</f>
        <v>100g</v>
      </c>
      <c r="O51" s="65" t="str">
        <f>IFERROR(__xludf.DUMMYFUNCTION("""COMPUTED_VALUE"""),"105x")</f>
        <v>105x</v>
      </c>
      <c r="P51" s="64">
        <f>IFERROR(__xludf.DUMMYFUNCTION("""COMPUTED_VALUE"""),100.0)</f>
        <v>100</v>
      </c>
      <c r="Q51" s="65" t="str">
        <f>IFERROR(__xludf.DUMMYFUNCTION("""COMPUTED_VALUE"""),"260g")</f>
        <v>260g</v>
      </c>
      <c r="R51" s="65" t="str">
        <f>IFERROR(__xludf.DUMMYFUNCTION("""COMPUTED_VALUE"""),"280x")</f>
        <v>280x</v>
      </c>
      <c r="S51" s="65" t="str">
        <f>IFERROR(__xludf.DUMMYFUNCTION("""COMPUTED_VALUE"""),"280x")</f>
        <v>280x</v>
      </c>
      <c r="T51" s="64">
        <f>IFERROR(__xludf.DUMMYFUNCTION("""COMPUTED_VALUE"""),260.0)</f>
        <v>260</v>
      </c>
      <c r="U51" s="66">
        <f>IFERROR(__xludf.DUMMYFUNCTION("""COMPUTED_VALUE"""),520.0)</f>
        <v>520</v>
      </c>
      <c r="V51" s="78">
        <f>IFERROR(__xludf.DUMMYFUNCTION("""COMPUTED_VALUE"""),3.96039603960396)</f>
        <v>3.96039604</v>
      </c>
    </row>
    <row r="52">
      <c r="B52" s="59" t="s">
        <v>126</v>
      </c>
      <c r="C52" s="59">
        <f>if(countif(F46:F51,F52)&gt;1,0,4)</f>
        <v>4</v>
      </c>
      <c r="D52" s="59" t="str">
        <f>IFERROR(__xludf.DUMMYFUNCTION("""COMPUTED_VALUE"""),"132 WJV")</f>
        <v>132 WJV</v>
      </c>
      <c r="E52" s="61" t="str">
        <f>IFERROR(__xludf.DUMMYFUNCTION("""COMPUTED_VALUE"""),"WJV")</f>
        <v>WJV</v>
      </c>
      <c r="F52" s="62" t="str">
        <f>IFERROR(__xludf.DUMMYFUNCTION("""COMPUTED_VALUE"""),"Martin")</f>
        <v>Martin</v>
      </c>
      <c r="G52" s="61">
        <f>IFERROR(__xludf.DUMMYFUNCTION("""COMPUTED_VALUE"""),126.6)</f>
        <v>126.6</v>
      </c>
      <c r="H52" s="62" t="str">
        <f>IFERROR(__xludf.DUMMYFUNCTION("""COMPUTED_VALUE"""),"Reinke, Elizabeth")</f>
        <v>Reinke, Elizabeth</v>
      </c>
      <c r="I52" s="63" t="str">
        <f>IFERROR(__xludf.DUMMYFUNCTION("""COMPUTED_VALUE"""),"140g")</f>
        <v>140g</v>
      </c>
      <c r="J52" s="61" t="str">
        <f>IFERROR(__xludf.DUMMYFUNCTION("""COMPUTED_VALUE"""),"165g")</f>
        <v>165g</v>
      </c>
      <c r="K52" s="61" t="str">
        <f>IFERROR(__xludf.DUMMYFUNCTION("""COMPUTED_VALUE"""),"180x")</f>
        <v>180x</v>
      </c>
      <c r="L52" s="77">
        <f>IFERROR(__xludf.DUMMYFUNCTION("""COMPUTED_VALUE"""),165.0)</f>
        <v>165</v>
      </c>
      <c r="M52" s="65" t="str">
        <f>IFERROR(__xludf.DUMMYFUNCTION("""COMPUTED_VALUE"""),"80g")</f>
        <v>80g</v>
      </c>
      <c r="N52" s="65" t="str">
        <f>IFERROR(__xludf.DUMMYFUNCTION("""COMPUTED_VALUE"""),"90g")</f>
        <v>90g</v>
      </c>
      <c r="O52" s="65" t="str">
        <f>IFERROR(__xludf.DUMMYFUNCTION("""COMPUTED_VALUE"""),"95g")</f>
        <v>95g</v>
      </c>
      <c r="P52" s="64">
        <f>IFERROR(__xludf.DUMMYFUNCTION("""COMPUTED_VALUE"""),95.0)</f>
        <v>95</v>
      </c>
      <c r="Q52" s="65" t="str">
        <f>IFERROR(__xludf.DUMMYFUNCTION("""COMPUTED_VALUE"""),"215g")</f>
        <v>215g</v>
      </c>
      <c r="R52" s="65" t="str">
        <f>IFERROR(__xludf.DUMMYFUNCTION("""COMPUTED_VALUE"""),"235g")</f>
        <v>235g</v>
      </c>
      <c r="S52" s="65" t="str">
        <f>IFERROR(__xludf.DUMMYFUNCTION("""COMPUTED_VALUE"""),"250g")</f>
        <v>250g</v>
      </c>
      <c r="T52" s="64">
        <f>IFERROR(__xludf.DUMMYFUNCTION("""COMPUTED_VALUE"""),250.0)</f>
        <v>250</v>
      </c>
      <c r="U52" s="66">
        <f>IFERROR(__xludf.DUMMYFUNCTION("""COMPUTED_VALUE"""),510.0)</f>
        <v>510</v>
      </c>
      <c r="V52" s="78">
        <f>IFERROR(__xludf.DUMMYFUNCTION("""COMPUTED_VALUE"""),4.028436018957346)</f>
        <v>4.028436019</v>
      </c>
    </row>
    <row r="53">
      <c r="B53" s="59" t="s">
        <v>127</v>
      </c>
      <c r="C53" s="59">
        <f>if(countif(F46:F52,F53)&gt;1,0,3)</f>
        <v>3</v>
      </c>
      <c r="D53" s="59" t="str">
        <f>IFERROR(__xludf.DUMMYFUNCTION("""COMPUTED_VALUE"""),"132 WJV")</f>
        <v>132 WJV</v>
      </c>
      <c r="E53" s="61" t="str">
        <f>IFERROR(__xludf.DUMMYFUNCTION("""COMPUTED_VALUE"""),"WJV")</f>
        <v>WJV</v>
      </c>
      <c r="F53" s="62" t="str">
        <f>IFERROR(__xludf.DUMMYFUNCTION("""COMPUTED_VALUE"""),"Port Huron")</f>
        <v>Port Huron</v>
      </c>
      <c r="G53" s="61">
        <f>IFERROR(__xludf.DUMMYFUNCTION("""COMPUTED_VALUE"""),127.2)</f>
        <v>127.2</v>
      </c>
      <c r="H53" s="62" t="str">
        <f>IFERROR(__xludf.DUMMYFUNCTION("""COMPUTED_VALUE"""),"Hunger, Hope")</f>
        <v>Hunger, Hope</v>
      </c>
      <c r="I53" s="63" t="str">
        <f>IFERROR(__xludf.DUMMYFUNCTION("""COMPUTED_VALUE"""),"135x")</f>
        <v>135x</v>
      </c>
      <c r="J53" s="61" t="str">
        <f>IFERROR(__xludf.DUMMYFUNCTION("""COMPUTED_VALUE"""),"135g")</f>
        <v>135g</v>
      </c>
      <c r="K53" s="61" t="str">
        <f>IFERROR(__xludf.DUMMYFUNCTION("""COMPUTED_VALUE"""),"155g")</f>
        <v>155g</v>
      </c>
      <c r="L53" s="77">
        <f>IFERROR(__xludf.DUMMYFUNCTION("""COMPUTED_VALUE"""),155.0)</f>
        <v>155</v>
      </c>
      <c r="M53" s="65" t="str">
        <f>IFERROR(__xludf.DUMMYFUNCTION("""COMPUTED_VALUE"""),"85g")</f>
        <v>85g</v>
      </c>
      <c r="N53" s="65" t="str">
        <f>IFERROR(__xludf.DUMMYFUNCTION("""COMPUTED_VALUE"""),"90g")</f>
        <v>90g</v>
      </c>
      <c r="O53" s="65" t="str">
        <f>IFERROR(__xludf.DUMMYFUNCTION("""COMPUTED_VALUE"""),"95g")</f>
        <v>95g</v>
      </c>
      <c r="P53" s="64">
        <f>IFERROR(__xludf.DUMMYFUNCTION("""COMPUTED_VALUE"""),95.0)</f>
        <v>95</v>
      </c>
      <c r="Q53" s="65" t="str">
        <f>IFERROR(__xludf.DUMMYFUNCTION("""COMPUTED_VALUE"""),"225g")</f>
        <v>225g</v>
      </c>
      <c r="R53" s="65" t="str">
        <f>IFERROR(__xludf.DUMMYFUNCTION("""COMPUTED_VALUE"""),"240g")</f>
        <v>240g</v>
      </c>
      <c r="S53" s="65" t="str">
        <f>IFERROR(__xludf.DUMMYFUNCTION("""COMPUTED_VALUE"""),"255g")</f>
        <v>255g</v>
      </c>
      <c r="T53" s="64">
        <f>IFERROR(__xludf.DUMMYFUNCTION("""COMPUTED_VALUE"""),255.0)</f>
        <v>255</v>
      </c>
      <c r="U53" s="66">
        <f>IFERROR(__xludf.DUMMYFUNCTION("""COMPUTED_VALUE"""),505.0)</f>
        <v>505</v>
      </c>
      <c r="V53" s="78">
        <f>IFERROR(__xludf.DUMMYFUNCTION("""COMPUTED_VALUE"""),3.9701257861635217)</f>
        <v>3.970125786</v>
      </c>
    </row>
    <row r="54">
      <c r="B54" s="59" t="s">
        <v>128</v>
      </c>
      <c r="C54" s="59">
        <f>if(countif(F46:F53,F54)&gt;1,0,2)</f>
        <v>2</v>
      </c>
      <c r="D54" s="59" t="str">
        <f>IFERROR(__xludf.DUMMYFUNCTION("""COMPUTED_VALUE"""),"132 WJV")</f>
        <v>132 WJV</v>
      </c>
      <c r="E54" s="61" t="str">
        <f>IFERROR(__xludf.DUMMYFUNCTION("""COMPUTED_VALUE"""),"WJV")</f>
        <v>WJV</v>
      </c>
      <c r="F54" s="62" t="str">
        <f>IFERROR(__xludf.DUMMYFUNCTION("""COMPUTED_VALUE"""),"Mona Shores")</f>
        <v>Mona Shores</v>
      </c>
      <c r="G54" s="61">
        <f>IFERROR(__xludf.DUMMYFUNCTION("""COMPUTED_VALUE"""),130.9)</f>
        <v>130.9</v>
      </c>
      <c r="H54" s="62" t="str">
        <f>IFERROR(__xludf.DUMMYFUNCTION("""COMPUTED_VALUE"""),"Savacool, Elizabeth")</f>
        <v>Savacool, Elizabeth</v>
      </c>
      <c r="I54" s="63" t="str">
        <f>IFERROR(__xludf.DUMMYFUNCTION("""COMPUTED_VALUE"""),"185g")</f>
        <v>185g</v>
      </c>
      <c r="J54" s="61" t="str">
        <f>IFERROR(__xludf.DUMMYFUNCTION("""COMPUTED_VALUE"""),"210x")</f>
        <v>210x</v>
      </c>
      <c r="K54" s="61" t="str">
        <f>IFERROR(__xludf.DUMMYFUNCTION("""COMPUTED_VALUE"""),"210x")</f>
        <v>210x</v>
      </c>
      <c r="L54" s="77">
        <f>IFERROR(__xludf.DUMMYFUNCTION("""COMPUTED_VALUE"""),185.0)</f>
        <v>185</v>
      </c>
      <c r="M54" s="65" t="str">
        <f>IFERROR(__xludf.DUMMYFUNCTION("""COMPUTED_VALUE"""),"75g")</f>
        <v>75g</v>
      </c>
      <c r="N54" s="65" t="str">
        <f>IFERROR(__xludf.DUMMYFUNCTION("""COMPUTED_VALUE"""),"85g")</f>
        <v>85g</v>
      </c>
      <c r="O54" s="65" t="str">
        <f>IFERROR(__xludf.DUMMYFUNCTION("""COMPUTED_VALUE"""),"95g")</f>
        <v>95g</v>
      </c>
      <c r="P54" s="64">
        <f>IFERROR(__xludf.DUMMYFUNCTION("""COMPUTED_VALUE"""),95.0)</f>
        <v>95</v>
      </c>
      <c r="Q54" s="65" t="str">
        <f>IFERROR(__xludf.DUMMYFUNCTION("""COMPUTED_VALUE"""),"205g")</f>
        <v>205g</v>
      </c>
      <c r="R54" s="65" t="str">
        <f>IFERROR(__xludf.DUMMYFUNCTION("""COMPUTED_VALUE"""),"225g")</f>
        <v>225g</v>
      </c>
      <c r="S54" s="65" t="str">
        <f>IFERROR(__xludf.DUMMYFUNCTION("""COMPUTED_VALUE"""),"240x")</f>
        <v>240x</v>
      </c>
      <c r="T54" s="64">
        <f>IFERROR(__xludf.DUMMYFUNCTION("""COMPUTED_VALUE"""),225.0)</f>
        <v>225</v>
      </c>
      <c r="U54" s="66">
        <f>IFERROR(__xludf.DUMMYFUNCTION("""COMPUTED_VALUE"""),505.0)</f>
        <v>505</v>
      </c>
      <c r="V54" s="78">
        <f>IFERROR(__xludf.DUMMYFUNCTION("""COMPUTED_VALUE"""),3.8579067990832696)</f>
        <v>3.857906799</v>
      </c>
    </row>
    <row r="55">
      <c r="B55" s="59" t="s">
        <v>129</v>
      </c>
      <c r="C55" s="59">
        <f>if(countif(F46:F54,F55)&gt;1,0,1)</f>
        <v>1</v>
      </c>
      <c r="D55" s="59" t="str">
        <f>IFERROR(__xludf.DUMMYFUNCTION("""COMPUTED_VALUE"""),"132 WJV")</f>
        <v>132 WJV</v>
      </c>
      <c r="E55" s="61" t="str">
        <f>IFERROR(__xludf.DUMMYFUNCTION("""COMPUTED_VALUE"""),"WJV")</f>
        <v>WJV</v>
      </c>
      <c r="F55" s="62" t="str">
        <f>IFERROR(__xludf.DUMMYFUNCTION("""COMPUTED_VALUE"""),"Flushing")</f>
        <v>Flushing</v>
      </c>
      <c r="G55" s="61">
        <f>IFERROR(__xludf.DUMMYFUNCTION("""COMPUTED_VALUE"""),128.2)</f>
        <v>128.2</v>
      </c>
      <c r="H55" s="62" t="str">
        <f>IFERROR(__xludf.DUMMYFUNCTION("""COMPUTED_VALUE"""),"Lipe, Audrey")</f>
        <v>Lipe, Audrey</v>
      </c>
      <c r="I55" s="63" t="str">
        <f>IFERROR(__xludf.DUMMYFUNCTION("""COMPUTED_VALUE"""),"175g")</f>
        <v>175g</v>
      </c>
      <c r="J55" s="61" t="str">
        <f>IFERROR(__xludf.DUMMYFUNCTION("""COMPUTED_VALUE"""),"185g")</f>
        <v>185g</v>
      </c>
      <c r="K55" s="61" t="str">
        <f>IFERROR(__xludf.DUMMYFUNCTION("""COMPUTED_VALUE"""),"195g")</f>
        <v>195g</v>
      </c>
      <c r="L55" s="77">
        <f>IFERROR(__xludf.DUMMYFUNCTION("""COMPUTED_VALUE"""),195.0)</f>
        <v>195</v>
      </c>
      <c r="M55" s="65" t="str">
        <f>IFERROR(__xludf.DUMMYFUNCTION("""COMPUTED_VALUE"""),"80g")</f>
        <v>80g</v>
      </c>
      <c r="N55" s="65" t="str">
        <f>IFERROR(__xludf.DUMMYFUNCTION("""COMPUTED_VALUE"""),"95g")</f>
        <v>95g</v>
      </c>
      <c r="O55" s="65" t="str">
        <f>IFERROR(__xludf.DUMMYFUNCTION("""COMPUTED_VALUE"""),"105x")</f>
        <v>105x</v>
      </c>
      <c r="P55" s="64">
        <f>IFERROR(__xludf.DUMMYFUNCTION("""COMPUTED_VALUE"""),95.0)</f>
        <v>95</v>
      </c>
      <c r="Q55" s="65" t="str">
        <f>IFERROR(__xludf.DUMMYFUNCTION("""COMPUTED_VALUE"""),"185g")</f>
        <v>185g</v>
      </c>
      <c r="R55" s="65" t="str">
        <f>IFERROR(__xludf.DUMMYFUNCTION("""COMPUTED_VALUE"""),"190g")</f>
        <v>190g</v>
      </c>
      <c r="S55" s="65" t="str">
        <f>IFERROR(__xludf.DUMMYFUNCTION("""COMPUTED_VALUE"""),"205g")</f>
        <v>205g</v>
      </c>
      <c r="T55" s="64">
        <f>IFERROR(__xludf.DUMMYFUNCTION("""COMPUTED_VALUE"""),205.0)</f>
        <v>205</v>
      </c>
      <c r="U55" s="66">
        <f>IFERROR(__xludf.DUMMYFUNCTION("""COMPUTED_VALUE"""),495.0)</f>
        <v>495</v>
      </c>
      <c r="V55" s="78">
        <f>IFERROR(__xludf.DUMMYFUNCTION("""COMPUTED_VALUE"""),3.8611544461778475)</f>
        <v>3.861154446</v>
      </c>
    </row>
    <row r="56">
      <c r="A56" s="73">
        <v>145.0</v>
      </c>
      <c r="B56" s="68" t="s">
        <v>120</v>
      </c>
      <c r="C56" s="68">
        <v>12.0</v>
      </c>
      <c r="D56" s="68" t="str">
        <f>IFERROR(__xludf.DUMMYFUNCTION("ARRAY_CONSTRAIN(sort(filter(WJV_Tie_Breaker!D6:X285,WJV_Tie_Breaker!D6:D285=""145 WJV""),18,false,4,true,20,false,21,true),10,19)"),"145 WJV")</f>
        <v>145 WJV</v>
      </c>
      <c r="E56" s="69" t="str">
        <f>IFERROR(__xludf.DUMMYFUNCTION("""COMPUTED_VALUE"""),"WJV")</f>
        <v>WJV</v>
      </c>
      <c r="F56" s="70" t="str">
        <f>IFERROR(__xludf.DUMMYFUNCTION("""COMPUTED_VALUE"""),"Montague")</f>
        <v>Montague</v>
      </c>
      <c r="G56" s="69">
        <f>IFERROR(__xludf.DUMMYFUNCTION("""COMPUTED_VALUE"""),138.0)</f>
        <v>138</v>
      </c>
      <c r="H56" s="70" t="str">
        <f>IFERROR(__xludf.DUMMYFUNCTION("""COMPUTED_VALUE"""),"Diamond, Madison")</f>
        <v>Diamond, Madison</v>
      </c>
      <c r="I56" s="71" t="str">
        <f>IFERROR(__xludf.DUMMYFUNCTION("""COMPUTED_VALUE"""),"205x")</f>
        <v>205x</v>
      </c>
      <c r="J56" s="69" t="str">
        <f>IFERROR(__xludf.DUMMYFUNCTION("""COMPUTED_VALUE"""),"205g")</f>
        <v>205g</v>
      </c>
      <c r="K56" s="69" t="str">
        <f>IFERROR(__xludf.DUMMYFUNCTION("""COMPUTED_VALUE"""),"230g")</f>
        <v>230g</v>
      </c>
      <c r="L56" s="77">
        <f>IFERROR(__xludf.DUMMYFUNCTION("""COMPUTED_VALUE"""),230.0)</f>
        <v>230</v>
      </c>
      <c r="M56" s="72" t="str">
        <f>IFERROR(__xludf.DUMMYFUNCTION("""COMPUTED_VALUE"""),"115g")</f>
        <v>115g</v>
      </c>
      <c r="N56" s="72" t="str">
        <f>IFERROR(__xludf.DUMMYFUNCTION("""COMPUTED_VALUE"""),"125g")</f>
        <v>125g</v>
      </c>
      <c r="O56" s="72" t="str">
        <f>IFERROR(__xludf.DUMMYFUNCTION("""COMPUTED_VALUE"""),"135x")</f>
        <v>135x</v>
      </c>
      <c r="P56" s="64">
        <f>IFERROR(__xludf.DUMMYFUNCTION("""COMPUTED_VALUE"""),125.0)</f>
        <v>125</v>
      </c>
      <c r="Q56" s="72" t="str">
        <f>IFERROR(__xludf.DUMMYFUNCTION("""COMPUTED_VALUE"""),"320g")</f>
        <v>320g</v>
      </c>
      <c r="R56" s="72" t="str">
        <f>IFERROR(__xludf.DUMMYFUNCTION("""COMPUTED_VALUE"""),"345g")</f>
        <v>345g</v>
      </c>
      <c r="S56" s="72" t="str">
        <f>IFERROR(__xludf.DUMMYFUNCTION("""COMPUTED_VALUE"""),"355g")</f>
        <v>355g</v>
      </c>
      <c r="T56" s="64">
        <f>IFERROR(__xludf.DUMMYFUNCTION("""COMPUTED_VALUE"""),355.0)</f>
        <v>355</v>
      </c>
      <c r="U56" s="66">
        <f>IFERROR(__xludf.DUMMYFUNCTION("""COMPUTED_VALUE"""),710.0)</f>
        <v>710</v>
      </c>
      <c r="V56" s="79">
        <f>IFERROR(__xludf.DUMMYFUNCTION("""COMPUTED_VALUE"""),5.144927536231884)</f>
        <v>5.144927536</v>
      </c>
    </row>
    <row r="57">
      <c r="B57" s="68" t="s">
        <v>121</v>
      </c>
      <c r="C57" s="68">
        <v>9.0</v>
      </c>
      <c r="D57" s="68" t="str">
        <f>IFERROR(__xludf.DUMMYFUNCTION("""COMPUTED_VALUE"""),"145 WJV")</f>
        <v>145 WJV</v>
      </c>
      <c r="E57" s="69" t="str">
        <f>IFERROR(__xludf.DUMMYFUNCTION("""COMPUTED_VALUE"""),"WJV")</f>
        <v>WJV</v>
      </c>
      <c r="F57" s="70" t="str">
        <f>IFERROR(__xludf.DUMMYFUNCTION("""COMPUTED_VALUE"""),"Climax-Scotts")</f>
        <v>Climax-Scotts</v>
      </c>
      <c r="G57" s="69">
        <f>IFERROR(__xludf.DUMMYFUNCTION("""COMPUTED_VALUE"""),134.8)</f>
        <v>134.8</v>
      </c>
      <c r="H57" s="70" t="str">
        <f>IFERROR(__xludf.DUMMYFUNCTION("""COMPUTED_VALUE"""),"Haynes, Jenna")</f>
        <v>Haynes, Jenna</v>
      </c>
      <c r="I57" s="71" t="str">
        <f>IFERROR(__xludf.DUMMYFUNCTION("""COMPUTED_VALUE"""),"225g")</f>
        <v>225g</v>
      </c>
      <c r="J57" s="69" t="str">
        <f>IFERROR(__xludf.DUMMYFUNCTION("""COMPUTED_VALUE"""),"235g")</f>
        <v>235g</v>
      </c>
      <c r="K57" s="69" t="str">
        <f>IFERROR(__xludf.DUMMYFUNCTION("""COMPUTED_VALUE"""),"250x")</f>
        <v>250x</v>
      </c>
      <c r="L57" s="77">
        <f>IFERROR(__xludf.DUMMYFUNCTION("""COMPUTED_VALUE"""),235.0)</f>
        <v>235</v>
      </c>
      <c r="M57" s="72" t="str">
        <f>IFERROR(__xludf.DUMMYFUNCTION("""COMPUTED_VALUE"""),"100g")</f>
        <v>100g</v>
      </c>
      <c r="N57" s="72" t="str">
        <f>IFERROR(__xludf.DUMMYFUNCTION("""COMPUTED_VALUE"""),"110g")</f>
        <v>110g</v>
      </c>
      <c r="O57" s="72" t="str">
        <f>IFERROR(__xludf.DUMMYFUNCTION("""COMPUTED_VALUE"""),"115g")</f>
        <v>115g</v>
      </c>
      <c r="P57" s="64">
        <f>IFERROR(__xludf.DUMMYFUNCTION("""COMPUTED_VALUE"""),115.0)</f>
        <v>115</v>
      </c>
      <c r="Q57" s="72" t="str">
        <f>IFERROR(__xludf.DUMMYFUNCTION("""COMPUTED_VALUE"""),"275g")</f>
        <v>275g</v>
      </c>
      <c r="R57" s="72" t="str">
        <f>IFERROR(__xludf.DUMMYFUNCTION("""COMPUTED_VALUE"""),"300g")</f>
        <v>300g</v>
      </c>
      <c r="S57" s="72" t="str">
        <f>IFERROR(__xludf.DUMMYFUNCTION("""COMPUTED_VALUE"""),"315g")</f>
        <v>315g</v>
      </c>
      <c r="T57" s="64">
        <f>IFERROR(__xludf.DUMMYFUNCTION("""COMPUTED_VALUE"""),315.0)</f>
        <v>315</v>
      </c>
      <c r="U57" s="66">
        <f>IFERROR(__xludf.DUMMYFUNCTION("""COMPUTED_VALUE"""),665.0)</f>
        <v>665</v>
      </c>
      <c r="V57" s="79">
        <f>IFERROR(__xludf.DUMMYFUNCTION("""COMPUTED_VALUE"""),4.933234421364984)</f>
        <v>4.933234421</v>
      </c>
    </row>
    <row r="58">
      <c r="B58" s="68" t="s">
        <v>122</v>
      </c>
      <c r="C58" s="68">
        <f>if(countif(F56:F57,F58)&gt;1,0,8)</f>
        <v>8</v>
      </c>
      <c r="D58" s="68" t="str">
        <f>IFERROR(__xludf.DUMMYFUNCTION("""COMPUTED_VALUE"""),"145 WJV")</f>
        <v>145 WJV</v>
      </c>
      <c r="E58" s="69" t="str">
        <f>IFERROR(__xludf.DUMMYFUNCTION("""COMPUTED_VALUE"""),"")</f>
        <v/>
      </c>
      <c r="F58" s="70" t="str">
        <f>IFERROR(__xludf.DUMMYFUNCTION("""COMPUTED_VALUE"""),"Cros-Lex")</f>
        <v>Cros-Lex</v>
      </c>
      <c r="G58" s="69">
        <f>IFERROR(__xludf.DUMMYFUNCTION("""COMPUTED_VALUE"""),137.2)</f>
        <v>137.2</v>
      </c>
      <c r="H58" s="70" t="str">
        <f>IFERROR(__xludf.DUMMYFUNCTION("""COMPUTED_VALUE"""),"Radtke, Ryen")</f>
        <v>Radtke, Ryen</v>
      </c>
      <c r="I58" s="71" t="str">
        <f>IFERROR(__xludf.DUMMYFUNCTION("""COMPUTED_VALUE"""),"200g")</f>
        <v>200g</v>
      </c>
      <c r="J58" s="69" t="str">
        <f>IFERROR(__xludf.DUMMYFUNCTION("""COMPUTED_VALUE"""),"215g")</f>
        <v>215g</v>
      </c>
      <c r="K58" s="69" t="str">
        <f>IFERROR(__xludf.DUMMYFUNCTION("""COMPUTED_VALUE"""),"225g")</f>
        <v>225g</v>
      </c>
      <c r="L58" s="77">
        <f>IFERROR(__xludf.DUMMYFUNCTION("""COMPUTED_VALUE"""),225.0)</f>
        <v>225</v>
      </c>
      <c r="M58" s="72" t="str">
        <f>IFERROR(__xludf.DUMMYFUNCTION("""COMPUTED_VALUE"""),"90g")</f>
        <v>90g</v>
      </c>
      <c r="N58" s="72" t="str">
        <f>IFERROR(__xludf.DUMMYFUNCTION("""COMPUTED_VALUE"""),"95g")</f>
        <v>95g</v>
      </c>
      <c r="O58" s="72" t="str">
        <f>IFERROR(__xludf.DUMMYFUNCTION("""COMPUTED_VALUE"""),"100g")</f>
        <v>100g</v>
      </c>
      <c r="P58" s="64">
        <f>IFERROR(__xludf.DUMMYFUNCTION("""COMPUTED_VALUE"""),100.0)</f>
        <v>100</v>
      </c>
      <c r="Q58" s="72" t="str">
        <f>IFERROR(__xludf.DUMMYFUNCTION("""COMPUTED_VALUE"""),"230g")</f>
        <v>230g</v>
      </c>
      <c r="R58" s="72" t="str">
        <f>IFERROR(__xludf.DUMMYFUNCTION("""COMPUTED_VALUE"""),"255g")</f>
        <v>255g</v>
      </c>
      <c r="S58" s="72" t="str">
        <f>IFERROR(__xludf.DUMMYFUNCTION("""COMPUTED_VALUE"""),"275g")</f>
        <v>275g</v>
      </c>
      <c r="T58" s="64">
        <f>IFERROR(__xludf.DUMMYFUNCTION("""COMPUTED_VALUE"""),275.0)</f>
        <v>275</v>
      </c>
      <c r="U58" s="66">
        <f>IFERROR(__xludf.DUMMYFUNCTION("""COMPUTED_VALUE"""),600.0)</f>
        <v>600</v>
      </c>
      <c r="V58" s="79">
        <f>IFERROR(__xludf.DUMMYFUNCTION("""COMPUTED_VALUE"""),4.373177842565598)</f>
        <v>4.373177843</v>
      </c>
    </row>
    <row r="59">
      <c r="B59" s="68" t="s">
        <v>123</v>
      </c>
      <c r="C59" s="68">
        <f>if(countif(F56:F58,F59)&gt;1,0,7)</f>
        <v>7</v>
      </c>
      <c r="D59" s="68" t="str">
        <f>IFERROR(__xludf.DUMMYFUNCTION("""COMPUTED_VALUE"""),"145 WJV")</f>
        <v>145 WJV</v>
      </c>
      <c r="E59" s="69" t="str">
        <f>IFERROR(__xludf.DUMMYFUNCTION("""COMPUTED_VALUE"""),"WJV")</f>
        <v>WJV</v>
      </c>
      <c r="F59" s="70" t="str">
        <f>IFERROR(__xludf.DUMMYFUNCTION("""COMPUTED_VALUE"""),"Port Huron")</f>
        <v>Port Huron</v>
      </c>
      <c r="G59" s="69">
        <f>IFERROR(__xludf.DUMMYFUNCTION("""COMPUTED_VALUE"""),137.2)</f>
        <v>137.2</v>
      </c>
      <c r="H59" s="70" t="str">
        <f>IFERROR(__xludf.DUMMYFUNCTION("""COMPUTED_VALUE"""),"Szczepkowski, Kacey")</f>
        <v>Szczepkowski, Kacey</v>
      </c>
      <c r="I59" s="71" t="str">
        <f>IFERROR(__xludf.DUMMYFUNCTION("""COMPUTED_VALUE"""),"175g")</f>
        <v>175g</v>
      </c>
      <c r="J59" s="69" t="str">
        <f>IFERROR(__xludf.DUMMYFUNCTION("""COMPUTED_VALUE"""),"200g")</f>
        <v>200g</v>
      </c>
      <c r="K59" s="69" t="str">
        <f>IFERROR(__xludf.DUMMYFUNCTION("""COMPUTED_VALUE"""),"220g")</f>
        <v>220g</v>
      </c>
      <c r="L59" s="77">
        <f>IFERROR(__xludf.DUMMYFUNCTION("""COMPUTED_VALUE"""),220.0)</f>
        <v>220</v>
      </c>
      <c r="M59" s="72" t="str">
        <f>IFERROR(__xludf.DUMMYFUNCTION("""COMPUTED_VALUE"""),"85g")</f>
        <v>85g</v>
      </c>
      <c r="N59" s="72" t="str">
        <f>IFERROR(__xludf.DUMMYFUNCTION("""COMPUTED_VALUE"""),"90g")</f>
        <v>90g</v>
      </c>
      <c r="O59" s="72" t="str">
        <f>IFERROR(__xludf.DUMMYFUNCTION("""COMPUTED_VALUE"""),"100x")</f>
        <v>100x</v>
      </c>
      <c r="P59" s="64">
        <f>IFERROR(__xludf.DUMMYFUNCTION("""COMPUTED_VALUE"""),90.0)</f>
        <v>90</v>
      </c>
      <c r="Q59" s="72" t="str">
        <f>IFERROR(__xludf.DUMMYFUNCTION("""COMPUTED_VALUE"""),"255g")</f>
        <v>255g</v>
      </c>
      <c r="R59" s="72" t="str">
        <f>IFERROR(__xludf.DUMMYFUNCTION("""COMPUTED_VALUE"""),"275g")</f>
        <v>275g</v>
      </c>
      <c r="S59" s="72" t="str">
        <f>IFERROR(__xludf.DUMMYFUNCTION("""COMPUTED_VALUE"""),"285g")</f>
        <v>285g</v>
      </c>
      <c r="T59" s="64">
        <f>IFERROR(__xludf.DUMMYFUNCTION("""COMPUTED_VALUE"""),285.0)</f>
        <v>285</v>
      </c>
      <c r="U59" s="66">
        <f>IFERROR(__xludf.DUMMYFUNCTION("""COMPUTED_VALUE"""),595.0)</f>
        <v>595</v>
      </c>
      <c r="V59" s="79">
        <f>IFERROR(__xludf.DUMMYFUNCTION("""COMPUTED_VALUE"""),4.336734693877552)</f>
        <v>4.336734694</v>
      </c>
    </row>
    <row r="60">
      <c r="B60" s="68" t="s">
        <v>124</v>
      </c>
      <c r="C60" s="68">
        <f>if(countif(F56:F59,F60)&gt;1,0,6)</f>
        <v>6</v>
      </c>
      <c r="D60" s="68" t="str">
        <f>IFERROR(__xludf.DUMMYFUNCTION("""COMPUTED_VALUE"""),"145 WJV")</f>
        <v>145 WJV</v>
      </c>
      <c r="E60" s="69" t="str">
        <f>IFERROR(__xludf.DUMMYFUNCTION("""COMPUTED_VALUE"""),"WJV")</f>
        <v>WJV</v>
      </c>
      <c r="F60" s="70" t="str">
        <f>IFERROR(__xludf.DUMMYFUNCTION("""COMPUTED_VALUE"""),"Brighton")</f>
        <v>Brighton</v>
      </c>
      <c r="G60" s="69">
        <f>IFERROR(__xludf.DUMMYFUNCTION("""COMPUTED_VALUE"""),137.8)</f>
        <v>137.8</v>
      </c>
      <c r="H60" s="70" t="str">
        <f>IFERROR(__xludf.DUMMYFUNCTION("""COMPUTED_VALUE"""),"Dunkley, Katie")</f>
        <v>Dunkley, Katie</v>
      </c>
      <c r="I60" s="71" t="str">
        <f>IFERROR(__xludf.DUMMYFUNCTION("""COMPUTED_VALUE"""),"205g")</f>
        <v>205g</v>
      </c>
      <c r="J60" s="69" t="str">
        <f>IFERROR(__xludf.DUMMYFUNCTION("""COMPUTED_VALUE"""),"220x")</f>
        <v>220x</v>
      </c>
      <c r="K60" s="69" t="str">
        <f>IFERROR(__xludf.DUMMYFUNCTION("""COMPUTED_VALUE"""),"220g")</f>
        <v>220g</v>
      </c>
      <c r="L60" s="77">
        <f>IFERROR(__xludf.DUMMYFUNCTION("""COMPUTED_VALUE"""),220.0)</f>
        <v>220</v>
      </c>
      <c r="M60" s="72" t="str">
        <f>IFERROR(__xludf.DUMMYFUNCTION("""COMPUTED_VALUE"""),"95g")</f>
        <v>95g</v>
      </c>
      <c r="N60" s="72" t="str">
        <f>IFERROR(__xludf.DUMMYFUNCTION("""COMPUTED_VALUE"""),"105g")</f>
        <v>105g</v>
      </c>
      <c r="O60" s="72" t="str">
        <f>IFERROR(__xludf.DUMMYFUNCTION("""COMPUTED_VALUE"""),"110x")</f>
        <v>110x</v>
      </c>
      <c r="P60" s="64">
        <f>IFERROR(__xludf.DUMMYFUNCTION("""COMPUTED_VALUE"""),105.0)</f>
        <v>105</v>
      </c>
      <c r="Q60" s="72" t="str">
        <f>IFERROR(__xludf.DUMMYFUNCTION("""COMPUTED_VALUE"""),"225g")</f>
        <v>225g</v>
      </c>
      <c r="R60" s="72" t="str">
        <f>IFERROR(__xludf.DUMMYFUNCTION("""COMPUTED_VALUE"""),"240g")</f>
        <v>240g</v>
      </c>
      <c r="S60" s="72" t="str">
        <f>IFERROR(__xludf.DUMMYFUNCTION("""COMPUTED_VALUE"""),"250x")</f>
        <v>250x</v>
      </c>
      <c r="T60" s="64">
        <f>IFERROR(__xludf.DUMMYFUNCTION("""COMPUTED_VALUE"""),240.0)</f>
        <v>240</v>
      </c>
      <c r="U60" s="66">
        <f>IFERROR(__xludf.DUMMYFUNCTION("""COMPUTED_VALUE"""),565.0)</f>
        <v>565</v>
      </c>
      <c r="V60" s="79">
        <f>IFERROR(__xludf.DUMMYFUNCTION("""COMPUTED_VALUE"""),4.100145137880987)</f>
        <v>4.100145138</v>
      </c>
    </row>
    <row r="61">
      <c r="B61" s="68" t="s">
        <v>125</v>
      </c>
      <c r="C61" s="68">
        <f>if(countif(F56:F60,F61)&gt;1,0,5)</f>
        <v>5</v>
      </c>
      <c r="D61" s="68" t="str">
        <f>IFERROR(__xludf.DUMMYFUNCTION("""COMPUTED_VALUE"""),"145 WJV")</f>
        <v>145 WJV</v>
      </c>
      <c r="E61" s="69" t="str">
        <f>IFERROR(__xludf.DUMMYFUNCTION("""COMPUTED_VALUE"""),"WJV")</f>
        <v>WJV</v>
      </c>
      <c r="F61" s="70" t="str">
        <f>IFERROR(__xludf.DUMMYFUNCTION("""COMPUTED_VALUE"""),"Lake Orion")</f>
        <v>Lake Orion</v>
      </c>
      <c r="G61" s="69">
        <f>IFERROR(__xludf.DUMMYFUNCTION("""COMPUTED_VALUE"""),144.8)</f>
        <v>144.8</v>
      </c>
      <c r="H61" s="70" t="str">
        <f>IFERROR(__xludf.DUMMYFUNCTION("""COMPUTED_VALUE"""),"Guldi, Dakota")</f>
        <v>Guldi, Dakota</v>
      </c>
      <c r="I61" s="71" t="str">
        <f>IFERROR(__xludf.DUMMYFUNCTION("""COMPUTED_VALUE"""),"185g")</f>
        <v>185g</v>
      </c>
      <c r="J61" s="69" t="str">
        <f>IFERROR(__xludf.DUMMYFUNCTION("""COMPUTED_VALUE"""),"195g")</f>
        <v>195g</v>
      </c>
      <c r="K61" s="69" t="str">
        <f>IFERROR(__xludf.DUMMYFUNCTION("""COMPUTED_VALUE"""),"210g")</f>
        <v>210g</v>
      </c>
      <c r="L61" s="77">
        <f>IFERROR(__xludf.DUMMYFUNCTION("""COMPUTED_VALUE"""),210.0)</f>
        <v>210</v>
      </c>
      <c r="M61" s="72" t="str">
        <f>IFERROR(__xludf.DUMMYFUNCTION("""COMPUTED_VALUE"""),"85g")</f>
        <v>85g</v>
      </c>
      <c r="N61" s="72" t="str">
        <f>IFERROR(__xludf.DUMMYFUNCTION("""COMPUTED_VALUE"""),"90g")</f>
        <v>90g</v>
      </c>
      <c r="O61" s="72" t="str">
        <f>IFERROR(__xludf.DUMMYFUNCTION("""COMPUTED_VALUE"""),"95x")</f>
        <v>95x</v>
      </c>
      <c r="P61" s="64">
        <f>IFERROR(__xludf.DUMMYFUNCTION("""COMPUTED_VALUE"""),90.0)</f>
        <v>90</v>
      </c>
      <c r="Q61" s="72" t="str">
        <f>IFERROR(__xludf.DUMMYFUNCTION("""COMPUTED_VALUE"""),"235g")</f>
        <v>235g</v>
      </c>
      <c r="R61" s="72" t="str">
        <f>IFERROR(__xludf.DUMMYFUNCTION("""COMPUTED_VALUE"""),"250g")</f>
        <v>250g</v>
      </c>
      <c r="S61" s="72" t="str">
        <f>IFERROR(__xludf.DUMMYFUNCTION("""COMPUTED_VALUE"""),"265g")</f>
        <v>265g</v>
      </c>
      <c r="T61" s="64">
        <f>IFERROR(__xludf.DUMMYFUNCTION("""COMPUTED_VALUE"""),265.0)</f>
        <v>265</v>
      </c>
      <c r="U61" s="66">
        <f>IFERROR(__xludf.DUMMYFUNCTION("""COMPUTED_VALUE"""),565.0)</f>
        <v>565</v>
      </c>
      <c r="V61" s="79">
        <f>IFERROR(__xludf.DUMMYFUNCTION("""COMPUTED_VALUE"""),3.9019337016574585)</f>
        <v>3.901933702</v>
      </c>
    </row>
    <row r="62">
      <c r="B62" s="68" t="s">
        <v>126</v>
      </c>
      <c r="C62" s="68">
        <f>if(countif(F56:F61,F62)&gt;1,0,4)</f>
        <v>4</v>
      </c>
      <c r="D62" s="68" t="str">
        <f>IFERROR(__xludf.DUMMYFUNCTION("""COMPUTED_VALUE"""),"145 WJV")</f>
        <v>145 WJV</v>
      </c>
      <c r="E62" s="69" t="str">
        <f>IFERROR(__xludf.DUMMYFUNCTION("""COMPUTED_VALUE"""),"WJV")</f>
        <v>WJV</v>
      </c>
      <c r="F62" s="70" t="str">
        <f>IFERROR(__xludf.DUMMYFUNCTION("""COMPUTED_VALUE"""),"Kearsley")</f>
        <v>Kearsley</v>
      </c>
      <c r="G62" s="69">
        <f>IFERROR(__xludf.DUMMYFUNCTION("""COMPUTED_VALUE"""),143.2)</f>
        <v>143.2</v>
      </c>
      <c r="H62" s="70" t="str">
        <f>IFERROR(__xludf.DUMMYFUNCTION("""COMPUTED_VALUE"""),"Clarambeau, Karlee")</f>
        <v>Clarambeau, Karlee</v>
      </c>
      <c r="I62" s="71" t="str">
        <f>IFERROR(__xludf.DUMMYFUNCTION("""COMPUTED_VALUE"""),"215g")</f>
        <v>215g</v>
      </c>
      <c r="J62" s="69" t="str">
        <f>IFERROR(__xludf.DUMMYFUNCTION("""COMPUTED_VALUE"""),"225x")</f>
        <v>225x</v>
      </c>
      <c r="K62" s="69" t="str">
        <f>IFERROR(__xludf.DUMMYFUNCTION("""COMPUTED_VALUE"""),"230g")</f>
        <v>230g</v>
      </c>
      <c r="L62" s="77">
        <f>IFERROR(__xludf.DUMMYFUNCTION("""COMPUTED_VALUE"""),230.0)</f>
        <v>230</v>
      </c>
      <c r="M62" s="72" t="str">
        <f>IFERROR(__xludf.DUMMYFUNCTION("""COMPUTED_VALUE"""),"80g")</f>
        <v>80g</v>
      </c>
      <c r="N62" s="72" t="str">
        <f>IFERROR(__xludf.DUMMYFUNCTION("""COMPUTED_VALUE"""),"90g")</f>
        <v>90g</v>
      </c>
      <c r="O62" s="72" t="str">
        <f>IFERROR(__xludf.DUMMYFUNCTION("""COMPUTED_VALUE"""),"95x")</f>
        <v>95x</v>
      </c>
      <c r="P62" s="64">
        <f>IFERROR(__xludf.DUMMYFUNCTION("""COMPUTED_VALUE"""),90.0)</f>
        <v>90</v>
      </c>
      <c r="Q62" s="72" t="str">
        <f>IFERROR(__xludf.DUMMYFUNCTION("""COMPUTED_VALUE"""),"225g")</f>
        <v>225g</v>
      </c>
      <c r="R62" s="72" t="str">
        <f>IFERROR(__xludf.DUMMYFUNCTION("""COMPUTED_VALUE"""),"240g")</f>
        <v>240g</v>
      </c>
      <c r="S62" s="72" t="str">
        <f>IFERROR(__xludf.DUMMYFUNCTION("""COMPUTED_VALUE"""),"250x")</f>
        <v>250x</v>
      </c>
      <c r="T62" s="64">
        <f>IFERROR(__xludf.DUMMYFUNCTION("""COMPUTED_VALUE"""),240.0)</f>
        <v>240</v>
      </c>
      <c r="U62" s="66">
        <f>IFERROR(__xludf.DUMMYFUNCTION("""COMPUTED_VALUE"""),560.0)</f>
        <v>560</v>
      </c>
      <c r="V62" s="79">
        <f>IFERROR(__xludf.DUMMYFUNCTION("""COMPUTED_VALUE"""),3.910614525139665)</f>
        <v>3.910614525</v>
      </c>
    </row>
    <row r="63">
      <c r="B63" s="68" t="s">
        <v>127</v>
      </c>
      <c r="C63" s="68">
        <f>if(countif(F56:F62,F63)&gt;1,0,3)</f>
        <v>3</v>
      </c>
      <c r="D63" s="68" t="str">
        <f>IFERROR(__xludf.DUMMYFUNCTION("""COMPUTED_VALUE"""),"145 WJV")</f>
        <v>145 WJV</v>
      </c>
      <c r="E63" s="69" t="str">
        <f>IFERROR(__xludf.DUMMYFUNCTION("""COMPUTED_VALUE"""),"WJV")</f>
        <v>WJV</v>
      </c>
      <c r="F63" s="70" t="str">
        <f>IFERROR(__xludf.DUMMYFUNCTION("""COMPUTED_VALUE"""),"Davison")</f>
        <v>Davison</v>
      </c>
      <c r="G63" s="69">
        <f>IFERROR(__xludf.DUMMYFUNCTION("""COMPUTED_VALUE"""),140.8)</f>
        <v>140.8</v>
      </c>
      <c r="H63" s="70" t="str">
        <f>IFERROR(__xludf.DUMMYFUNCTION("""COMPUTED_VALUE"""),"Pringle, Makayla")</f>
        <v>Pringle, Makayla</v>
      </c>
      <c r="I63" s="71" t="str">
        <f>IFERROR(__xludf.DUMMYFUNCTION("""COMPUTED_VALUE"""),"195g")</f>
        <v>195g</v>
      </c>
      <c r="J63" s="69" t="str">
        <f>IFERROR(__xludf.DUMMYFUNCTION("""COMPUTED_VALUE"""),"210x")</f>
        <v>210x</v>
      </c>
      <c r="K63" s="69" t="str">
        <f>IFERROR(__xludf.DUMMYFUNCTION("""COMPUTED_VALUE"""),"210g")</f>
        <v>210g</v>
      </c>
      <c r="L63" s="77">
        <f>IFERROR(__xludf.DUMMYFUNCTION("""COMPUTED_VALUE"""),210.0)</f>
        <v>210</v>
      </c>
      <c r="M63" s="72" t="str">
        <f>IFERROR(__xludf.DUMMYFUNCTION("""COMPUTED_VALUE"""),"85g")</f>
        <v>85g</v>
      </c>
      <c r="N63" s="72" t="str">
        <f>IFERROR(__xludf.DUMMYFUNCTION("""COMPUTED_VALUE"""),"95g")</f>
        <v>95g</v>
      </c>
      <c r="O63" s="72" t="str">
        <f>IFERROR(__xludf.DUMMYFUNCTION("""COMPUTED_VALUE"""),"105x")</f>
        <v>105x</v>
      </c>
      <c r="P63" s="64">
        <f>IFERROR(__xludf.DUMMYFUNCTION("""COMPUTED_VALUE"""),95.0)</f>
        <v>95</v>
      </c>
      <c r="Q63" s="72" t="str">
        <f>IFERROR(__xludf.DUMMYFUNCTION("""COMPUTED_VALUE"""),"215g")</f>
        <v>215g</v>
      </c>
      <c r="R63" s="72" t="str">
        <f>IFERROR(__xludf.DUMMYFUNCTION("""COMPUTED_VALUE"""),"235g")</f>
        <v>235g</v>
      </c>
      <c r="S63" s="72" t="str">
        <f>IFERROR(__xludf.DUMMYFUNCTION("""COMPUTED_VALUE"""),"250g")</f>
        <v>250g</v>
      </c>
      <c r="T63" s="64">
        <f>IFERROR(__xludf.DUMMYFUNCTION("""COMPUTED_VALUE"""),250.0)</f>
        <v>250</v>
      </c>
      <c r="U63" s="66">
        <f>IFERROR(__xludf.DUMMYFUNCTION("""COMPUTED_VALUE"""),555.0)</f>
        <v>555</v>
      </c>
      <c r="V63" s="79">
        <f>IFERROR(__xludf.DUMMYFUNCTION("""COMPUTED_VALUE"""),3.9417613636363633)</f>
        <v>3.941761364</v>
      </c>
    </row>
    <row r="64">
      <c r="B64" s="68" t="s">
        <v>128</v>
      </c>
      <c r="C64" s="68">
        <f>if(countif(F56:F63,F64)&gt;1,0,2)</f>
        <v>2</v>
      </c>
      <c r="D64" s="68" t="str">
        <f>IFERROR(__xludf.DUMMYFUNCTION("""COMPUTED_VALUE"""),"145 WJV")</f>
        <v>145 WJV</v>
      </c>
      <c r="E64" s="69" t="str">
        <f>IFERROR(__xludf.DUMMYFUNCTION("""COMPUTED_VALUE"""),"WJV")</f>
        <v>WJV</v>
      </c>
      <c r="F64" s="70" t="str">
        <f>IFERROR(__xludf.DUMMYFUNCTION("""COMPUTED_VALUE"""),"Brighton")</f>
        <v>Brighton</v>
      </c>
      <c r="G64" s="69">
        <f>IFERROR(__xludf.DUMMYFUNCTION("""COMPUTED_VALUE"""),142.2)</f>
        <v>142.2</v>
      </c>
      <c r="H64" s="70" t="str">
        <f>IFERROR(__xludf.DUMMYFUNCTION("""COMPUTED_VALUE"""),"Lemons, Evelynn")</f>
        <v>Lemons, Evelynn</v>
      </c>
      <c r="I64" s="71" t="str">
        <f>IFERROR(__xludf.DUMMYFUNCTION("""COMPUTED_VALUE"""),"185g")</f>
        <v>185g</v>
      </c>
      <c r="J64" s="69" t="str">
        <f>IFERROR(__xludf.DUMMYFUNCTION("""COMPUTED_VALUE"""),"195g")</f>
        <v>195g</v>
      </c>
      <c r="K64" s="69" t="str">
        <f>IFERROR(__xludf.DUMMYFUNCTION("""COMPUTED_VALUE"""),"205g")</f>
        <v>205g</v>
      </c>
      <c r="L64" s="77">
        <f>IFERROR(__xludf.DUMMYFUNCTION("""COMPUTED_VALUE"""),205.0)</f>
        <v>205</v>
      </c>
      <c r="M64" s="72" t="str">
        <f>IFERROR(__xludf.DUMMYFUNCTION("""COMPUTED_VALUE"""),"75g")</f>
        <v>75g</v>
      </c>
      <c r="N64" s="72" t="str">
        <f>IFERROR(__xludf.DUMMYFUNCTION("""COMPUTED_VALUE"""),"85x")</f>
        <v>85x</v>
      </c>
      <c r="O64" s="72" t="str">
        <f>IFERROR(__xludf.DUMMYFUNCTION("""COMPUTED_VALUE"""),"85x")</f>
        <v>85x</v>
      </c>
      <c r="P64" s="64">
        <f>IFERROR(__xludf.DUMMYFUNCTION("""COMPUTED_VALUE"""),75.0)</f>
        <v>75</v>
      </c>
      <c r="Q64" s="72" t="str">
        <f>IFERROR(__xludf.DUMMYFUNCTION("""COMPUTED_VALUE"""),"225g")</f>
        <v>225g</v>
      </c>
      <c r="R64" s="72" t="str">
        <f>IFERROR(__xludf.DUMMYFUNCTION("""COMPUTED_VALUE"""),"250g")</f>
        <v>250g</v>
      </c>
      <c r="S64" s="72" t="str">
        <f>IFERROR(__xludf.DUMMYFUNCTION("""COMPUTED_VALUE"""),"270g")</f>
        <v>270g</v>
      </c>
      <c r="T64" s="64">
        <f>IFERROR(__xludf.DUMMYFUNCTION("""COMPUTED_VALUE"""),270.0)</f>
        <v>270</v>
      </c>
      <c r="U64" s="66">
        <f>IFERROR(__xludf.DUMMYFUNCTION("""COMPUTED_VALUE"""),550.0)</f>
        <v>550</v>
      </c>
      <c r="V64" s="79">
        <f>IFERROR(__xludf.DUMMYFUNCTION("""COMPUTED_VALUE"""),3.867791842475387)</f>
        <v>3.867791842</v>
      </c>
    </row>
    <row r="65">
      <c r="B65" s="68" t="s">
        <v>129</v>
      </c>
      <c r="C65" s="68">
        <f>if(countif(F56:F64,F65)&gt;1,0,1)</f>
        <v>1</v>
      </c>
      <c r="D65" s="68" t="str">
        <f>IFERROR(__xludf.DUMMYFUNCTION("""COMPUTED_VALUE"""),"145 WJV")</f>
        <v>145 WJV</v>
      </c>
      <c r="E65" s="69" t="str">
        <f>IFERROR(__xludf.DUMMYFUNCTION("""COMPUTED_VALUE"""),"WJV")</f>
        <v>WJV</v>
      </c>
      <c r="F65" s="70" t="str">
        <f>IFERROR(__xludf.DUMMYFUNCTION("""COMPUTED_VALUE"""),"Morenci")</f>
        <v>Morenci</v>
      </c>
      <c r="G65" s="69">
        <f>IFERROR(__xludf.DUMMYFUNCTION("""COMPUTED_VALUE"""),136.2)</f>
        <v>136.2</v>
      </c>
      <c r="H65" s="70" t="str">
        <f>IFERROR(__xludf.DUMMYFUNCTION("""COMPUTED_VALUE"""),"Hanawalt, Dawson")</f>
        <v>Hanawalt, Dawson</v>
      </c>
      <c r="I65" s="71" t="str">
        <f>IFERROR(__xludf.DUMMYFUNCTION("""COMPUTED_VALUE"""),"155g")</f>
        <v>155g</v>
      </c>
      <c r="J65" s="69" t="str">
        <f>IFERROR(__xludf.DUMMYFUNCTION("""COMPUTED_VALUE"""),"180g")</f>
        <v>180g</v>
      </c>
      <c r="K65" s="69" t="str">
        <f>IFERROR(__xludf.DUMMYFUNCTION("""COMPUTED_VALUE"""),"195g")</f>
        <v>195g</v>
      </c>
      <c r="L65" s="77">
        <f>IFERROR(__xludf.DUMMYFUNCTION("""COMPUTED_VALUE"""),195.0)</f>
        <v>195</v>
      </c>
      <c r="M65" s="72" t="str">
        <f>IFERROR(__xludf.DUMMYFUNCTION("""COMPUTED_VALUE"""),"95g")</f>
        <v>95g</v>
      </c>
      <c r="N65" s="72" t="str">
        <f>IFERROR(__xludf.DUMMYFUNCTION("""COMPUTED_VALUE"""),"105g")</f>
        <v>105g</v>
      </c>
      <c r="O65" s="72" t="str">
        <f>IFERROR(__xludf.DUMMYFUNCTION("""COMPUTED_VALUE"""),"115x")</f>
        <v>115x</v>
      </c>
      <c r="P65" s="64">
        <f>IFERROR(__xludf.DUMMYFUNCTION("""COMPUTED_VALUE"""),105.0)</f>
        <v>105</v>
      </c>
      <c r="Q65" s="72" t="str">
        <f>IFERROR(__xludf.DUMMYFUNCTION("""COMPUTED_VALUE"""),"200g")</f>
        <v>200g</v>
      </c>
      <c r="R65" s="72" t="str">
        <f>IFERROR(__xludf.DUMMYFUNCTION("""COMPUTED_VALUE"""),"225g")</f>
        <v>225g</v>
      </c>
      <c r="S65" s="72" t="str">
        <f>IFERROR(__xludf.DUMMYFUNCTION("""COMPUTED_VALUE"""),"245g")</f>
        <v>245g</v>
      </c>
      <c r="T65" s="64">
        <f>IFERROR(__xludf.DUMMYFUNCTION("""COMPUTED_VALUE"""),245.0)</f>
        <v>245</v>
      </c>
      <c r="U65" s="66">
        <f>IFERROR(__xludf.DUMMYFUNCTION("""COMPUTED_VALUE"""),545.0)</f>
        <v>545</v>
      </c>
      <c r="V65" s="79">
        <f>IFERROR(__xludf.DUMMYFUNCTION("""COMPUTED_VALUE"""),4.001468428781204)</f>
        <v>4.001468429</v>
      </c>
    </row>
    <row r="66">
      <c r="A66" s="58">
        <v>155.0</v>
      </c>
      <c r="B66" s="59" t="s">
        <v>120</v>
      </c>
      <c r="C66" s="59">
        <v>12.0</v>
      </c>
      <c r="D66" s="59" t="str">
        <f>IFERROR(__xludf.DUMMYFUNCTION("ARRAY_CONSTRAIN(sort(filter(WJV_Tie_Breaker!D6:X285,WJV_Tie_Breaker!D6:D285=""155 WJV""),18,false,4,true,20,false,21,true),10,19)"),"155 WJV")</f>
        <v>155 WJV</v>
      </c>
      <c r="E66" s="60" t="str">
        <f>IFERROR(__xludf.DUMMYFUNCTION("""COMPUTED_VALUE"""),"WJV")</f>
        <v>WJV</v>
      </c>
      <c r="F66" s="62" t="str">
        <f>IFERROR(__xludf.DUMMYFUNCTION("""COMPUTED_VALUE"""),"Royal Oak")</f>
        <v>Royal Oak</v>
      </c>
      <c r="G66" s="61">
        <f>IFERROR(__xludf.DUMMYFUNCTION("""COMPUTED_VALUE"""),148.2)</f>
        <v>148.2</v>
      </c>
      <c r="H66" s="62" t="str">
        <f>IFERROR(__xludf.DUMMYFUNCTION("""COMPUTED_VALUE"""),"Fields, Caprice")</f>
        <v>Fields, Caprice</v>
      </c>
      <c r="I66" s="63" t="str">
        <f>IFERROR(__xludf.DUMMYFUNCTION("""COMPUTED_VALUE"""),"220g")</f>
        <v>220g</v>
      </c>
      <c r="J66" s="61" t="str">
        <f>IFERROR(__xludf.DUMMYFUNCTION("""COMPUTED_VALUE"""),"245g")</f>
        <v>245g</v>
      </c>
      <c r="K66" s="61" t="str">
        <f>IFERROR(__xludf.DUMMYFUNCTION("""COMPUTED_VALUE"""),"250x")</f>
        <v>250x</v>
      </c>
      <c r="L66" s="77">
        <f>IFERROR(__xludf.DUMMYFUNCTION("""COMPUTED_VALUE"""),245.0)</f>
        <v>245</v>
      </c>
      <c r="M66" s="65" t="str">
        <f>IFERROR(__xludf.DUMMYFUNCTION("""COMPUTED_VALUE"""),"105g")</f>
        <v>105g</v>
      </c>
      <c r="N66" s="65" t="str">
        <f>IFERROR(__xludf.DUMMYFUNCTION("""COMPUTED_VALUE"""),"120g")</f>
        <v>120g</v>
      </c>
      <c r="O66" s="65" t="str">
        <f>IFERROR(__xludf.DUMMYFUNCTION("""COMPUTED_VALUE"""),"125g")</f>
        <v>125g</v>
      </c>
      <c r="P66" s="64">
        <f>IFERROR(__xludf.DUMMYFUNCTION("""COMPUTED_VALUE"""),125.0)</f>
        <v>125</v>
      </c>
      <c r="Q66" s="65" t="str">
        <f>IFERROR(__xludf.DUMMYFUNCTION("""COMPUTED_VALUE"""),"275x")</f>
        <v>275x</v>
      </c>
      <c r="R66" s="65" t="str">
        <f>IFERROR(__xludf.DUMMYFUNCTION("""COMPUTED_VALUE"""),"300g")</f>
        <v>300g</v>
      </c>
      <c r="S66" s="65" t="str">
        <f>IFERROR(__xludf.DUMMYFUNCTION("""COMPUTED_VALUE"""),"315g")</f>
        <v>315g</v>
      </c>
      <c r="T66" s="64">
        <f>IFERROR(__xludf.DUMMYFUNCTION("""COMPUTED_VALUE"""),315.0)</f>
        <v>315</v>
      </c>
      <c r="U66" s="66">
        <f>IFERROR(__xludf.DUMMYFUNCTION("""COMPUTED_VALUE"""),685.0)</f>
        <v>685</v>
      </c>
      <c r="V66" s="78">
        <f>IFERROR(__xludf.DUMMYFUNCTION("""COMPUTED_VALUE"""),4.622132253711201)</f>
        <v>4.622132254</v>
      </c>
    </row>
    <row r="67">
      <c r="B67" s="59" t="s">
        <v>121</v>
      </c>
      <c r="C67" s="59">
        <v>9.0</v>
      </c>
      <c r="D67" s="59" t="str">
        <f>IFERROR(__xludf.DUMMYFUNCTION("""COMPUTED_VALUE"""),"155 WJV")</f>
        <v>155 WJV</v>
      </c>
      <c r="E67" s="61" t="str">
        <f>IFERROR(__xludf.DUMMYFUNCTION("""COMPUTED_VALUE"""),"WJV")</f>
        <v>WJV</v>
      </c>
      <c r="F67" s="62" t="str">
        <f>IFERROR(__xludf.DUMMYFUNCTION("""COMPUTED_VALUE"""),"Edwardsburg")</f>
        <v>Edwardsburg</v>
      </c>
      <c r="G67" s="61">
        <f>IFERROR(__xludf.DUMMYFUNCTION("""COMPUTED_VALUE"""),151.4)</f>
        <v>151.4</v>
      </c>
      <c r="H67" s="62" t="str">
        <f>IFERROR(__xludf.DUMMYFUNCTION("""COMPUTED_VALUE"""),"Gearhart, Alyssa")</f>
        <v>Gearhart, Alyssa</v>
      </c>
      <c r="I67" s="63" t="str">
        <f>IFERROR(__xludf.DUMMYFUNCTION("""COMPUTED_VALUE"""),"185g")</f>
        <v>185g</v>
      </c>
      <c r="J67" s="61" t="str">
        <f>IFERROR(__xludf.DUMMYFUNCTION("""COMPUTED_VALUE"""),"205x")</f>
        <v>205x</v>
      </c>
      <c r="K67" s="61" t="str">
        <f>IFERROR(__xludf.DUMMYFUNCTION("""COMPUTED_VALUE"""),"205x")</f>
        <v>205x</v>
      </c>
      <c r="L67" s="77">
        <f>IFERROR(__xludf.DUMMYFUNCTION("""COMPUTED_VALUE"""),185.0)</f>
        <v>185</v>
      </c>
      <c r="M67" s="65" t="str">
        <f>IFERROR(__xludf.DUMMYFUNCTION("""COMPUTED_VALUE"""),"115g")</f>
        <v>115g</v>
      </c>
      <c r="N67" s="65" t="str">
        <f>IFERROR(__xludf.DUMMYFUNCTION("""COMPUTED_VALUE"""),"125g")</f>
        <v>125g</v>
      </c>
      <c r="O67" s="65" t="str">
        <f>IFERROR(__xludf.DUMMYFUNCTION("""COMPUTED_VALUE"""),"135g")</f>
        <v>135g</v>
      </c>
      <c r="P67" s="64">
        <f>IFERROR(__xludf.DUMMYFUNCTION("""COMPUTED_VALUE"""),135.0)</f>
        <v>135</v>
      </c>
      <c r="Q67" s="65" t="str">
        <f>IFERROR(__xludf.DUMMYFUNCTION("""COMPUTED_VALUE"""),"225g")</f>
        <v>225g</v>
      </c>
      <c r="R67" s="65" t="str">
        <f>IFERROR(__xludf.DUMMYFUNCTION("""COMPUTED_VALUE"""),"255g")</f>
        <v>255g</v>
      </c>
      <c r="S67" s="65" t="str">
        <f>IFERROR(__xludf.DUMMYFUNCTION("""COMPUTED_VALUE"""),"285g")</f>
        <v>285g</v>
      </c>
      <c r="T67" s="64">
        <f>IFERROR(__xludf.DUMMYFUNCTION("""COMPUTED_VALUE"""),285.0)</f>
        <v>285</v>
      </c>
      <c r="U67" s="66">
        <f>IFERROR(__xludf.DUMMYFUNCTION("""COMPUTED_VALUE"""),605.0)</f>
        <v>605</v>
      </c>
      <c r="V67" s="78">
        <f>IFERROR(__xludf.DUMMYFUNCTION("""COMPUTED_VALUE"""),3.9960369881109643)</f>
        <v>3.996036988</v>
      </c>
    </row>
    <row r="68">
      <c r="B68" s="59" t="s">
        <v>122</v>
      </c>
      <c r="C68" s="59">
        <f>if(countif(F66:F67,F68)&gt;1,0,8)</f>
        <v>8</v>
      </c>
      <c r="D68" s="59" t="str">
        <f>IFERROR(__xludf.DUMMYFUNCTION("""COMPUTED_VALUE"""),"155 WJV")</f>
        <v>155 WJV</v>
      </c>
      <c r="E68" s="61" t="str">
        <f>IFERROR(__xludf.DUMMYFUNCTION("""COMPUTED_VALUE"""),"WJV")</f>
        <v>WJV</v>
      </c>
      <c r="F68" s="62" t="str">
        <f>IFERROR(__xludf.DUMMYFUNCTION("""COMPUTED_VALUE"""),"Standish-Sterling")</f>
        <v>Standish-Sterling</v>
      </c>
      <c r="G68" s="61">
        <f>IFERROR(__xludf.DUMMYFUNCTION("""COMPUTED_VALUE"""),153.6)</f>
        <v>153.6</v>
      </c>
      <c r="H68" s="62" t="str">
        <f>IFERROR(__xludf.DUMMYFUNCTION("""COMPUTED_VALUE"""),"Hilborn, Paige")</f>
        <v>Hilborn, Paige</v>
      </c>
      <c r="I68" s="63" t="str">
        <f>IFERROR(__xludf.DUMMYFUNCTION("""COMPUTED_VALUE"""),"185g")</f>
        <v>185g</v>
      </c>
      <c r="J68" s="61" t="str">
        <f>IFERROR(__xludf.DUMMYFUNCTION("""COMPUTED_VALUE"""),"195g")</f>
        <v>195g</v>
      </c>
      <c r="K68" s="61" t="str">
        <f>IFERROR(__xludf.DUMMYFUNCTION("""COMPUTED_VALUE"""),"210g")</f>
        <v>210g</v>
      </c>
      <c r="L68" s="77">
        <f>IFERROR(__xludf.DUMMYFUNCTION("""COMPUTED_VALUE"""),210.0)</f>
        <v>210</v>
      </c>
      <c r="M68" s="65" t="str">
        <f>IFERROR(__xludf.DUMMYFUNCTION("""COMPUTED_VALUE"""),"85g")</f>
        <v>85g</v>
      </c>
      <c r="N68" s="65" t="str">
        <f>IFERROR(__xludf.DUMMYFUNCTION("""COMPUTED_VALUE"""),"100g")</f>
        <v>100g</v>
      </c>
      <c r="O68" s="65" t="str">
        <f>IFERROR(__xludf.DUMMYFUNCTION("""COMPUTED_VALUE"""),"110g")</f>
        <v>110g</v>
      </c>
      <c r="P68" s="64">
        <f>IFERROR(__xludf.DUMMYFUNCTION("""COMPUTED_VALUE"""),110.0)</f>
        <v>110</v>
      </c>
      <c r="Q68" s="65" t="str">
        <f>IFERROR(__xludf.DUMMYFUNCTION("""COMPUTED_VALUE"""),"255g")</f>
        <v>255g</v>
      </c>
      <c r="R68" s="65" t="str">
        <f>IFERROR(__xludf.DUMMYFUNCTION("""COMPUTED_VALUE"""),"265g")</f>
        <v>265g</v>
      </c>
      <c r="S68" s="65" t="str">
        <f>IFERROR(__xludf.DUMMYFUNCTION("""COMPUTED_VALUE"""),"285g")</f>
        <v>285g</v>
      </c>
      <c r="T68" s="64">
        <f>IFERROR(__xludf.DUMMYFUNCTION("""COMPUTED_VALUE"""),285.0)</f>
        <v>285</v>
      </c>
      <c r="U68" s="66">
        <f>IFERROR(__xludf.DUMMYFUNCTION("""COMPUTED_VALUE"""),605.0)</f>
        <v>605</v>
      </c>
      <c r="V68" s="78">
        <f>IFERROR(__xludf.DUMMYFUNCTION("""COMPUTED_VALUE"""),3.9388020833333335)</f>
        <v>3.938802083</v>
      </c>
    </row>
    <row r="69">
      <c r="B69" s="59" t="s">
        <v>123</v>
      </c>
      <c r="C69" s="59">
        <f>if(countif(F66:F68,F69)&gt;1,0,7)</f>
        <v>7</v>
      </c>
      <c r="D69" s="59" t="str">
        <f>IFERROR(__xludf.DUMMYFUNCTION("""COMPUTED_VALUE"""),"155 WJV")</f>
        <v>155 WJV</v>
      </c>
      <c r="E69" s="61" t="str">
        <f>IFERROR(__xludf.DUMMYFUNCTION("""COMPUTED_VALUE"""),"WJV")</f>
        <v>WJV</v>
      </c>
      <c r="F69" s="62" t="str">
        <f>IFERROR(__xludf.DUMMYFUNCTION("""COMPUTED_VALUE"""),"Standish-Sterling")</f>
        <v>Standish-Sterling</v>
      </c>
      <c r="G69" s="61">
        <f>IFERROR(__xludf.DUMMYFUNCTION("""COMPUTED_VALUE"""),154.4)</f>
        <v>154.4</v>
      </c>
      <c r="H69" s="62" t="str">
        <f>IFERROR(__xludf.DUMMYFUNCTION("""COMPUTED_VALUE"""),"Krzyzaniak, Taylor")</f>
        <v>Krzyzaniak, Taylor</v>
      </c>
      <c r="I69" s="63" t="str">
        <f>IFERROR(__xludf.DUMMYFUNCTION("""COMPUTED_VALUE"""),"185g")</f>
        <v>185g</v>
      </c>
      <c r="J69" s="61" t="str">
        <f>IFERROR(__xludf.DUMMYFUNCTION("""COMPUTED_VALUE"""),"195g")</f>
        <v>195g</v>
      </c>
      <c r="K69" s="61" t="str">
        <f>IFERROR(__xludf.DUMMYFUNCTION("""COMPUTED_VALUE"""),"210g")</f>
        <v>210g</v>
      </c>
      <c r="L69" s="77">
        <f>IFERROR(__xludf.DUMMYFUNCTION("""COMPUTED_VALUE"""),210.0)</f>
        <v>210</v>
      </c>
      <c r="M69" s="65" t="str">
        <f>IFERROR(__xludf.DUMMYFUNCTION("""COMPUTED_VALUE"""),"105g")</f>
        <v>105g</v>
      </c>
      <c r="N69" s="65" t="str">
        <f>IFERROR(__xludf.DUMMYFUNCTION("""COMPUTED_VALUE"""),"115g")</f>
        <v>115g</v>
      </c>
      <c r="O69" s="65" t="str">
        <f>IFERROR(__xludf.DUMMYFUNCTION("""COMPUTED_VALUE"""),"120g")</f>
        <v>120g</v>
      </c>
      <c r="P69" s="64">
        <f>IFERROR(__xludf.DUMMYFUNCTION("""COMPUTED_VALUE"""),120.0)</f>
        <v>120</v>
      </c>
      <c r="Q69" s="65" t="str">
        <f>IFERROR(__xludf.DUMMYFUNCTION("""COMPUTED_VALUE"""),"235g")</f>
        <v>235g</v>
      </c>
      <c r="R69" s="65" t="str">
        <f>IFERROR(__xludf.DUMMYFUNCTION("""COMPUTED_VALUE"""),"255g")</f>
        <v>255g</v>
      </c>
      <c r="S69" s="65" t="str">
        <f>IFERROR(__xludf.DUMMYFUNCTION("""COMPUTED_VALUE"""),"265g")</f>
        <v>265g</v>
      </c>
      <c r="T69" s="64">
        <f>IFERROR(__xludf.DUMMYFUNCTION("""COMPUTED_VALUE"""),265.0)</f>
        <v>265</v>
      </c>
      <c r="U69" s="66">
        <f>IFERROR(__xludf.DUMMYFUNCTION("""COMPUTED_VALUE"""),595.0)</f>
        <v>595</v>
      </c>
      <c r="V69" s="78">
        <f>IFERROR(__xludf.DUMMYFUNCTION("""COMPUTED_VALUE"""),3.8536269430051813)</f>
        <v>3.853626943</v>
      </c>
    </row>
    <row r="70">
      <c r="B70" s="59" t="s">
        <v>124</v>
      </c>
      <c r="C70" s="59">
        <f>if(countif(F66:F69,F70)&gt;1,0,6)</f>
        <v>6</v>
      </c>
      <c r="D70" s="59" t="str">
        <f>IFERROR(__xludf.DUMMYFUNCTION("""COMPUTED_VALUE"""),"155 WJV")</f>
        <v>155 WJV</v>
      </c>
      <c r="E70" s="61" t="str">
        <f>IFERROR(__xludf.DUMMYFUNCTION("""COMPUTED_VALUE"""),"WJV")</f>
        <v>WJV</v>
      </c>
      <c r="F70" s="62" t="str">
        <f>IFERROR(__xludf.DUMMYFUNCTION("""COMPUTED_VALUE"""),"Kingsley")</f>
        <v>Kingsley</v>
      </c>
      <c r="G70" s="61">
        <f>IFERROR(__xludf.DUMMYFUNCTION("""COMPUTED_VALUE"""),152.2)</f>
        <v>152.2</v>
      </c>
      <c r="H70" s="62" t="str">
        <f>IFERROR(__xludf.DUMMYFUNCTION("""COMPUTED_VALUE"""),"McIntosh, Victoria")</f>
        <v>McIntosh, Victoria</v>
      </c>
      <c r="I70" s="63" t="str">
        <f>IFERROR(__xludf.DUMMYFUNCTION("""COMPUTED_VALUE"""),"195g")</f>
        <v>195g</v>
      </c>
      <c r="J70" s="61" t="str">
        <f>IFERROR(__xludf.DUMMYFUNCTION("""COMPUTED_VALUE"""),"225g")</f>
        <v>225g</v>
      </c>
      <c r="K70" s="61" t="str">
        <f>IFERROR(__xludf.DUMMYFUNCTION("""COMPUTED_VALUE"""),"250x")</f>
        <v>250x</v>
      </c>
      <c r="L70" s="77">
        <f>IFERROR(__xludf.DUMMYFUNCTION("""COMPUTED_VALUE"""),225.0)</f>
        <v>225</v>
      </c>
      <c r="M70" s="65" t="str">
        <f>IFERROR(__xludf.DUMMYFUNCTION("""COMPUTED_VALUE"""),"105g")</f>
        <v>105g</v>
      </c>
      <c r="N70" s="65" t="str">
        <f>IFERROR(__xludf.DUMMYFUNCTION("""COMPUTED_VALUE"""),"110g")</f>
        <v>110g</v>
      </c>
      <c r="O70" s="65" t="str">
        <f>IFERROR(__xludf.DUMMYFUNCTION("""COMPUTED_VALUE"""),"115g")</f>
        <v>115g</v>
      </c>
      <c r="P70" s="64">
        <f>IFERROR(__xludf.DUMMYFUNCTION("""COMPUTED_VALUE"""),115.0)</f>
        <v>115</v>
      </c>
      <c r="Q70" s="65" t="str">
        <f>IFERROR(__xludf.DUMMYFUNCTION("""COMPUTED_VALUE"""),"205g")</f>
        <v>205g</v>
      </c>
      <c r="R70" s="65" t="str">
        <f>IFERROR(__xludf.DUMMYFUNCTION("""COMPUTED_VALUE"""),"225g")</f>
        <v>225g</v>
      </c>
      <c r="S70" s="65" t="str">
        <f>IFERROR(__xludf.DUMMYFUNCTION("""COMPUTED_VALUE"""),"240g")</f>
        <v>240g</v>
      </c>
      <c r="T70" s="64">
        <f>IFERROR(__xludf.DUMMYFUNCTION("""COMPUTED_VALUE"""),240.0)</f>
        <v>240</v>
      </c>
      <c r="U70" s="66">
        <f>IFERROR(__xludf.DUMMYFUNCTION("""COMPUTED_VALUE"""),580.0)</f>
        <v>580</v>
      </c>
      <c r="V70" s="78">
        <f>IFERROR(__xludf.DUMMYFUNCTION("""COMPUTED_VALUE"""),3.8107752956636007)</f>
        <v>3.810775296</v>
      </c>
    </row>
    <row r="71">
      <c r="B71" s="59" t="s">
        <v>125</v>
      </c>
      <c r="C71" s="59">
        <f>if(countif(F66:F70,F71)&gt;1,0,5)</f>
        <v>5</v>
      </c>
      <c r="D71" s="59" t="str">
        <f>IFERROR(__xludf.DUMMYFUNCTION("""COMPUTED_VALUE"""),"155 WJV")</f>
        <v>155 WJV</v>
      </c>
      <c r="E71" s="61" t="str">
        <f>IFERROR(__xludf.DUMMYFUNCTION("""COMPUTED_VALUE"""),"WJV")</f>
        <v>WJV</v>
      </c>
      <c r="F71" s="62" t="str">
        <f>IFERROR(__xludf.DUMMYFUNCTION("""COMPUTED_VALUE"""),"Flushing")</f>
        <v>Flushing</v>
      </c>
      <c r="G71" s="61">
        <f>IFERROR(__xludf.DUMMYFUNCTION("""COMPUTED_VALUE"""),152.4)</f>
        <v>152.4</v>
      </c>
      <c r="H71" s="62" t="str">
        <f>IFERROR(__xludf.DUMMYFUNCTION("""COMPUTED_VALUE"""),"Campbell, Maddie")</f>
        <v>Campbell, Maddie</v>
      </c>
      <c r="I71" s="63" t="str">
        <f>IFERROR(__xludf.DUMMYFUNCTION("""COMPUTED_VALUE"""),"210g")</f>
        <v>210g</v>
      </c>
      <c r="J71" s="61" t="str">
        <f>IFERROR(__xludf.DUMMYFUNCTION("""COMPUTED_VALUE"""),"220g")</f>
        <v>220g</v>
      </c>
      <c r="K71" s="61" t="str">
        <f>IFERROR(__xludf.DUMMYFUNCTION("""COMPUTED_VALUE"""),"225g")</f>
        <v>225g</v>
      </c>
      <c r="L71" s="77">
        <f>IFERROR(__xludf.DUMMYFUNCTION("""COMPUTED_VALUE"""),225.0)</f>
        <v>225</v>
      </c>
      <c r="M71" s="65" t="str">
        <f>IFERROR(__xludf.DUMMYFUNCTION("""COMPUTED_VALUE"""),"100g")</f>
        <v>100g</v>
      </c>
      <c r="N71" s="65" t="str">
        <f>IFERROR(__xludf.DUMMYFUNCTION("""COMPUTED_VALUE"""),"105g")</f>
        <v>105g</v>
      </c>
      <c r="O71" s="65" t="str">
        <f>IFERROR(__xludf.DUMMYFUNCTION("""COMPUTED_VALUE"""),"115x")</f>
        <v>115x</v>
      </c>
      <c r="P71" s="64">
        <f>IFERROR(__xludf.DUMMYFUNCTION("""COMPUTED_VALUE"""),105.0)</f>
        <v>105</v>
      </c>
      <c r="Q71" s="65" t="str">
        <f>IFERROR(__xludf.DUMMYFUNCTION("""COMPUTED_VALUE"""),"225g")</f>
        <v>225g</v>
      </c>
      <c r="R71" s="65" t="str">
        <f>IFERROR(__xludf.DUMMYFUNCTION("""COMPUTED_VALUE"""),"235x")</f>
        <v>235x</v>
      </c>
      <c r="S71" s="65" t="str">
        <f>IFERROR(__xludf.DUMMYFUNCTION("""COMPUTED_VALUE"""),"235x")</f>
        <v>235x</v>
      </c>
      <c r="T71" s="64">
        <f>IFERROR(__xludf.DUMMYFUNCTION("""COMPUTED_VALUE"""),225.0)</f>
        <v>225</v>
      </c>
      <c r="U71" s="66">
        <f>IFERROR(__xludf.DUMMYFUNCTION("""COMPUTED_VALUE"""),555.0)</f>
        <v>555</v>
      </c>
      <c r="V71" s="78">
        <f>IFERROR(__xludf.DUMMYFUNCTION("""COMPUTED_VALUE"""),3.6417322834645667)</f>
        <v>3.641732283</v>
      </c>
    </row>
    <row r="72">
      <c r="B72" s="59" t="s">
        <v>126</v>
      </c>
      <c r="C72" s="59">
        <f>if(countif(F66:F71,F72)&gt;1,0,4)</f>
        <v>4</v>
      </c>
      <c r="D72" s="59" t="str">
        <f>IFERROR(__xludf.DUMMYFUNCTION("""COMPUTED_VALUE"""),"155 WJV")</f>
        <v>155 WJV</v>
      </c>
      <c r="E72" s="61" t="str">
        <f>IFERROR(__xludf.DUMMYFUNCTION("""COMPUTED_VALUE"""),"WJV")</f>
        <v>WJV</v>
      </c>
      <c r="F72" s="62" t="str">
        <f>IFERROR(__xludf.DUMMYFUNCTION("""COMPUTED_VALUE"""),"Kelloggsville")</f>
        <v>Kelloggsville</v>
      </c>
      <c r="G72" s="61">
        <f>IFERROR(__xludf.DUMMYFUNCTION("""COMPUTED_VALUE"""),154.8)</f>
        <v>154.8</v>
      </c>
      <c r="H72" s="62" t="str">
        <f>IFERROR(__xludf.DUMMYFUNCTION("""COMPUTED_VALUE"""),"Marasigan, Rhea")</f>
        <v>Marasigan, Rhea</v>
      </c>
      <c r="I72" s="63" t="str">
        <f>IFERROR(__xludf.DUMMYFUNCTION("""COMPUTED_VALUE"""),"155g")</f>
        <v>155g</v>
      </c>
      <c r="J72" s="61" t="str">
        <f>IFERROR(__xludf.DUMMYFUNCTION("""COMPUTED_VALUE"""),"165g")</f>
        <v>165g</v>
      </c>
      <c r="K72" s="61" t="str">
        <f>IFERROR(__xludf.DUMMYFUNCTION("""COMPUTED_VALUE"""),"180g")</f>
        <v>180g</v>
      </c>
      <c r="L72" s="77">
        <f>IFERROR(__xludf.DUMMYFUNCTION("""COMPUTED_VALUE"""),180.0)</f>
        <v>180</v>
      </c>
      <c r="M72" s="65" t="str">
        <f>IFERROR(__xludf.DUMMYFUNCTION("""COMPUTED_VALUE"""),"85g")</f>
        <v>85g</v>
      </c>
      <c r="N72" s="65" t="str">
        <f>IFERROR(__xludf.DUMMYFUNCTION("""COMPUTED_VALUE"""),"95g")</f>
        <v>95g</v>
      </c>
      <c r="O72" s="65" t="str">
        <f>IFERROR(__xludf.DUMMYFUNCTION("""COMPUTED_VALUE"""),"100x")</f>
        <v>100x</v>
      </c>
      <c r="P72" s="64">
        <f>IFERROR(__xludf.DUMMYFUNCTION("""COMPUTED_VALUE"""),95.0)</f>
        <v>95</v>
      </c>
      <c r="Q72" s="65" t="str">
        <f>IFERROR(__xludf.DUMMYFUNCTION("""COMPUTED_VALUE"""),"225g")</f>
        <v>225g</v>
      </c>
      <c r="R72" s="65" t="str">
        <f>IFERROR(__xludf.DUMMYFUNCTION("""COMPUTED_VALUE"""),"250g")</f>
        <v>250g</v>
      </c>
      <c r="S72" s="65" t="str">
        <f>IFERROR(__xludf.DUMMYFUNCTION("""COMPUTED_VALUE"""),"265g")</f>
        <v>265g</v>
      </c>
      <c r="T72" s="64">
        <f>IFERROR(__xludf.DUMMYFUNCTION("""COMPUTED_VALUE"""),265.0)</f>
        <v>265</v>
      </c>
      <c r="U72" s="66">
        <f>IFERROR(__xludf.DUMMYFUNCTION("""COMPUTED_VALUE"""),540.0)</f>
        <v>540</v>
      </c>
      <c r="V72" s="78">
        <f>IFERROR(__xludf.DUMMYFUNCTION("""COMPUTED_VALUE"""),3.4883720930232553)</f>
        <v>3.488372093</v>
      </c>
    </row>
    <row r="73">
      <c r="B73" s="59" t="s">
        <v>127</v>
      </c>
      <c r="C73" s="59">
        <f>if(countif(F66:F72,F73)&gt;1,0,3)</f>
        <v>3</v>
      </c>
      <c r="D73" s="59" t="str">
        <f>IFERROR(__xludf.DUMMYFUNCTION("""COMPUTED_VALUE"""),"155 WJV")</f>
        <v>155 WJV</v>
      </c>
      <c r="E73" s="61" t="str">
        <f>IFERROR(__xludf.DUMMYFUNCTION("""COMPUTED_VALUE"""),"WJV")</f>
        <v>WJV</v>
      </c>
      <c r="F73" s="62" t="str">
        <f>IFERROR(__xludf.DUMMYFUNCTION("""COMPUTED_VALUE"""),"Adrian")</f>
        <v>Adrian</v>
      </c>
      <c r="G73" s="61">
        <f>IFERROR(__xludf.DUMMYFUNCTION("""COMPUTED_VALUE"""),149.4)</f>
        <v>149.4</v>
      </c>
      <c r="H73" s="62" t="str">
        <f>IFERROR(__xludf.DUMMYFUNCTION("""COMPUTED_VALUE"""),"Brown, Paris")</f>
        <v>Brown, Paris</v>
      </c>
      <c r="I73" s="63" t="str">
        <f>IFERROR(__xludf.DUMMYFUNCTION("""COMPUTED_VALUE"""),"155g")</f>
        <v>155g</v>
      </c>
      <c r="J73" s="61" t="str">
        <f>IFERROR(__xludf.DUMMYFUNCTION("""COMPUTED_VALUE"""),"165g")</f>
        <v>165g</v>
      </c>
      <c r="K73" s="61" t="str">
        <f>IFERROR(__xludf.DUMMYFUNCTION("""COMPUTED_VALUE"""),"180g")</f>
        <v>180g</v>
      </c>
      <c r="L73" s="77">
        <f>IFERROR(__xludf.DUMMYFUNCTION("""COMPUTED_VALUE"""),180.0)</f>
        <v>180</v>
      </c>
      <c r="M73" s="65" t="str">
        <f>IFERROR(__xludf.DUMMYFUNCTION("""COMPUTED_VALUE"""),"105g")</f>
        <v>105g</v>
      </c>
      <c r="N73" s="65" t="str">
        <f>IFERROR(__xludf.DUMMYFUNCTION("""COMPUTED_VALUE"""),"110x")</f>
        <v>110x</v>
      </c>
      <c r="O73" s="65" t="str">
        <f>IFERROR(__xludf.DUMMYFUNCTION("""COMPUTED_VALUE"""),"110x")</f>
        <v>110x</v>
      </c>
      <c r="P73" s="64">
        <f>IFERROR(__xludf.DUMMYFUNCTION("""COMPUTED_VALUE"""),105.0)</f>
        <v>105</v>
      </c>
      <c r="Q73" s="65" t="str">
        <f>IFERROR(__xludf.DUMMYFUNCTION("""COMPUTED_VALUE"""),"250x")</f>
        <v>250x</v>
      </c>
      <c r="R73" s="65" t="str">
        <f>IFERROR(__xludf.DUMMYFUNCTION("""COMPUTED_VALUE"""),"250g")</f>
        <v>250g</v>
      </c>
      <c r="S73" s="65" t="str">
        <f>IFERROR(__xludf.DUMMYFUNCTION("""COMPUTED_VALUE"""),"260x")</f>
        <v>260x</v>
      </c>
      <c r="T73" s="64">
        <f>IFERROR(__xludf.DUMMYFUNCTION("""COMPUTED_VALUE"""),250.0)</f>
        <v>250</v>
      </c>
      <c r="U73" s="66">
        <f>IFERROR(__xludf.DUMMYFUNCTION("""COMPUTED_VALUE"""),535.0)</f>
        <v>535</v>
      </c>
      <c r="V73" s="78">
        <f>IFERROR(__xludf.DUMMYFUNCTION("""COMPUTED_VALUE"""),3.5809906291834)</f>
        <v>3.580990629</v>
      </c>
    </row>
    <row r="74">
      <c r="B74" s="59" t="s">
        <v>128</v>
      </c>
      <c r="C74" s="59">
        <f>if(countif(F66:F73,F74)&gt;1,0,2)</f>
        <v>2</v>
      </c>
      <c r="D74" s="59" t="str">
        <f>IFERROR(__xludf.DUMMYFUNCTION("""COMPUTED_VALUE"""),"155 WJV")</f>
        <v>155 WJV</v>
      </c>
      <c r="E74" s="61" t="str">
        <f>IFERROR(__xludf.DUMMYFUNCTION("""COMPUTED_VALUE"""),"WJV")</f>
        <v>WJV</v>
      </c>
      <c r="F74" s="62" t="str">
        <f>IFERROR(__xludf.DUMMYFUNCTION("""COMPUTED_VALUE"""),"Cros-Lex")</f>
        <v>Cros-Lex</v>
      </c>
      <c r="G74" s="61">
        <f>IFERROR(__xludf.DUMMYFUNCTION("""COMPUTED_VALUE"""),150.6)</f>
        <v>150.6</v>
      </c>
      <c r="H74" s="62" t="str">
        <f>IFERROR(__xludf.DUMMYFUNCTION("""COMPUTED_VALUE"""),"Wright, Alyssa")</f>
        <v>Wright, Alyssa</v>
      </c>
      <c r="I74" s="63" t="str">
        <f>IFERROR(__xludf.DUMMYFUNCTION("""COMPUTED_VALUE"""),"185g")</f>
        <v>185g</v>
      </c>
      <c r="J74" s="61" t="str">
        <f>IFERROR(__xludf.DUMMYFUNCTION("""COMPUTED_VALUE"""),"200g")</f>
        <v>200g</v>
      </c>
      <c r="K74" s="61" t="str">
        <f>IFERROR(__xludf.DUMMYFUNCTION("""COMPUTED_VALUE"""),"215x")</f>
        <v>215x</v>
      </c>
      <c r="L74" s="77">
        <f>IFERROR(__xludf.DUMMYFUNCTION("""COMPUTED_VALUE"""),200.0)</f>
        <v>200</v>
      </c>
      <c r="M74" s="65" t="str">
        <f>IFERROR(__xludf.DUMMYFUNCTION("""COMPUTED_VALUE"""),"105g")</f>
        <v>105g</v>
      </c>
      <c r="N74" s="65" t="str">
        <f>IFERROR(__xludf.DUMMYFUNCTION("""COMPUTED_VALUE"""),"110x")</f>
        <v>110x</v>
      </c>
      <c r="O74" s="65" t="str">
        <f>IFERROR(__xludf.DUMMYFUNCTION("""COMPUTED_VALUE"""),"110x")</f>
        <v>110x</v>
      </c>
      <c r="P74" s="64">
        <f>IFERROR(__xludf.DUMMYFUNCTION("""COMPUTED_VALUE"""),105.0)</f>
        <v>105</v>
      </c>
      <c r="Q74" s="65" t="str">
        <f>IFERROR(__xludf.DUMMYFUNCTION("""COMPUTED_VALUE"""),"210g")</f>
        <v>210g</v>
      </c>
      <c r="R74" s="65" t="str">
        <f>IFERROR(__xludf.DUMMYFUNCTION("""COMPUTED_VALUE"""),"230g")</f>
        <v>230g</v>
      </c>
      <c r="S74" s="65" t="str">
        <f>IFERROR(__xludf.DUMMYFUNCTION("""COMPUTED_VALUE"""),"240x")</f>
        <v>240x</v>
      </c>
      <c r="T74" s="64">
        <f>IFERROR(__xludf.DUMMYFUNCTION("""COMPUTED_VALUE"""),230.0)</f>
        <v>230</v>
      </c>
      <c r="U74" s="66">
        <f>IFERROR(__xludf.DUMMYFUNCTION("""COMPUTED_VALUE"""),535.0)</f>
        <v>535</v>
      </c>
      <c r="V74" s="78">
        <f>IFERROR(__xludf.DUMMYFUNCTION("""COMPUTED_VALUE"""),3.552456839309429)</f>
        <v>3.552456839</v>
      </c>
    </row>
    <row r="75">
      <c r="B75" s="59" t="s">
        <v>129</v>
      </c>
      <c r="C75" s="59">
        <f>if(countif(F66:F74,F75)&gt;1,0,1)</f>
        <v>1</v>
      </c>
      <c r="D75" s="59" t="str">
        <f>IFERROR(__xludf.DUMMYFUNCTION("""COMPUTED_VALUE"""),"155 WJV")</f>
        <v>155 WJV</v>
      </c>
      <c r="E75" s="61" t="str">
        <f>IFERROR(__xludf.DUMMYFUNCTION("""COMPUTED_VALUE"""),"WJV")</f>
        <v>WJV</v>
      </c>
      <c r="F75" s="62" t="str">
        <f>IFERROR(__xludf.DUMMYFUNCTION("""COMPUTED_VALUE"""),"Goodrich")</f>
        <v>Goodrich</v>
      </c>
      <c r="G75" s="61">
        <f>IFERROR(__xludf.DUMMYFUNCTION("""COMPUTED_VALUE"""),149.0)</f>
        <v>149</v>
      </c>
      <c r="H75" s="62" t="str">
        <f>IFERROR(__xludf.DUMMYFUNCTION("""COMPUTED_VALUE"""),"Edenburn, Evelyn")</f>
        <v>Edenburn, Evelyn</v>
      </c>
      <c r="I75" s="63" t="str">
        <f>IFERROR(__xludf.DUMMYFUNCTION("""COMPUTED_VALUE"""),"185g")</f>
        <v>185g</v>
      </c>
      <c r="J75" s="61" t="str">
        <f>IFERROR(__xludf.DUMMYFUNCTION("""COMPUTED_VALUE"""),"205x")</f>
        <v>205x</v>
      </c>
      <c r="K75" s="61" t="str">
        <f>IFERROR(__xludf.DUMMYFUNCTION("""COMPUTED_VALUE"""),"205g")</f>
        <v>205g</v>
      </c>
      <c r="L75" s="77">
        <f>IFERROR(__xludf.DUMMYFUNCTION("""COMPUTED_VALUE"""),205.0)</f>
        <v>205</v>
      </c>
      <c r="M75" s="65" t="str">
        <f>IFERROR(__xludf.DUMMYFUNCTION("""COMPUTED_VALUE"""),"85g")</f>
        <v>85g</v>
      </c>
      <c r="N75" s="65" t="str">
        <f>IFERROR(__xludf.DUMMYFUNCTION("""COMPUTED_VALUE"""),"95x")</f>
        <v>95x</v>
      </c>
      <c r="O75" s="65" t="str">
        <f>IFERROR(__xludf.DUMMYFUNCTION("""COMPUTED_VALUE"""),"95x")</f>
        <v>95x</v>
      </c>
      <c r="P75" s="64">
        <f>IFERROR(__xludf.DUMMYFUNCTION("""COMPUTED_VALUE"""),85.0)</f>
        <v>85</v>
      </c>
      <c r="Q75" s="65" t="str">
        <f>IFERROR(__xludf.DUMMYFUNCTION("""COMPUTED_VALUE"""),"225g")</f>
        <v>225g</v>
      </c>
      <c r="R75" s="65" t="str">
        <f>IFERROR(__xludf.DUMMYFUNCTION("""COMPUTED_VALUE"""),"240x")</f>
        <v>240x</v>
      </c>
      <c r="S75" s="65" t="str">
        <f>IFERROR(__xludf.DUMMYFUNCTION("""COMPUTED_VALUE"""),"240g")</f>
        <v>240g</v>
      </c>
      <c r="T75" s="64">
        <f>IFERROR(__xludf.DUMMYFUNCTION("""COMPUTED_VALUE"""),240.0)</f>
        <v>240</v>
      </c>
      <c r="U75" s="66">
        <f>IFERROR(__xludf.DUMMYFUNCTION("""COMPUTED_VALUE"""),530.0)</f>
        <v>530</v>
      </c>
      <c r="V75" s="78">
        <f>IFERROR(__xludf.DUMMYFUNCTION("""COMPUTED_VALUE"""),3.557046979865772)</f>
        <v>3.55704698</v>
      </c>
    </row>
    <row r="76">
      <c r="A76" s="73">
        <v>165.0</v>
      </c>
      <c r="B76" s="68" t="s">
        <v>120</v>
      </c>
      <c r="C76" s="68">
        <v>12.0</v>
      </c>
      <c r="D76" s="68" t="str">
        <f>IFERROR(__xludf.DUMMYFUNCTION("ARRAY_CONSTRAIN(sort(filter(WJV_Tie_Breaker!D6:X285,WJV_Tie_Breaker!D6:D285=""165 WJV""),18,false,4,true,20,false,21,true),10,19)"),"165 WJV")</f>
        <v>165 WJV</v>
      </c>
      <c r="E76" s="69" t="str">
        <f>IFERROR(__xludf.DUMMYFUNCTION("""COMPUTED_VALUE"""),"WJV")</f>
        <v>WJV</v>
      </c>
      <c r="F76" s="70" t="str">
        <f>IFERROR(__xludf.DUMMYFUNCTION("""COMPUTED_VALUE"""),"Grand Blanc")</f>
        <v>Grand Blanc</v>
      </c>
      <c r="G76" s="69">
        <f>IFERROR(__xludf.DUMMYFUNCTION("""COMPUTED_VALUE"""),163.9)</f>
        <v>163.9</v>
      </c>
      <c r="H76" s="70" t="str">
        <f>IFERROR(__xludf.DUMMYFUNCTION("""COMPUTED_VALUE"""),"Petiprin, Annie")</f>
        <v>Petiprin, Annie</v>
      </c>
      <c r="I76" s="71" t="str">
        <f>IFERROR(__xludf.DUMMYFUNCTION("""COMPUTED_VALUE"""),"205g")</f>
        <v>205g</v>
      </c>
      <c r="J76" s="69" t="str">
        <f>IFERROR(__xludf.DUMMYFUNCTION("""COMPUTED_VALUE"""),"225g")</f>
        <v>225g</v>
      </c>
      <c r="K76" s="69" t="str">
        <f>IFERROR(__xludf.DUMMYFUNCTION("""COMPUTED_VALUE"""),"245g")</f>
        <v>245g</v>
      </c>
      <c r="L76" s="77">
        <f>IFERROR(__xludf.DUMMYFUNCTION("""COMPUTED_VALUE"""),245.0)</f>
        <v>245</v>
      </c>
      <c r="M76" s="72" t="str">
        <f>IFERROR(__xludf.DUMMYFUNCTION("""COMPUTED_VALUE"""),"85g")</f>
        <v>85g</v>
      </c>
      <c r="N76" s="72" t="str">
        <f>IFERROR(__xludf.DUMMYFUNCTION("""COMPUTED_VALUE"""),"105g")</f>
        <v>105g</v>
      </c>
      <c r="O76" s="72" t="str">
        <f>IFERROR(__xludf.DUMMYFUNCTION("""COMPUTED_VALUE"""),"125x")</f>
        <v>125x</v>
      </c>
      <c r="P76" s="64">
        <f>IFERROR(__xludf.DUMMYFUNCTION("""COMPUTED_VALUE"""),105.0)</f>
        <v>105</v>
      </c>
      <c r="Q76" s="72" t="str">
        <f>IFERROR(__xludf.DUMMYFUNCTION("""COMPUTED_VALUE"""),"225g")</f>
        <v>225g</v>
      </c>
      <c r="R76" s="72" t="str">
        <f>IFERROR(__xludf.DUMMYFUNCTION("""COMPUTED_VALUE"""),"250g")</f>
        <v>250g</v>
      </c>
      <c r="S76" s="72" t="str">
        <f>IFERROR(__xludf.DUMMYFUNCTION("""COMPUTED_VALUE"""),"290g")</f>
        <v>290g</v>
      </c>
      <c r="T76" s="64">
        <f>IFERROR(__xludf.DUMMYFUNCTION("""COMPUTED_VALUE"""),290.0)</f>
        <v>290</v>
      </c>
      <c r="U76" s="66">
        <f>IFERROR(__xludf.DUMMYFUNCTION("""COMPUTED_VALUE"""),640.0)</f>
        <v>640</v>
      </c>
      <c r="V76" s="79">
        <f>IFERROR(__xludf.DUMMYFUNCTION("""COMPUTED_VALUE"""),3.9048200122025625)</f>
        <v>3.904820012</v>
      </c>
    </row>
    <row r="77">
      <c r="B77" s="68" t="s">
        <v>121</v>
      </c>
      <c r="C77" s="68">
        <v>9.0</v>
      </c>
      <c r="D77" s="68" t="str">
        <f>IFERROR(__xludf.DUMMYFUNCTION("""COMPUTED_VALUE"""),"165 WJV")</f>
        <v>165 WJV</v>
      </c>
      <c r="E77" s="69" t="str">
        <f>IFERROR(__xludf.DUMMYFUNCTION("""COMPUTED_VALUE"""),"WJV")</f>
        <v>WJV</v>
      </c>
      <c r="F77" s="70" t="str">
        <f>IFERROR(__xludf.DUMMYFUNCTION("""COMPUTED_VALUE"""),"Central Lake")</f>
        <v>Central Lake</v>
      </c>
      <c r="G77" s="69">
        <f>IFERROR(__xludf.DUMMYFUNCTION("""COMPUTED_VALUE"""),163.4)</f>
        <v>163.4</v>
      </c>
      <c r="H77" s="70" t="str">
        <f>IFERROR(__xludf.DUMMYFUNCTION("""COMPUTED_VALUE"""),"Shaw, Angel")</f>
        <v>Shaw, Angel</v>
      </c>
      <c r="I77" s="71" t="str">
        <f>IFERROR(__xludf.DUMMYFUNCTION("""COMPUTED_VALUE"""),"195g")</f>
        <v>195g</v>
      </c>
      <c r="J77" s="69" t="str">
        <f>IFERROR(__xludf.DUMMYFUNCTION("""COMPUTED_VALUE"""),"210g")</f>
        <v>210g</v>
      </c>
      <c r="K77" s="69" t="str">
        <f>IFERROR(__xludf.DUMMYFUNCTION("""COMPUTED_VALUE"""),"220x")</f>
        <v>220x</v>
      </c>
      <c r="L77" s="77">
        <f>IFERROR(__xludf.DUMMYFUNCTION("""COMPUTED_VALUE"""),210.0)</f>
        <v>210</v>
      </c>
      <c r="M77" s="72" t="str">
        <f>IFERROR(__xludf.DUMMYFUNCTION("""COMPUTED_VALUE"""),"115g")</f>
        <v>115g</v>
      </c>
      <c r="N77" s="72" t="str">
        <f>IFERROR(__xludf.DUMMYFUNCTION("""COMPUTED_VALUE"""),"125g")</f>
        <v>125g</v>
      </c>
      <c r="O77" s="72" t="str">
        <f>IFERROR(__xludf.DUMMYFUNCTION("""COMPUTED_VALUE"""),"130x")</f>
        <v>130x</v>
      </c>
      <c r="P77" s="64">
        <f>IFERROR(__xludf.DUMMYFUNCTION("""COMPUTED_VALUE"""),125.0)</f>
        <v>125</v>
      </c>
      <c r="Q77" s="72" t="str">
        <f>IFERROR(__xludf.DUMMYFUNCTION("""COMPUTED_VALUE"""),"250g")</f>
        <v>250g</v>
      </c>
      <c r="R77" s="72" t="str">
        <f>IFERROR(__xludf.DUMMYFUNCTION("""COMPUTED_VALUE"""),"270g")</f>
        <v>270g</v>
      </c>
      <c r="S77" s="72" t="str">
        <f>IFERROR(__xludf.DUMMYFUNCTION("""COMPUTED_VALUE"""),"285g")</f>
        <v>285g</v>
      </c>
      <c r="T77" s="64">
        <f>IFERROR(__xludf.DUMMYFUNCTION("""COMPUTED_VALUE"""),285.0)</f>
        <v>285</v>
      </c>
      <c r="U77" s="66">
        <f>IFERROR(__xludf.DUMMYFUNCTION("""COMPUTED_VALUE"""),620.0)</f>
        <v>620</v>
      </c>
      <c r="V77" s="79">
        <f>IFERROR(__xludf.DUMMYFUNCTION("""COMPUTED_VALUE"""),3.7943696450428397)</f>
        <v>3.794369645</v>
      </c>
    </row>
    <row r="78">
      <c r="B78" s="68" t="s">
        <v>122</v>
      </c>
      <c r="C78" s="68">
        <f>if(countif(F76:F77,F78)&gt;1,0,8)</f>
        <v>8</v>
      </c>
      <c r="D78" s="68" t="str">
        <f>IFERROR(__xludf.DUMMYFUNCTION("""COMPUTED_VALUE"""),"165 WJV")</f>
        <v>165 WJV</v>
      </c>
      <c r="E78" s="69" t="str">
        <f>IFERROR(__xludf.DUMMYFUNCTION("""COMPUTED_VALUE"""),"WJV")</f>
        <v>WJV</v>
      </c>
      <c r="F78" s="70" t="str">
        <f>IFERROR(__xludf.DUMMYFUNCTION("""COMPUTED_VALUE"""),"Davison")</f>
        <v>Davison</v>
      </c>
      <c r="G78" s="69">
        <f>IFERROR(__xludf.DUMMYFUNCTION("""COMPUTED_VALUE"""),155.6)</f>
        <v>155.6</v>
      </c>
      <c r="H78" s="70" t="str">
        <f>IFERROR(__xludf.DUMMYFUNCTION("""COMPUTED_VALUE"""),"Schmidt, Jessica")</f>
        <v>Schmidt, Jessica</v>
      </c>
      <c r="I78" s="71" t="str">
        <f>IFERROR(__xludf.DUMMYFUNCTION("""COMPUTED_VALUE"""),"215g")</f>
        <v>215g</v>
      </c>
      <c r="J78" s="69" t="str">
        <f>IFERROR(__xludf.DUMMYFUNCTION("""COMPUTED_VALUE"""),"225g")</f>
        <v>225g</v>
      </c>
      <c r="K78" s="69" t="str">
        <f>IFERROR(__xludf.DUMMYFUNCTION("""COMPUTED_VALUE"""),"235x")</f>
        <v>235x</v>
      </c>
      <c r="L78" s="77">
        <f>IFERROR(__xludf.DUMMYFUNCTION("""COMPUTED_VALUE"""),225.0)</f>
        <v>225</v>
      </c>
      <c r="M78" s="72" t="str">
        <f>IFERROR(__xludf.DUMMYFUNCTION("""COMPUTED_VALUE"""),"115g")</f>
        <v>115g</v>
      </c>
      <c r="N78" s="72" t="str">
        <f>IFERROR(__xludf.DUMMYFUNCTION("""COMPUTED_VALUE"""),"125g")</f>
        <v>125g</v>
      </c>
      <c r="O78" s="72" t="str">
        <f>IFERROR(__xludf.DUMMYFUNCTION("""COMPUTED_VALUE"""),"135x")</f>
        <v>135x</v>
      </c>
      <c r="P78" s="64">
        <f>IFERROR(__xludf.DUMMYFUNCTION("""COMPUTED_VALUE"""),125.0)</f>
        <v>125</v>
      </c>
      <c r="Q78" s="72" t="str">
        <f>IFERROR(__xludf.DUMMYFUNCTION("""COMPUTED_VALUE"""),"225g")</f>
        <v>225g</v>
      </c>
      <c r="R78" s="72" t="str">
        <f>IFERROR(__xludf.DUMMYFUNCTION("""COMPUTED_VALUE"""),"250g")</f>
        <v>250g</v>
      </c>
      <c r="S78" s="72" t="str">
        <f>IFERROR(__xludf.DUMMYFUNCTION("""COMPUTED_VALUE"""),"280x")</f>
        <v>280x</v>
      </c>
      <c r="T78" s="64">
        <f>IFERROR(__xludf.DUMMYFUNCTION("""COMPUTED_VALUE"""),250.0)</f>
        <v>250</v>
      </c>
      <c r="U78" s="66">
        <f>IFERROR(__xludf.DUMMYFUNCTION("""COMPUTED_VALUE"""),600.0)</f>
        <v>600</v>
      </c>
      <c r="V78" s="79">
        <f>IFERROR(__xludf.DUMMYFUNCTION("""COMPUTED_VALUE"""),3.856041131105399)</f>
        <v>3.856041131</v>
      </c>
    </row>
    <row r="79">
      <c r="B79" s="68" t="s">
        <v>123</v>
      </c>
      <c r="C79" s="68">
        <f>if(countif(F76:F78,F79)&gt;1,0,7)</f>
        <v>7</v>
      </c>
      <c r="D79" s="68" t="str">
        <f>IFERROR(__xludf.DUMMYFUNCTION("""COMPUTED_VALUE"""),"165 WJV")</f>
        <v>165 WJV</v>
      </c>
      <c r="E79" s="69" t="str">
        <f>IFERROR(__xludf.DUMMYFUNCTION("""COMPUTED_VALUE"""),"WJV")</f>
        <v>WJV</v>
      </c>
      <c r="F79" s="70" t="str">
        <f>IFERROR(__xludf.DUMMYFUNCTION("""COMPUTED_VALUE"""),"Cros-Lex")</f>
        <v>Cros-Lex</v>
      </c>
      <c r="G79" s="69">
        <f>IFERROR(__xludf.DUMMYFUNCTION("""COMPUTED_VALUE"""),161.8)</f>
        <v>161.8</v>
      </c>
      <c r="H79" s="70" t="str">
        <f>IFERROR(__xludf.DUMMYFUNCTION("""COMPUTED_VALUE"""),"VanCamp, Julie")</f>
        <v>VanCamp, Julie</v>
      </c>
      <c r="I79" s="71" t="str">
        <f>IFERROR(__xludf.DUMMYFUNCTION("""COMPUTED_VALUE"""),"230g")</f>
        <v>230g</v>
      </c>
      <c r="J79" s="69" t="str">
        <f>IFERROR(__xludf.DUMMYFUNCTION("""COMPUTED_VALUE"""),"245g")</f>
        <v>245g</v>
      </c>
      <c r="K79" s="69" t="str">
        <f>IFERROR(__xludf.DUMMYFUNCTION("""COMPUTED_VALUE"""),"260x")</f>
        <v>260x</v>
      </c>
      <c r="L79" s="77">
        <f>IFERROR(__xludf.DUMMYFUNCTION("""COMPUTED_VALUE"""),245.0)</f>
        <v>245</v>
      </c>
      <c r="M79" s="72" t="str">
        <f>IFERROR(__xludf.DUMMYFUNCTION("""COMPUTED_VALUE"""),"100g")</f>
        <v>100g</v>
      </c>
      <c r="N79" s="72" t="str">
        <f>IFERROR(__xludf.DUMMYFUNCTION("""COMPUTED_VALUE"""),"110x")</f>
        <v>110x</v>
      </c>
      <c r="O79" s="72" t="str">
        <f>IFERROR(__xludf.DUMMYFUNCTION("""COMPUTED_VALUE"""),"110x")</f>
        <v>110x</v>
      </c>
      <c r="P79" s="64">
        <f>IFERROR(__xludf.DUMMYFUNCTION("""COMPUTED_VALUE"""),100.0)</f>
        <v>100</v>
      </c>
      <c r="Q79" s="72" t="str">
        <f>IFERROR(__xludf.DUMMYFUNCTION("""COMPUTED_VALUE"""),"220g")</f>
        <v>220g</v>
      </c>
      <c r="R79" s="72" t="str">
        <f>IFERROR(__xludf.DUMMYFUNCTION("""COMPUTED_VALUE"""),"235x")</f>
        <v>235x</v>
      </c>
      <c r="S79" s="72" t="str">
        <f>IFERROR(__xludf.DUMMYFUNCTION("""COMPUTED_VALUE"""),"235g")</f>
        <v>235g</v>
      </c>
      <c r="T79" s="64">
        <f>IFERROR(__xludf.DUMMYFUNCTION("""COMPUTED_VALUE"""),235.0)</f>
        <v>235</v>
      </c>
      <c r="U79" s="66">
        <f>IFERROR(__xludf.DUMMYFUNCTION("""COMPUTED_VALUE"""),580.0)</f>
        <v>580</v>
      </c>
      <c r="V79" s="79">
        <f>IFERROR(__xludf.DUMMYFUNCTION("""COMPUTED_VALUE"""),3.584672435105068)</f>
        <v>3.584672435</v>
      </c>
    </row>
    <row r="80">
      <c r="B80" s="68" t="s">
        <v>124</v>
      </c>
      <c r="C80" s="68">
        <f>if(countif(F76:F79,F80)&gt;1,0,6)</f>
        <v>6</v>
      </c>
      <c r="D80" s="68" t="str">
        <f>IFERROR(__xludf.DUMMYFUNCTION("""COMPUTED_VALUE"""),"165 WJV")</f>
        <v>165 WJV</v>
      </c>
      <c r="E80" s="69" t="str">
        <f>IFERROR(__xludf.DUMMYFUNCTION("""COMPUTED_VALUE"""),"WJV")</f>
        <v>WJV</v>
      </c>
      <c r="F80" s="70" t="str">
        <f>IFERROR(__xludf.DUMMYFUNCTION("""COMPUTED_VALUE"""),"Central Montcalm")</f>
        <v>Central Montcalm</v>
      </c>
      <c r="G80" s="69">
        <f>IFERROR(__xludf.DUMMYFUNCTION("""COMPUTED_VALUE"""),162.8)</f>
        <v>162.8</v>
      </c>
      <c r="H80" s="70" t="str">
        <f>IFERROR(__xludf.DUMMYFUNCTION("""COMPUTED_VALUE"""),"Hoover, Lauren")</f>
        <v>Hoover, Lauren</v>
      </c>
      <c r="I80" s="71" t="str">
        <f>IFERROR(__xludf.DUMMYFUNCTION("""COMPUTED_VALUE"""),"215x")</f>
        <v>215x</v>
      </c>
      <c r="J80" s="69" t="str">
        <f>IFERROR(__xludf.DUMMYFUNCTION("""COMPUTED_VALUE"""),"225g")</f>
        <v>225g</v>
      </c>
      <c r="K80" s="69" t="str">
        <f>IFERROR(__xludf.DUMMYFUNCTION("""COMPUTED_VALUE"""),"230g")</f>
        <v>230g</v>
      </c>
      <c r="L80" s="77">
        <f>IFERROR(__xludf.DUMMYFUNCTION("""COMPUTED_VALUE"""),230.0)</f>
        <v>230</v>
      </c>
      <c r="M80" s="72" t="str">
        <f>IFERROR(__xludf.DUMMYFUNCTION("""COMPUTED_VALUE"""),"85g")</f>
        <v>85g</v>
      </c>
      <c r="N80" s="72" t="str">
        <f>IFERROR(__xludf.DUMMYFUNCTION("""COMPUTED_VALUE"""),"90g")</f>
        <v>90g</v>
      </c>
      <c r="O80" s="72" t="str">
        <f>IFERROR(__xludf.DUMMYFUNCTION("""COMPUTED_VALUE"""),"95g")</f>
        <v>95g</v>
      </c>
      <c r="P80" s="64">
        <f>IFERROR(__xludf.DUMMYFUNCTION("""COMPUTED_VALUE"""),95.0)</f>
        <v>95</v>
      </c>
      <c r="Q80" s="72" t="str">
        <f>IFERROR(__xludf.DUMMYFUNCTION("""COMPUTED_VALUE"""),"215g")</f>
        <v>215g</v>
      </c>
      <c r="R80" s="72" t="str">
        <f>IFERROR(__xludf.DUMMYFUNCTION("""COMPUTED_VALUE"""),"235g")</f>
        <v>235g</v>
      </c>
      <c r="S80" s="72" t="str">
        <f>IFERROR(__xludf.DUMMYFUNCTION("""COMPUTED_VALUE"""),"255g")</f>
        <v>255g</v>
      </c>
      <c r="T80" s="64">
        <f>IFERROR(__xludf.DUMMYFUNCTION("""COMPUTED_VALUE"""),255.0)</f>
        <v>255</v>
      </c>
      <c r="U80" s="66">
        <f>IFERROR(__xludf.DUMMYFUNCTION("""COMPUTED_VALUE"""),580.0)</f>
        <v>580</v>
      </c>
      <c r="V80" s="79">
        <f>IFERROR(__xludf.DUMMYFUNCTION("""COMPUTED_VALUE"""),3.5626535626535625)</f>
        <v>3.562653563</v>
      </c>
    </row>
    <row r="81">
      <c r="B81" s="68" t="s">
        <v>125</v>
      </c>
      <c r="C81" s="68">
        <f>if(countif(F76:F80,F81)&gt;1,0,5)</f>
        <v>5</v>
      </c>
      <c r="D81" s="68" t="str">
        <f>IFERROR(__xludf.DUMMYFUNCTION("""COMPUTED_VALUE"""),"165 WJV")</f>
        <v>165 WJV</v>
      </c>
      <c r="E81" s="69" t="str">
        <f>IFERROR(__xludf.DUMMYFUNCTION("""COMPUTED_VALUE"""),"WJV")</f>
        <v>WJV</v>
      </c>
      <c r="F81" s="70" t="str">
        <f>IFERROR(__xludf.DUMMYFUNCTION("""COMPUTED_VALUE"""),"Lake Orion")</f>
        <v>Lake Orion</v>
      </c>
      <c r="G81" s="69">
        <f>IFERROR(__xludf.DUMMYFUNCTION("""COMPUTED_VALUE"""),158.0)</f>
        <v>158</v>
      </c>
      <c r="H81" s="70" t="str">
        <f>IFERROR(__xludf.DUMMYFUNCTION("""COMPUTED_VALUE"""),"Hoffman, Elizabeth")</f>
        <v>Hoffman, Elizabeth</v>
      </c>
      <c r="I81" s="71" t="str">
        <f>IFERROR(__xludf.DUMMYFUNCTION("""COMPUTED_VALUE"""),"180g")</f>
        <v>180g</v>
      </c>
      <c r="J81" s="69" t="str">
        <f>IFERROR(__xludf.DUMMYFUNCTION("""COMPUTED_VALUE"""),"190g")</f>
        <v>190g</v>
      </c>
      <c r="K81" s="69" t="str">
        <f>IFERROR(__xludf.DUMMYFUNCTION("""COMPUTED_VALUE"""),"200g")</f>
        <v>200g</v>
      </c>
      <c r="L81" s="77">
        <f>IFERROR(__xludf.DUMMYFUNCTION("""COMPUTED_VALUE"""),200.0)</f>
        <v>200</v>
      </c>
      <c r="M81" s="72" t="str">
        <f>IFERROR(__xludf.DUMMYFUNCTION("""COMPUTED_VALUE"""),"105x")</f>
        <v>105x</v>
      </c>
      <c r="N81" s="72" t="str">
        <f>IFERROR(__xludf.DUMMYFUNCTION("""COMPUTED_VALUE"""),"105g")</f>
        <v>105g</v>
      </c>
      <c r="O81" s="72" t="str">
        <f>IFERROR(__xludf.DUMMYFUNCTION("""COMPUTED_VALUE"""),"110g")</f>
        <v>110g</v>
      </c>
      <c r="P81" s="64">
        <f>IFERROR(__xludf.DUMMYFUNCTION("""COMPUTED_VALUE"""),110.0)</f>
        <v>110</v>
      </c>
      <c r="Q81" s="72" t="str">
        <f>IFERROR(__xludf.DUMMYFUNCTION("""COMPUTED_VALUE"""),"240g")</f>
        <v>240g</v>
      </c>
      <c r="R81" s="72" t="str">
        <f>IFERROR(__xludf.DUMMYFUNCTION("""COMPUTED_VALUE"""),"255g")</f>
        <v>255g</v>
      </c>
      <c r="S81" s="72" t="str">
        <f>IFERROR(__xludf.DUMMYFUNCTION("""COMPUTED_VALUE"""),"265g")</f>
        <v>265g</v>
      </c>
      <c r="T81" s="64">
        <f>IFERROR(__xludf.DUMMYFUNCTION("""COMPUTED_VALUE"""),265.0)</f>
        <v>265</v>
      </c>
      <c r="U81" s="66">
        <f>IFERROR(__xludf.DUMMYFUNCTION("""COMPUTED_VALUE"""),575.0)</f>
        <v>575</v>
      </c>
      <c r="V81" s="79">
        <f>IFERROR(__xludf.DUMMYFUNCTION("""COMPUTED_VALUE"""),3.6392405063291138)</f>
        <v>3.639240506</v>
      </c>
    </row>
    <row r="82">
      <c r="B82" s="68" t="s">
        <v>126</v>
      </c>
      <c r="C82" s="68">
        <f>if(countif(F76:F81,F82)&gt;1,0,4)</f>
        <v>4</v>
      </c>
      <c r="D82" s="68" t="str">
        <f>IFERROR(__xludf.DUMMYFUNCTION("""COMPUTED_VALUE"""),"165 WJV")</f>
        <v>165 WJV</v>
      </c>
      <c r="E82" s="69" t="str">
        <f>IFERROR(__xludf.DUMMYFUNCTION("""COMPUTED_VALUE"""),"WJV")</f>
        <v>WJV</v>
      </c>
      <c r="F82" s="70" t="str">
        <f>IFERROR(__xludf.DUMMYFUNCTION("""COMPUTED_VALUE"""),"Lake Orion")</f>
        <v>Lake Orion</v>
      </c>
      <c r="G82" s="69">
        <f>IFERROR(__xludf.DUMMYFUNCTION("""COMPUTED_VALUE"""),156.0)</f>
        <v>156</v>
      </c>
      <c r="H82" s="70" t="str">
        <f>IFERROR(__xludf.DUMMYFUNCTION("""COMPUTED_VALUE"""),"Nuss, Abby")</f>
        <v>Nuss, Abby</v>
      </c>
      <c r="I82" s="71" t="str">
        <f>IFERROR(__xludf.DUMMYFUNCTION("""COMPUTED_VALUE"""),"195g")</f>
        <v>195g</v>
      </c>
      <c r="J82" s="69" t="str">
        <f>IFERROR(__xludf.DUMMYFUNCTION("""COMPUTED_VALUE"""),"215g")</f>
        <v>215g</v>
      </c>
      <c r="K82" s="69" t="str">
        <f>IFERROR(__xludf.DUMMYFUNCTION("""COMPUTED_VALUE"""),"230x")</f>
        <v>230x</v>
      </c>
      <c r="L82" s="77">
        <f>IFERROR(__xludf.DUMMYFUNCTION("""COMPUTED_VALUE"""),215.0)</f>
        <v>215</v>
      </c>
      <c r="M82" s="72" t="str">
        <f>IFERROR(__xludf.DUMMYFUNCTION("""COMPUTED_VALUE"""),"85g")</f>
        <v>85g</v>
      </c>
      <c r="N82" s="72" t="str">
        <f>IFERROR(__xludf.DUMMYFUNCTION("""COMPUTED_VALUE"""),"90g")</f>
        <v>90g</v>
      </c>
      <c r="O82" s="72" t="str">
        <f>IFERROR(__xludf.DUMMYFUNCTION("""COMPUTED_VALUE"""),"95x")</f>
        <v>95x</v>
      </c>
      <c r="P82" s="64">
        <f>IFERROR(__xludf.DUMMYFUNCTION("""COMPUTED_VALUE"""),90.0)</f>
        <v>90</v>
      </c>
      <c r="Q82" s="72" t="str">
        <f>IFERROR(__xludf.DUMMYFUNCTION("""COMPUTED_VALUE"""),"225g")</f>
        <v>225g</v>
      </c>
      <c r="R82" s="72" t="str">
        <f>IFERROR(__xludf.DUMMYFUNCTION("""COMPUTED_VALUE"""),"250g")</f>
        <v>250g</v>
      </c>
      <c r="S82" s="72" t="str">
        <f>IFERROR(__xludf.DUMMYFUNCTION("""COMPUTED_VALUE"""),"260g")</f>
        <v>260g</v>
      </c>
      <c r="T82" s="64">
        <f>IFERROR(__xludf.DUMMYFUNCTION("""COMPUTED_VALUE"""),260.0)</f>
        <v>260</v>
      </c>
      <c r="U82" s="66">
        <f>IFERROR(__xludf.DUMMYFUNCTION("""COMPUTED_VALUE"""),565.0)</f>
        <v>565</v>
      </c>
      <c r="V82" s="79">
        <f>IFERROR(__xludf.DUMMYFUNCTION("""COMPUTED_VALUE"""),3.621794871794872)</f>
        <v>3.621794872</v>
      </c>
    </row>
    <row r="83">
      <c r="B83" s="68" t="s">
        <v>127</v>
      </c>
      <c r="C83" s="68">
        <f>if(countif(F76:F82,F83)&gt;1,0,3)</f>
        <v>3</v>
      </c>
      <c r="D83" s="68" t="str">
        <f>IFERROR(__xludf.DUMMYFUNCTION("""COMPUTED_VALUE"""),"165 WJV")</f>
        <v>165 WJV</v>
      </c>
      <c r="E83" s="69" t="str">
        <f>IFERROR(__xludf.DUMMYFUNCTION("""COMPUTED_VALUE"""),"WJV")</f>
        <v>WJV</v>
      </c>
      <c r="F83" s="70" t="str">
        <f>IFERROR(__xludf.DUMMYFUNCTION("""COMPUTED_VALUE"""),"Birch Run")</f>
        <v>Birch Run</v>
      </c>
      <c r="G83" s="69">
        <f>IFERROR(__xludf.DUMMYFUNCTION("""COMPUTED_VALUE"""),161.0)</f>
        <v>161</v>
      </c>
      <c r="H83" s="70" t="str">
        <f>IFERROR(__xludf.DUMMYFUNCTION("""COMPUTED_VALUE"""),"Konsdorf, Destiny")</f>
        <v>Konsdorf, Destiny</v>
      </c>
      <c r="I83" s="71" t="str">
        <f>IFERROR(__xludf.DUMMYFUNCTION("""COMPUTED_VALUE"""),"210g")</f>
        <v>210g</v>
      </c>
      <c r="J83" s="69" t="str">
        <f>IFERROR(__xludf.DUMMYFUNCTION("""COMPUTED_VALUE"""),"220x")</f>
        <v>220x</v>
      </c>
      <c r="K83" s="69" t="str">
        <f>IFERROR(__xludf.DUMMYFUNCTION("""COMPUTED_VALUE"""),"215g")</f>
        <v>215g</v>
      </c>
      <c r="L83" s="77">
        <f>IFERROR(__xludf.DUMMYFUNCTION("""COMPUTED_VALUE"""),215.0)</f>
        <v>215</v>
      </c>
      <c r="M83" s="72" t="str">
        <f>IFERROR(__xludf.DUMMYFUNCTION("""COMPUTED_VALUE"""),"95g")</f>
        <v>95g</v>
      </c>
      <c r="N83" s="72" t="str">
        <f>IFERROR(__xludf.DUMMYFUNCTION("""COMPUTED_VALUE"""),"105g")</f>
        <v>105g</v>
      </c>
      <c r="O83" s="72" t="str">
        <f>IFERROR(__xludf.DUMMYFUNCTION("""COMPUTED_VALUE"""),"115x")</f>
        <v>115x</v>
      </c>
      <c r="P83" s="64">
        <f>IFERROR(__xludf.DUMMYFUNCTION("""COMPUTED_VALUE"""),105.0)</f>
        <v>105</v>
      </c>
      <c r="Q83" s="72" t="str">
        <f>IFERROR(__xludf.DUMMYFUNCTION("""COMPUTED_VALUE"""),"195g")</f>
        <v>195g</v>
      </c>
      <c r="R83" s="72" t="str">
        <f>IFERROR(__xludf.DUMMYFUNCTION("""COMPUTED_VALUE"""),"215g")</f>
        <v>215g</v>
      </c>
      <c r="S83" s="72" t="str">
        <f>IFERROR(__xludf.DUMMYFUNCTION("""COMPUTED_VALUE"""),"235g")</f>
        <v>235g</v>
      </c>
      <c r="T83" s="64">
        <f>IFERROR(__xludf.DUMMYFUNCTION("""COMPUTED_VALUE"""),235.0)</f>
        <v>235</v>
      </c>
      <c r="U83" s="66">
        <f>IFERROR(__xludf.DUMMYFUNCTION("""COMPUTED_VALUE"""),555.0)</f>
        <v>555</v>
      </c>
      <c r="V83" s="79">
        <f>IFERROR(__xludf.DUMMYFUNCTION("""COMPUTED_VALUE"""),3.4472049689440993)</f>
        <v>3.447204969</v>
      </c>
    </row>
    <row r="84">
      <c r="B84" s="68" t="s">
        <v>128</v>
      </c>
      <c r="C84" s="68">
        <f>if(countif(F76:F83,F84)&gt;1,0,2)</f>
        <v>2</v>
      </c>
      <c r="D84" s="68" t="str">
        <f>IFERROR(__xludf.DUMMYFUNCTION("""COMPUTED_VALUE"""),"165 WJV")</f>
        <v>165 WJV</v>
      </c>
      <c r="E84" s="69" t="str">
        <f>IFERROR(__xludf.DUMMYFUNCTION("""COMPUTED_VALUE"""),"WJV")</f>
        <v>WJV</v>
      </c>
      <c r="F84" s="70" t="str">
        <f>IFERROR(__xludf.DUMMYFUNCTION("""COMPUTED_VALUE"""),"Royal Oak")</f>
        <v>Royal Oak</v>
      </c>
      <c r="G84" s="69">
        <f>IFERROR(__xludf.DUMMYFUNCTION("""COMPUTED_VALUE"""),162.8)</f>
        <v>162.8</v>
      </c>
      <c r="H84" s="70" t="str">
        <f>IFERROR(__xludf.DUMMYFUNCTION("""COMPUTED_VALUE"""),"Wardlaw, Alexa")</f>
        <v>Wardlaw, Alexa</v>
      </c>
      <c r="I84" s="71" t="str">
        <f>IFERROR(__xludf.DUMMYFUNCTION("""COMPUTED_VALUE"""),"185g")</f>
        <v>185g</v>
      </c>
      <c r="J84" s="69" t="str">
        <f>IFERROR(__xludf.DUMMYFUNCTION("""COMPUTED_VALUE"""),"200g")</f>
        <v>200g</v>
      </c>
      <c r="K84" s="69" t="str">
        <f>IFERROR(__xludf.DUMMYFUNCTION("""COMPUTED_VALUE"""),"210g")</f>
        <v>210g</v>
      </c>
      <c r="L84" s="77">
        <f>IFERROR(__xludf.DUMMYFUNCTION("""COMPUTED_VALUE"""),210.0)</f>
        <v>210</v>
      </c>
      <c r="M84" s="72" t="str">
        <f>IFERROR(__xludf.DUMMYFUNCTION("""COMPUTED_VALUE"""),"100g")</f>
        <v>100g</v>
      </c>
      <c r="N84" s="72" t="str">
        <f>IFERROR(__xludf.DUMMYFUNCTION("""COMPUTED_VALUE"""),"110g")</f>
        <v>110g</v>
      </c>
      <c r="O84" s="72" t="str">
        <f>IFERROR(__xludf.DUMMYFUNCTION("""COMPUTED_VALUE"""),"115x")</f>
        <v>115x</v>
      </c>
      <c r="P84" s="64">
        <f>IFERROR(__xludf.DUMMYFUNCTION("""COMPUTED_VALUE"""),110.0)</f>
        <v>110</v>
      </c>
      <c r="Q84" s="72" t="str">
        <f>IFERROR(__xludf.DUMMYFUNCTION("""COMPUTED_VALUE"""),"200g")</f>
        <v>200g</v>
      </c>
      <c r="R84" s="72" t="str">
        <f>IFERROR(__xludf.DUMMYFUNCTION("""COMPUTED_VALUE"""),"215g")</f>
        <v>215g</v>
      </c>
      <c r="S84" s="72" t="str">
        <f>IFERROR(__xludf.DUMMYFUNCTION("""COMPUTED_VALUE"""),"225g")</f>
        <v>225g</v>
      </c>
      <c r="T84" s="64">
        <f>IFERROR(__xludf.DUMMYFUNCTION("""COMPUTED_VALUE"""),225.0)</f>
        <v>225</v>
      </c>
      <c r="U84" s="66">
        <f>IFERROR(__xludf.DUMMYFUNCTION("""COMPUTED_VALUE"""),545.0)</f>
        <v>545</v>
      </c>
      <c r="V84" s="79">
        <f>IFERROR(__xludf.DUMMYFUNCTION("""COMPUTED_VALUE"""),3.3476658476658474)</f>
        <v>3.347665848</v>
      </c>
    </row>
    <row r="85">
      <c r="B85" s="68" t="s">
        <v>129</v>
      </c>
      <c r="C85" s="68">
        <f>if(countif(F76:F84,F85)&gt;1,0,1)</f>
        <v>1</v>
      </c>
      <c r="D85" s="68" t="str">
        <f>IFERROR(__xludf.DUMMYFUNCTION("""COMPUTED_VALUE"""),"165 WJV")</f>
        <v>165 WJV</v>
      </c>
      <c r="E85" s="69" t="str">
        <f>IFERROR(__xludf.DUMMYFUNCTION("""COMPUTED_VALUE"""),"WJV")</f>
        <v>WJV</v>
      </c>
      <c r="F85" s="70" t="str">
        <f>IFERROR(__xludf.DUMMYFUNCTION("""COMPUTED_VALUE"""),"Brighton")</f>
        <v>Brighton</v>
      </c>
      <c r="G85" s="69">
        <f>IFERROR(__xludf.DUMMYFUNCTION("""COMPUTED_VALUE"""),163.2)</f>
        <v>163.2</v>
      </c>
      <c r="H85" s="70" t="str">
        <f>IFERROR(__xludf.DUMMYFUNCTION("""COMPUTED_VALUE"""),"Cacicedo, Karly")</f>
        <v>Cacicedo, Karly</v>
      </c>
      <c r="I85" s="71" t="str">
        <f>IFERROR(__xludf.DUMMYFUNCTION("""COMPUTED_VALUE"""),"195g")</f>
        <v>195g</v>
      </c>
      <c r="J85" s="69" t="str">
        <f>IFERROR(__xludf.DUMMYFUNCTION("""COMPUTED_VALUE"""),"210x")</f>
        <v>210x</v>
      </c>
      <c r="K85" s="69" t="str">
        <f>IFERROR(__xludf.DUMMYFUNCTION("""COMPUTED_VALUE"""),"210g")</f>
        <v>210g</v>
      </c>
      <c r="L85" s="77">
        <f>IFERROR(__xludf.DUMMYFUNCTION("""COMPUTED_VALUE"""),210.0)</f>
        <v>210</v>
      </c>
      <c r="M85" s="72" t="str">
        <f>IFERROR(__xludf.DUMMYFUNCTION("""COMPUTED_VALUE"""),"95g")</f>
        <v>95g</v>
      </c>
      <c r="N85" s="72" t="str">
        <f>IFERROR(__xludf.DUMMYFUNCTION("""COMPUTED_VALUE"""),"105x")</f>
        <v>105x</v>
      </c>
      <c r="O85" s="72" t="str">
        <f>IFERROR(__xludf.DUMMYFUNCTION("""COMPUTED_VALUE"""),"105g")</f>
        <v>105g</v>
      </c>
      <c r="P85" s="64">
        <f>IFERROR(__xludf.DUMMYFUNCTION("""COMPUTED_VALUE"""),105.0)</f>
        <v>105</v>
      </c>
      <c r="Q85" s="72" t="str">
        <f>IFERROR(__xludf.DUMMYFUNCTION("""COMPUTED_VALUE"""),"210g")</f>
        <v>210g</v>
      </c>
      <c r="R85" s="72" t="str">
        <f>IFERROR(__xludf.DUMMYFUNCTION("""COMPUTED_VALUE"""),"230g")</f>
        <v>230g</v>
      </c>
      <c r="S85" s="72" t="str">
        <f>IFERROR(__xludf.DUMMYFUNCTION("""COMPUTED_VALUE"""),"240x")</f>
        <v>240x</v>
      </c>
      <c r="T85" s="64">
        <f>IFERROR(__xludf.DUMMYFUNCTION("""COMPUTED_VALUE"""),230.0)</f>
        <v>230</v>
      </c>
      <c r="U85" s="66">
        <f>IFERROR(__xludf.DUMMYFUNCTION("""COMPUTED_VALUE"""),545.0)</f>
        <v>545</v>
      </c>
      <c r="V85" s="79">
        <f>IFERROR(__xludf.DUMMYFUNCTION("""COMPUTED_VALUE"""),3.339460784313726)</f>
        <v>3.339460784</v>
      </c>
    </row>
    <row r="86">
      <c r="A86" s="58">
        <v>181.0</v>
      </c>
      <c r="B86" s="59" t="s">
        <v>120</v>
      </c>
      <c r="C86" s="59">
        <v>12.0</v>
      </c>
      <c r="D86" s="59" t="str">
        <f>IFERROR(__xludf.DUMMYFUNCTION("ARRAY_CONSTRAIN(sort(filter(WJV_Tie_Breaker!D6:X285,WJV_Tie_Breaker!D6:D285=""181 WJV""),18,false,4,true,20,false,21,true),10,19)"),"181 WJV")</f>
        <v>181 WJV</v>
      </c>
      <c r="E86" s="61" t="str">
        <f>IFERROR(__xludf.DUMMYFUNCTION("""COMPUTED_VALUE"""),"WJV")</f>
        <v>WJV</v>
      </c>
      <c r="F86" s="62" t="str">
        <f>IFERROR(__xludf.DUMMYFUNCTION("""COMPUTED_VALUE"""),"Central Lake")</f>
        <v>Central Lake</v>
      </c>
      <c r="G86" s="61">
        <f>IFERROR(__xludf.DUMMYFUNCTION("""COMPUTED_VALUE"""),179.6)</f>
        <v>179.6</v>
      </c>
      <c r="H86" s="62" t="str">
        <f>IFERROR(__xludf.DUMMYFUNCTION("""COMPUTED_VALUE"""),"Diller, Brooklynn")</f>
        <v>Diller, Brooklynn</v>
      </c>
      <c r="I86" s="63" t="str">
        <f>IFERROR(__xludf.DUMMYFUNCTION("""COMPUTED_VALUE"""),"270g")</f>
        <v>270g</v>
      </c>
      <c r="J86" s="61" t="str">
        <f>IFERROR(__xludf.DUMMYFUNCTION("""COMPUTED_VALUE"""),"290g")</f>
        <v>290g</v>
      </c>
      <c r="K86" s="61" t="str">
        <f>IFERROR(__xludf.DUMMYFUNCTION("""COMPUTED_VALUE"""),"300g")</f>
        <v>300g</v>
      </c>
      <c r="L86" s="77">
        <f>IFERROR(__xludf.DUMMYFUNCTION("""COMPUTED_VALUE"""),300.0)</f>
        <v>300</v>
      </c>
      <c r="M86" s="65" t="str">
        <f>IFERROR(__xludf.DUMMYFUNCTION("""COMPUTED_VALUE"""),"125g")</f>
        <v>125g</v>
      </c>
      <c r="N86" s="65" t="str">
        <f>IFERROR(__xludf.DUMMYFUNCTION("""COMPUTED_VALUE"""),"135g")</f>
        <v>135g</v>
      </c>
      <c r="O86" s="65" t="str">
        <f>IFERROR(__xludf.DUMMYFUNCTION("""COMPUTED_VALUE"""),"140g")</f>
        <v>140g</v>
      </c>
      <c r="P86" s="64">
        <f>IFERROR(__xludf.DUMMYFUNCTION("""COMPUTED_VALUE"""),140.0)</f>
        <v>140</v>
      </c>
      <c r="Q86" s="65" t="str">
        <f>IFERROR(__xludf.DUMMYFUNCTION("""COMPUTED_VALUE"""),"290g")</f>
        <v>290g</v>
      </c>
      <c r="R86" s="65" t="str">
        <f>IFERROR(__xludf.DUMMYFUNCTION("""COMPUTED_VALUE"""),"305g")</f>
        <v>305g</v>
      </c>
      <c r="S86" s="65" t="str">
        <f>IFERROR(__xludf.DUMMYFUNCTION("""COMPUTED_VALUE"""),"315g")</f>
        <v>315g</v>
      </c>
      <c r="T86" s="64">
        <f>IFERROR(__xludf.DUMMYFUNCTION("""COMPUTED_VALUE"""),315.0)</f>
        <v>315</v>
      </c>
      <c r="U86" s="66">
        <f>IFERROR(__xludf.DUMMYFUNCTION("""COMPUTED_VALUE"""),755.0)</f>
        <v>755</v>
      </c>
      <c r="V86" s="78">
        <f>IFERROR(__xludf.DUMMYFUNCTION("""COMPUTED_VALUE"""),4.203786191536748)</f>
        <v>4.203786192</v>
      </c>
    </row>
    <row r="87">
      <c r="B87" s="59" t="s">
        <v>121</v>
      </c>
      <c r="C87" s="59">
        <v>9.0</v>
      </c>
      <c r="D87" s="59" t="str">
        <f>IFERROR(__xludf.DUMMYFUNCTION("""COMPUTED_VALUE"""),"181 WJV")</f>
        <v>181 WJV</v>
      </c>
      <c r="E87" s="61" t="str">
        <f>IFERROR(__xludf.DUMMYFUNCTION("""COMPUTED_VALUE"""),"WJV")</f>
        <v>WJV</v>
      </c>
      <c r="F87" s="62" t="str">
        <f>IFERROR(__xludf.DUMMYFUNCTION("""COMPUTED_VALUE"""),"Paw Paw")</f>
        <v>Paw Paw</v>
      </c>
      <c r="G87" s="61">
        <f>IFERROR(__xludf.DUMMYFUNCTION("""COMPUTED_VALUE"""),166.0)</f>
        <v>166</v>
      </c>
      <c r="H87" s="62" t="str">
        <f>IFERROR(__xludf.DUMMYFUNCTION("""COMPUTED_VALUE"""),"Daspan, Penial")</f>
        <v>Daspan, Penial</v>
      </c>
      <c r="I87" s="63" t="str">
        <f>IFERROR(__xludf.DUMMYFUNCTION("""COMPUTED_VALUE"""),"215g")</f>
        <v>215g</v>
      </c>
      <c r="J87" s="61" t="str">
        <f>IFERROR(__xludf.DUMMYFUNCTION("""COMPUTED_VALUE"""),"235g")</f>
        <v>235g</v>
      </c>
      <c r="K87" s="61" t="str">
        <f>IFERROR(__xludf.DUMMYFUNCTION("""COMPUTED_VALUE"""),"260g")</f>
        <v>260g</v>
      </c>
      <c r="L87" s="77">
        <f>IFERROR(__xludf.DUMMYFUNCTION("""COMPUTED_VALUE"""),260.0)</f>
        <v>260</v>
      </c>
      <c r="M87" s="65" t="str">
        <f>IFERROR(__xludf.DUMMYFUNCTION("""COMPUTED_VALUE"""),"125g")</f>
        <v>125g</v>
      </c>
      <c r="N87" s="65" t="str">
        <f>IFERROR(__xludf.DUMMYFUNCTION("""COMPUTED_VALUE"""),"140g")</f>
        <v>140g</v>
      </c>
      <c r="O87" s="65" t="str">
        <f>IFERROR(__xludf.DUMMYFUNCTION("""COMPUTED_VALUE"""),"155x")</f>
        <v>155x</v>
      </c>
      <c r="P87" s="64">
        <f>IFERROR(__xludf.DUMMYFUNCTION("""COMPUTED_VALUE"""),140.0)</f>
        <v>140</v>
      </c>
      <c r="Q87" s="65" t="str">
        <f>IFERROR(__xludf.DUMMYFUNCTION("""COMPUTED_VALUE"""),"300g")</f>
        <v>300g</v>
      </c>
      <c r="R87" s="65" t="str">
        <f>IFERROR(__xludf.DUMMYFUNCTION("""COMPUTED_VALUE"""),"320g")</f>
        <v>320g</v>
      </c>
      <c r="S87" s="65" t="str">
        <f>IFERROR(__xludf.DUMMYFUNCTION("""COMPUTED_VALUE"""),"335g")</f>
        <v>335g</v>
      </c>
      <c r="T87" s="64">
        <f>IFERROR(__xludf.DUMMYFUNCTION("""COMPUTED_VALUE"""),335.0)</f>
        <v>335</v>
      </c>
      <c r="U87" s="66">
        <f>IFERROR(__xludf.DUMMYFUNCTION("""COMPUTED_VALUE"""),735.0)</f>
        <v>735</v>
      </c>
      <c r="V87" s="78">
        <f>IFERROR(__xludf.DUMMYFUNCTION("""COMPUTED_VALUE"""),4.427710843373494)</f>
        <v>4.427710843</v>
      </c>
    </row>
    <row r="88">
      <c r="B88" s="59" t="s">
        <v>122</v>
      </c>
      <c r="C88" s="59">
        <f>if(countif(F86:F87,F88)&gt;1,0,8)</f>
        <v>8</v>
      </c>
      <c r="D88" s="59" t="str">
        <f>IFERROR(__xludf.DUMMYFUNCTION("""COMPUTED_VALUE"""),"181 WJV")</f>
        <v>181 WJV</v>
      </c>
      <c r="E88" s="61" t="str">
        <f>IFERROR(__xludf.DUMMYFUNCTION("""COMPUTED_VALUE"""),"WJV")</f>
        <v>WJV</v>
      </c>
      <c r="F88" s="62" t="str">
        <f>IFERROR(__xludf.DUMMYFUNCTION("""COMPUTED_VALUE"""),"Port Huron")</f>
        <v>Port Huron</v>
      </c>
      <c r="G88" s="61">
        <f>IFERROR(__xludf.DUMMYFUNCTION("""COMPUTED_VALUE"""),168.6)</f>
        <v>168.6</v>
      </c>
      <c r="H88" s="62" t="str">
        <f>IFERROR(__xludf.DUMMYFUNCTION("""COMPUTED_VALUE"""),"Pretzer, Siera")</f>
        <v>Pretzer, Siera</v>
      </c>
      <c r="I88" s="63" t="str">
        <f>IFERROR(__xludf.DUMMYFUNCTION("""COMPUTED_VALUE"""),"195g")</f>
        <v>195g</v>
      </c>
      <c r="J88" s="61" t="str">
        <f>IFERROR(__xludf.DUMMYFUNCTION("""COMPUTED_VALUE"""),"205g")</f>
        <v>205g</v>
      </c>
      <c r="K88" s="61" t="str">
        <f>IFERROR(__xludf.DUMMYFUNCTION("""COMPUTED_VALUE"""),"225g")</f>
        <v>225g</v>
      </c>
      <c r="L88" s="77">
        <f>IFERROR(__xludf.DUMMYFUNCTION("""COMPUTED_VALUE"""),225.0)</f>
        <v>225</v>
      </c>
      <c r="M88" s="65" t="str">
        <f>IFERROR(__xludf.DUMMYFUNCTION("""COMPUTED_VALUE"""),"95g")</f>
        <v>95g</v>
      </c>
      <c r="N88" s="65" t="str">
        <f>IFERROR(__xludf.DUMMYFUNCTION("""COMPUTED_VALUE"""),"105g")</f>
        <v>105g</v>
      </c>
      <c r="O88" s="65" t="str">
        <f>IFERROR(__xludf.DUMMYFUNCTION("""COMPUTED_VALUE"""),"110g")</f>
        <v>110g</v>
      </c>
      <c r="P88" s="64">
        <f>IFERROR(__xludf.DUMMYFUNCTION("""COMPUTED_VALUE"""),110.0)</f>
        <v>110</v>
      </c>
      <c r="Q88" s="65" t="str">
        <f>IFERROR(__xludf.DUMMYFUNCTION("""COMPUTED_VALUE"""),"285g")</f>
        <v>285g</v>
      </c>
      <c r="R88" s="65" t="str">
        <f>IFERROR(__xludf.DUMMYFUNCTION("""COMPUTED_VALUE"""),"300g")</f>
        <v>300g</v>
      </c>
      <c r="S88" s="65" t="str">
        <f>IFERROR(__xludf.DUMMYFUNCTION("""COMPUTED_VALUE"""),"315x")</f>
        <v>315x</v>
      </c>
      <c r="T88" s="64">
        <f>IFERROR(__xludf.DUMMYFUNCTION("""COMPUTED_VALUE"""),300.0)</f>
        <v>300</v>
      </c>
      <c r="U88" s="66">
        <f>IFERROR(__xludf.DUMMYFUNCTION("""COMPUTED_VALUE"""),635.0)</f>
        <v>635</v>
      </c>
      <c r="V88" s="78">
        <f>IFERROR(__xludf.DUMMYFUNCTION("""COMPUTED_VALUE"""),3.7663107947805456)</f>
        <v>3.766310795</v>
      </c>
    </row>
    <row r="89">
      <c r="B89" s="59" t="s">
        <v>123</v>
      </c>
      <c r="C89" s="59">
        <f>if(countif(F86:F88,F89)&gt;1,0,7)</f>
        <v>7</v>
      </c>
      <c r="D89" s="59" t="str">
        <f>IFERROR(__xludf.DUMMYFUNCTION("""COMPUTED_VALUE"""),"181 WJV")</f>
        <v>181 WJV</v>
      </c>
      <c r="E89" s="61" t="str">
        <f>IFERROR(__xludf.DUMMYFUNCTION("""COMPUTED_VALUE"""),"WJV")</f>
        <v>WJV</v>
      </c>
      <c r="F89" s="62" t="str">
        <f>IFERROR(__xludf.DUMMYFUNCTION("""COMPUTED_VALUE"""),"Lakeville")</f>
        <v>Lakeville</v>
      </c>
      <c r="G89" s="61">
        <f>IFERROR(__xludf.DUMMYFUNCTION("""COMPUTED_VALUE"""),173.8)</f>
        <v>173.8</v>
      </c>
      <c r="H89" s="62" t="str">
        <f>IFERROR(__xludf.DUMMYFUNCTION("""COMPUTED_VALUE"""),"West, Bre")</f>
        <v>West, Bre</v>
      </c>
      <c r="I89" s="63" t="str">
        <f>IFERROR(__xludf.DUMMYFUNCTION("""COMPUTED_VALUE"""),"230g")</f>
        <v>230g</v>
      </c>
      <c r="J89" s="61" t="str">
        <f>IFERROR(__xludf.DUMMYFUNCTION("""COMPUTED_VALUE"""),"240x")</f>
        <v>240x</v>
      </c>
      <c r="K89" s="61" t="str">
        <f>IFERROR(__xludf.DUMMYFUNCTION("""COMPUTED_VALUE"""),"240x")</f>
        <v>240x</v>
      </c>
      <c r="L89" s="77">
        <f>IFERROR(__xludf.DUMMYFUNCTION("""COMPUTED_VALUE"""),230.0)</f>
        <v>230</v>
      </c>
      <c r="M89" s="65" t="str">
        <f>IFERROR(__xludf.DUMMYFUNCTION("""COMPUTED_VALUE"""),"75g")</f>
        <v>75g</v>
      </c>
      <c r="N89" s="65" t="str">
        <f>IFERROR(__xludf.DUMMYFUNCTION("""COMPUTED_VALUE"""),"85g")</f>
        <v>85g</v>
      </c>
      <c r="O89" s="65" t="str">
        <f>IFERROR(__xludf.DUMMYFUNCTION("""COMPUTED_VALUE"""),"90g")</f>
        <v>90g</v>
      </c>
      <c r="P89" s="64">
        <f>IFERROR(__xludf.DUMMYFUNCTION("""COMPUTED_VALUE"""),90.0)</f>
        <v>90</v>
      </c>
      <c r="Q89" s="65" t="str">
        <f>IFERROR(__xludf.DUMMYFUNCTION("""COMPUTED_VALUE"""),"290g")</f>
        <v>290g</v>
      </c>
      <c r="R89" s="65" t="str">
        <f>IFERROR(__xludf.DUMMYFUNCTION("""COMPUTED_VALUE"""),"305g")</f>
        <v>305g</v>
      </c>
      <c r="S89" s="65" t="str">
        <f>IFERROR(__xludf.DUMMYFUNCTION("""COMPUTED_VALUE"""),"315x")</f>
        <v>315x</v>
      </c>
      <c r="T89" s="64">
        <f>IFERROR(__xludf.DUMMYFUNCTION("""COMPUTED_VALUE"""),305.0)</f>
        <v>305</v>
      </c>
      <c r="U89" s="66">
        <f>IFERROR(__xludf.DUMMYFUNCTION("""COMPUTED_VALUE"""),625.0)</f>
        <v>625</v>
      </c>
      <c r="V89" s="78">
        <f>IFERROR(__xludf.DUMMYFUNCTION("""COMPUTED_VALUE"""),3.5960874568469503)</f>
        <v>3.596087457</v>
      </c>
    </row>
    <row r="90">
      <c r="B90" s="59" t="s">
        <v>124</v>
      </c>
      <c r="C90" s="59">
        <f>if(countif(F86:F89,F90)&gt;1,0,6)</f>
        <v>6</v>
      </c>
      <c r="D90" s="59" t="str">
        <f>IFERROR(__xludf.DUMMYFUNCTION("""COMPUTED_VALUE"""),"181 WJV")</f>
        <v>181 WJV</v>
      </c>
      <c r="E90" s="61" t="str">
        <f>IFERROR(__xludf.DUMMYFUNCTION("""COMPUTED_VALUE"""),"WJV")</f>
        <v>WJV</v>
      </c>
      <c r="F90" s="62" t="str">
        <f>IFERROR(__xludf.DUMMYFUNCTION("""COMPUTED_VALUE"""),"Lake Orion")</f>
        <v>Lake Orion</v>
      </c>
      <c r="G90" s="61">
        <f>IFERROR(__xludf.DUMMYFUNCTION("""COMPUTED_VALUE"""),167.1)</f>
        <v>167.1</v>
      </c>
      <c r="H90" s="62" t="str">
        <f>IFERROR(__xludf.DUMMYFUNCTION("""COMPUTED_VALUE"""),"Morgan, Taylor")</f>
        <v>Morgan, Taylor</v>
      </c>
      <c r="I90" s="63" t="str">
        <f>IFERROR(__xludf.DUMMYFUNCTION("""COMPUTED_VALUE"""),"170g")</f>
        <v>170g</v>
      </c>
      <c r="J90" s="61" t="str">
        <f>IFERROR(__xludf.DUMMYFUNCTION("""COMPUTED_VALUE"""),"180g")</f>
        <v>180g</v>
      </c>
      <c r="K90" s="61" t="str">
        <f>IFERROR(__xludf.DUMMYFUNCTION("""COMPUTED_VALUE"""),"215g")</f>
        <v>215g</v>
      </c>
      <c r="L90" s="77">
        <f>IFERROR(__xludf.DUMMYFUNCTION("""COMPUTED_VALUE"""),215.0)</f>
        <v>215</v>
      </c>
      <c r="M90" s="65" t="str">
        <f>IFERROR(__xludf.DUMMYFUNCTION("""COMPUTED_VALUE"""),"115g")</f>
        <v>115g</v>
      </c>
      <c r="N90" s="65" t="str">
        <f>IFERROR(__xludf.DUMMYFUNCTION("""COMPUTED_VALUE"""),"120g")</f>
        <v>120g</v>
      </c>
      <c r="O90" s="65" t="str">
        <f>IFERROR(__xludf.DUMMYFUNCTION("""COMPUTED_VALUE"""),"135g")</f>
        <v>135g</v>
      </c>
      <c r="P90" s="64">
        <f>IFERROR(__xludf.DUMMYFUNCTION("""COMPUTED_VALUE"""),135.0)</f>
        <v>135</v>
      </c>
      <c r="Q90" s="65" t="str">
        <f>IFERROR(__xludf.DUMMYFUNCTION("""COMPUTED_VALUE"""),"210g")</f>
        <v>210g</v>
      </c>
      <c r="R90" s="65" t="str">
        <f>IFERROR(__xludf.DUMMYFUNCTION("""COMPUTED_VALUE"""),"245g")</f>
        <v>245g</v>
      </c>
      <c r="S90" s="65" t="str">
        <f>IFERROR(__xludf.DUMMYFUNCTION("""COMPUTED_VALUE"""),"270g")</f>
        <v>270g</v>
      </c>
      <c r="T90" s="64">
        <f>IFERROR(__xludf.DUMMYFUNCTION("""COMPUTED_VALUE"""),270.0)</f>
        <v>270</v>
      </c>
      <c r="U90" s="66">
        <f>IFERROR(__xludf.DUMMYFUNCTION("""COMPUTED_VALUE"""),620.0)</f>
        <v>620</v>
      </c>
      <c r="V90" s="78">
        <f>IFERROR(__xludf.DUMMYFUNCTION("""COMPUTED_VALUE"""),3.7103530819868342)</f>
        <v>3.710353082</v>
      </c>
    </row>
    <row r="91">
      <c r="B91" s="59" t="s">
        <v>125</v>
      </c>
      <c r="C91" s="59">
        <f>if(countif(F86:F90,F91)&gt;1,0,5)</f>
        <v>5</v>
      </c>
      <c r="D91" s="59" t="str">
        <f>IFERROR(__xludf.DUMMYFUNCTION("""COMPUTED_VALUE"""),"181 WJV")</f>
        <v>181 WJV</v>
      </c>
      <c r="E91" s="61" t="str">
        <f>IFERROR(__xludf.DUMMYFUNCTION("""COMPUTED_VALUE"""),"WJV")</f>
        <v>WJV</v>
      </c>
      <c r="F91" s="62" t="str">
        <f>IFERROR(__xludf.DUMMYFUNCTION("""COMPUTED_VALUE"""),"Montague")</f>
        <v>Montague</v>
      </c>
      <c r="G91" s="61">
        <f>IFERROR(__xludf.DUMMYFUNCTION("""COMPUTED_VALUE"""),177.4)</f>
        <v>177.4</v>
      </c>
      <c r="H91" s="62" t="str">
        <f>IFERROR(__xludf.DUMMYFUNCTION("""COMPUTED_VALUE"""),"Burleson, Corrina")</f>
        <v>Burleson, Corrina</v>
      </c>
      <c r="I91" s="63" t="str">
        <f>IFERROR(__xludf.DUMMYFUNCTION("""COMPUTED_VALUE"""),"225g")</f>
        <v>225g</v>
      </c>
      <c r="J91" s="61" t="str">
        <f>IFERROR(__xludf.DUMMYFUNCTION("""COMPUTED_VALUE"""),"250g")</f>
        <v>250g</v>
      </c>
      <c r="K91" s="61" t="str">
        <f>IFERROR(__xludf.DUMMYFUNCTION("""COMPUTED_VALUE"""),"275x")</f>
        <v>275x</v>
      </c>
      <c r="L91" s="77">
        <f>IFERROR(__xludf.DUMMYFUNCTION("""COMPUTED_VALUE"""),250.0)</f>
        <v>250</v>
      </c>
      <c r="M91" s="65" t="str">
        <f>IFERROR(__xludf.DUMMYFUNCTION("""COMPUTED_VALUE"""),"105g")</f>
        <v>105g</v>
      </c>
      <c r="N91" s="65" t="str">
        <f>IFERROR(__xludf.DUMMYFUNCTION("""COMPUTED_VALUE"""),"120x")</f>
        <v>120x</v>
      </c>
      <c r="O91" s="65" t="str">
        <f>IFERROR(__xludf.DUMMYFUNCTION("""COMPUTED_VALUE"""),"120x")</f>
        <v>120x</v>
      </c>
      <c r="P91" s="64">
        <f>IFERROR(__xludf.DUMMYFUNCTION("""COMPUTED_VALUE"""),105.0)</f>
        <v>105</v>
      </c>
      <c r="Q91" s="65" t="str">
        <f>IFERROR(__xludf.DUMMYFUNCTION("""COMPUTED_VALUE"""),"235g")</f>
        <v>235g</v>
      </c>
      <c r="R91" s="65" t="str">
        <f>IFERROR(__xludf.DUMMYFUNCTION("""COMPUTED_VALUE"""),"255g")</f>
        <v>255g</v>
      </c>
      <c r="S91" s="65" t="str">
        <f>IFERROR(__xludf.DUMMYFUNCTION("""COMPUTED_VALUE"""),"295x")</f>
        <v>295x</v>
      </c>
      <c r="T91" s="64">
        <f>IFERROR(__xludf.DUMMYFUNCTION("""COMPUTED_VALUE"""),255.0)</f>
        <v>255</v>
      </c>
      <c r="U91" s="66">
        <f>IFERROR(__xludf.DUMMYFUNCTION("""COMPUTED_VALUE"""),610.0)</f>
        <v>610</v>
      </c>
      <c r="V91" s="78">
        <f>IFERROR(__xludf.DUMMYFUNCTION("""COMPUTED_VALUE"""),3.4385569334836528)</f>
        <v>3.438556933</v>
      </c>
    </row>
    <row r="92">
      <c r="B92" s="59" t="s">
        <v>126</v>
      </c>
      <c r="C92" s="59">
        <f>if(countif(F86:F91,F92)&gt;1,0,4)</f>
        <v>4</v>
      </c>
      <c r="D92" s="59" t="str">
        <f>IFERROR(__xludf.DUMMYFUNCTION("""COMPUTED_VALUE"""),"181 WJV")</f>
        <v>181 WJV</v>
      </c>
      <c r="E92" s="61" t="str">
        <f>IFERROR(__xludf.DUMMYFUNCTION("""COMPUTED_VALUE"""),"WJV")</f>
        <v>WJV</v>
      </c>
      <c r="F92" s="62" t="str">
        <f>IFERROR(__xludf.DUMMYFUNCTION("""COMPUTED_VALUE"""),"Brandon")</f>
        <v>Brandon</v>
      </c>
      <c r="G92" s="61">
        <f>IFERROR(__xludf.DUMMYFUNCTION("""COMPUTED_VALUE"""),169.1)</f>
        <v>169.1</v>
      </c>
      <c r="H92" s="62" t="str">
        <f>IFERROR(__xludf.DUMMYFUNCTION("""COMPUTED_VALUE"""),"Martin, Emma")</f>
        <v>Martin, Emma</v>
      </c>
      <c r="I92" s="63" t="str">
        <f>IFERROR(__xludf.DUMMYFUNCTION("""COMPUTED_VALUE"""),"210g")</f>
        <v>210g</v>
      </c>
      <c r="J92" s="61" t="str">
        <f>IFERROR(__xludf.DUMMYFUNCTION("""COMPUTED_VALUE"""),"215g")</f>
        <v>215g</v>
      </c>
      <c r="K92" s="61" t="str">
        <f>IFERROR(__xludf.DUMMYFUNCTION("""COMPUTED_VALUE"""),"225x")</f>
        <v>225x</v>
      </c>
      <c r="L92" s="77">
        <f>IFERROR(__xludf.DUMMYFUNCTION("""COMPUTED_VALUE"""),215.0)</f>
        <v>215</v>
      </c>
      <c r="M92" s="65" t="str">
        <f>IFERROR(__xludf.DUMMYFUNCTION("""COMPUTED_VALUE"""),"105x")</f>
        <v>105x</v>
      </c>
      <c r="N92" s="65" t="str">
        <f>IFERROR(__xludf.DUMMYFUNCTION("""COMPUTED_VALUE"""),"105g")</f>
        <v>105g</v>
      </c>
      <c r="O92" s="65" t="str">
        <f>IFERROR(__xludf.DUMMYFUNCTION("""COMPUTED_VALUE"""),"115x")</f>
        <v>115x</v>
      </c>
      <c r="P92" s="64">
        <f>IFERROR(__xludf.DUMMYFUNCTION("""COMPUTED_VALUE"""),105.0)</f>
        <v>105</v>
      </c>
      <c r="Q92" s="65" t="str">
        <f>IFERROR(__xludf.DUMMYFUNCTION("""COMPUTED_VALUE"""),"250g")</f>
        <v>250g</v>
      </c>
      <c r="R92" s="65" t="str">
        <f>IFERROR(__xludf.DUMMYFUNCTION("""COMPUTED_VALUE"""),"275g")</f>
        <v>275g</v>
      </c>
      <c r="S92" s="65" t="str">
        <f>IFERROR(__xludf.DUMMYFUNCTION("""COMPUTED_VALUE"""),"305x")</f>
        <v>305x</v>
      </c>
      <c r="T92" s="64">
        <f>IFERROR(__xludf.DUMMYFUNCTION("""COMPUTED_VALUE"""),275.0)</f>
        <v>275</v>
      </c>
      <c r="U92" s="66">
        <f>IFERROR(__xludf.DUMMYFUNCTION("""COMPUTED_VALUE"""),595.0)</f>
        <v>595</v>
      </c>
      <c r="V92" s="78">
        <f>IFERROR(__xludf.DUMMYFUNCTION("""COMPUTED_VALUE"""),3.518628030751035)</f>
        <v>3.518628031</v>
      </c>
    </row>
    <row r="93">
      <c r="B93" s="59" t="s">
        <v>127</v>
      </c>
      <c r="C93" s="59">
        <f>if(countif(F86:F92,F93)&gt;1,0,3)</f>
        <v>3</v>
      </c>
      <c r="D93" s="59" t="str">
        <f>IFERROR(__xludf.DUMMYFUNCTION("""COMPUTED_VALUE"""),"181 WJV")</f>
        <v>181 WJV</v>
      </c>
      <c r="E93" s="61" t="str">
        <f>IFERROR(__xludf.DUMMYFUNCTION("""COMPUTED_VALUE"""),"WJV")</f>
        <v>WJV</v>
      </c>
      <c r="F93" s="62" t="str">
        <f>IFERROR(__xludf.DUMMYFUNCTION("""COMPUTED_VALUE"""),"Henry Ford II")</f>
        <v>Henry Ford II</v>
      </c>
      <c r="G93" s="61">
        <f>IFERROR(__xludf.DUMMYFUNCTION("""COMPUTED_VALUE"""),180.0)</f>
        <v>180</v>
      </c>
      <c r="H93" s="62" t="str">
        <f>IFERROR(__xludf.DUMMYFUNCTION("""COMPUTED_VALUE"""),"O’Connor, Marissa")</f>
        <v>O’Connor, Marissa</v>
      </c>
      <c r="I93" s="63" t="str">
        <f>IFERROR(__xludf.DUMMYFUNCTION("""COMPUTED_VALUE"""),"220g")</f>
        <v>220g</v>
      </c>
      <c r="J93" s="61" t="str">
        <f>IFERROR(__xludf.DUMMYFUNCTION("""COMPUTED_VALUE"""),"230g")</f>
        <v>230g</v>
      </c>
      <c r="K93" s="61" t="str">
        <f>IFERROR(__xludf.DUMMYFUNCTION("""COMPUTED_VALUE"""),"245x")</f>
        <v>245x</v>
      </c>
      <c r="L93" s="77">
        <f>IFERROR(__xludf.DUMMYFUNCTION("""COMPUTED_VALUE"""),230.0)</f>
        <v>230</v>
      </c>
      <c r="M93" s="65" t="str">
        <f>IFERROR(__xludf.DUMMYFUNCTION("""COMPUTED_VALUE"""),"115g")</f>
        <v>115g</v>
      </c>
      <c r="N93" s="65" t="str">
        <f>IFERROR(__xludf.DUMMYFUNCTION("""COMPUTED_VALUE"""),"120x")</f>
        <v>120x</v>
      </c>
      <c r="O93" s="65" t="str">
        <f>IFERROR(__xludf.DUMMYFUNCTION("""COMPUTED_VALUE"""),"120g")</f>
        <v>120g</v>
      </c>
      <c r="P93" s="64">
        <f>IFERROR(__xludf.DUMMYFUNCTION("""COMPUTED_VALUE"""),120.0)</f>
        <v>120</v>
      </c>
      <c r="Q93" s="65" t="str">
        <f>IFERROR(__xludf.DUMMYFUNCTION("""COMPUTED_VALUE"""),"235g")</f>
        <v>235g</v>
      </c>
      <c r="R93" s="65" t="str">
        <f>IFERROR(__xludf.DUMMYFUNCTION("""COMPUTED_VALUE"""),"250x")</f>
        <v>250x</v>
      </c>
      <c r="S93" s="65" t="str">
        <f>IFERROR(__xludf.DUMMYFUNCTION("""COMPUTED_VALUE"""),"250x")</f>
        <v>250x</v>
      </c>
      <c r="T93" s="64">
        <f>IFERROR(__xludf.DUMMYFUNCTION("""COMPUTED_VALUE"""),235.0)</f>
        <v>235</v>
      </c>
      <c r="U93" s="66">
        <f>IFERROR(__xludf.DUMMYFUNCTION("""COMPUTED_VALUE"""),585.0)</f>
        <v>585</v>
      </c>
      <c r="V93" s="78">
        <f>IFERROR(__xludf.DUMMYFUNCTION("""COMPUTED_VALUE"""),3.25)</f>
        <v>3.25</v>
      </c>
    </row>
    <row r="94">
      <c r="B94" s="59" t="s">
        <v>128</v>
      </c>
      <c r="C94" s="59">
        <f>if(countif(F86:F93,F94)&gt;1,0,2)</f>
        <v>2</v>
      </c>
      <c r="D94" s="59" t="str">
        <f>IFERROR(__xludf.DUMMYFUNCTION("""COMPUTED_VALUE"""),"181 WJV")</f>
        <v>181 WJV</v>
      </c>
      <c r="E94" s="61" t="str">
        <f>IFERROR(__xludf.DUMMYFUNCTION("""COMPUTED_VALUE"""),"WJV")</f>
        <v>WJV</v>
      </c>
      <c r="F94" s="62" t="str">
        <f>IFERROR(__xludf.DUMMYFUNCTION("""COMPUTED_VALUE"""),"Flushing")</f>
        <v>Flushing</v>
      </c>
      <c r="G94" s="61">
        <f>IFERROR(__xludf.DUMMYFUNCTION("""COMPUTED_VALUE"""),174.6)</f>
        <v>174.6</v>
      </c>
      <c r="H94" s="62" t="str">
        <f>IFERROR(__xludf.DUMMYFUNCTION("""COMPUTED_VALUE"""),"Nikle, Abbegayle")</f>
        <v>Nikle, Abbegayle</v>
      </c>
      <c r="I94" s="63" t="str">
        <f>IFERROR(__xludf.DUMMYFUNCTION("""COMPUTED_VALUE"""),"165g")</f>
        <v>165g</v>
      </c>
      <c r="J94" s="61" t="str">
        <f>IFERROR(__xludf.DUMMYFUNCTION("""COMPUTED_VALUE"""),"175g")</f>
        <v>175g</v>
      </c>
      <c r="K94" s="61" t="str">
        <f>IFERROR(__xludf.DUMMYFUNCTION("""COMPUTED_VALUE"""),"195g")</f>
        <v>195g</v>
      </c>
      <c r="L94" s="77">
        <f>IFERROR(__xludf.DUMMYFUNCTION("""COMPUTED_VALUE"""),195.0)</f>
        <v>195</v>
      </c>
      <c r="M94" s="65" t="str">
        <f>IFERROR(__xludf.DUMMYFUNCTION("""COMPUTED_VALUE"""),"90g")</f>
        <v>90g</v>
      </c>
      <c r="N94" s="65" t="str">
        <f>IFERROR(__xludf.DUMMYFUNCTION("""COMPUTED_VALUE"""),"100g")</f>
        <v>100g</v>
      </c>
      <c r="O94" s="65" t="str">
        <f>IFERROR(__xludf.DUMMYFUNCTION("""COMPUTED_VALUE"""),"110x")</f>
        <v>110x</v>
      </c>
      <c r="P94" s="64">
        <f>IFERROR(__xludf.DUMMYFUNCTION("""COMPUTED_VALUE"""),100.0)</f>
        <v>100</v>
      </c>
      <c r="Q94" s="65" t="str">
        <f>IFERROR(__xludf.DUMMYFUNCTION("""COMPUTED_VALUE"""),"200g")</f>
        <v>200g</v>
      </c>
      <c r="R94" s="65" t="str">
        <f>IFERROR(__xludf.DUMMYFUNCTION("""COMPUTED_VALUE"""),"230g")</f>
        <v>230g</v>
      </c>
      <c r="S94" s="65" t="str">
        <f>IFERROR(__xludf.DUMMYFUNCTION("""COMPUTED_VALUE"""),"250g")</f>
        <v>250g</v>
      </c>
      <c r="T94" s="64">
        <f>IFERROR(__xludf.DUMMYFUNCTION("""COMPUTED_VALUE"""),250.0)</f>
        <v>250</v>
      </c>
      <c r="U94" s="66">
        <f>IFERROR(__xludf.DUMMYFUNCTION("""COMPUTED_VALUE"""),545.0)</f>
        <v>545</v>
      </c>
      <c r="V94" s="78">
        <f>IFERROR(__xludf.DUMMYFUNCTION("""COMPUTED_VALUE"""),3.1214203894616266)</f>
        <v>3.121420389</v>
      </c>
    </row>
    <row r="95">
      <c r="B95" s="59" t="s">
        <v>129</v>
      </c>
      <c r="C95" s="59">
        <f>if(countif(F86:F94,F95)&gt;1,0,1)</f>
        <v>1</v>
      </c>
      <c r="D95" s="59" t="str">
        <f>IFERROR(__xludf.DUMMYFUNCTION("""COMPUTED_VALUE"""),"181 WJV")</f>
        <v>181 WJV</v>
      </c>
      <c r="E95" s="61" t="str">
        <f>IFERROR(__xludf.DUMMYFUNCTION("""COMPUTED_VALUE"""),"WJV")</f>
        <v>WJV</v>
      </c>
      <c r="F95" s="62" t="str">
        <f>IFERROR(__xludf.DUMMYFUNCTION("""COMPUTED_VALUE"""),"Whitehall")</f>
        <v>Whitehall</v>
      </c>
      <c r="G95" s="61">
        <f>IFERROR(__xludf.DUMMYFUNCTION("""COMPUTED_VALUE"""),177.8)</f>
        <v>177.8</v>
      </c>
      <c r="H95" s="62" t="str">
        <f>IFERROR(__xludf.DUMMYFUNCTION("""COMPUTED_VALUE"""),"McWhinnie, Jade")</f>
        <v>McWhinnie, Jade</v>
      </c>
      <c r="I95" s="63" t="str">
        <f>IFERROR(__xludf.DUMMYFUNCTION("""COMPUTED_VALUE"""),"165g")</f>
        <v>165g</v>
      </c>
      <c r="J95" s="61" t="str">
        <f>IFERROR(__xludf.DUMMYFUNCTION("""COMPUTED_VALUE"""),"185x")</f>
        <v>185x</v>
      </c>
      <c r="K95" s="61" t="str">
        <f>IFERROR(__xludf.DUMMYFUNCTION("""COMPUTED_VALUE"""),"185x")</f>
        <v>185x</v>
      </c>
      <c r="L95" s="77">
        <f>IFERROR(__xludf.DUMMYFUNCTION("""COMPUTED_VALUE"""),165.0)</f>
        <v>165</v>
      </c>
      <c r="M95" s="65" t="str">
        <f>IFERROR(__xludf.DUMMYFUNCTION("""COMPUTED_VALUE"""),"95g")</f>
        <v>95g</v>
      </c>
      <c r="N95" s="65" t="str">
        <f>IFERROR(__xludf.DUMMYFUNCTION("""COMPUTED_VALUE"""),"100x")</f>
        <v>100x</v>
      </c>
      <c r="O95" s="65" t="str">
        <f>IFERROR(__xludf.DUMMYFUNCTION("""COMPUTED_VALUE"""),"100g")</f>
        <v>100g</v>
      </c>
      <c r="P95" s="64">
        <f>IFERROR(__xludf.DUMMYFUNCTION("""COMPUTED_VALUE"""),100.0)</f>
        <v>100</v>
      </c>
      <c r="Q95" s="65" t="str">
        <f>IFERROR(__xludf.DUMMYFUNCTION("""COMPUTED_VALUE"""),"275g")</f>
        <v>275g</v>
      </c>
      <c r="R95" s="65" t="str">
        <f>IFERROR(__xludf.DUMMYFUNCTION("""COMPUTED_VALUE"""),"300x")</f>
        <v>300x</v>
      </c>
      <c r="S95" s="65" t="str">
        <f>IFERROR(__xludf.DUMMYFUNCTION("""COMPUTED_VALUE"""),"300x")</f>
        <v>300x</v>
      </c>
      <c r="T95" s="64">
        <f>IFERROR(__xludf.DUMMYFUNCTION("""COMPUTED_VALUE"""),275.0)</f>
        <v>275</v>
      </c>
      <c r="U95" s="66">
        <f>IFERROR(__xludf.DUMMYFUNCTION("""COMPUTED_VALUE"""),540.0)</f>
        <v>540</v>
      </c>
      <c r="V95" s="78">
        <f>IFERROR(__xludf.DUMMYFUNCTION("""COMPUTED_VALUE"""),3.0371203599550056)</f>
        <v>3.03712036</v>
      </c>
    </row>
    <row r="96">
      <c r="A96" s="73">
        <v>198.0</v>
      </c>
      <c r="B96" s="68" t="s">
        <v>120</v>
      </c>
      <c r="C96" s="68">
        <v>12.0</v>
      </c>
      <c r="D96" s="68" t="str">
        <f>IFERROR(__xludf.DUMMYFUNCTION("ARRAY_CONSTRAIN(sort(filter(WJV_Tie_Breaker!D6:X285,WJV_Tie_Breaker!D6:D285=""198 WJV""),18,false,4,true,20,false,21,true),10,19)"),"198 WJV")</f>
        <v>198 WJV</v>
      </c>
      <c r="E96" s="69" t="str">
        <f>IFERROR(__xludf.DUMMYFUNCTION("""COMPUTED_VALUE"""),"WJV")</f>
        <v>WJV</v>
      </c>
      <c r="F96" s="70" t="str">
        <f>IFERROR(__xludf.DUMMYFUNCTION("""COMPUTED_VALUE"""),"Flushing")</f>
        <v>Flushing</v>
      </c>
      <c r="G96" s="69">
        <f>IFERROR(__xludf.DUMMYFUNCTION("""COMPUTED_VALUE"""),192.0)</f>
        <v>192</v>
      </c>
      <c r="H96" s="70" t="str">
        <f>IFERROR(__xludf.DUMMYFUNCTION("""COMPUTED_VALUE"""),"Presley, Arissa")</f>
        <v>Presley, Arissa</v>
      </c>
      <c r="I96" s="71" t="str">
        <f>IFERROR(__xludf.DUMMYFUNCTION("""COMPUTED_VALUE"""),"245g")</f>
        <v>245g</v>
      </c>
      <c r="J96" s="69" t="str">
        <f>IFERROR(__xludf.DUMMYFUNCTION("""COMPUTED_VALUE"""),"265x")</f>
        <v>265x</v>
      </c>
      <c r="K96" s="69" t="str">
        <f>IFERROR(__xludf.DUMMYFUNCTION("""COMPUTED_VALUE"""),"270g")</f>
        <v>270g</v>
      </c>
      <c r="L96" s="77">
        <f>IFERROR(__xludf.DUMMYFUNCTION("""COMPUTED_VALUE"""),270.0)</f>
        <v>270</v>
      </c>
      <c r="M96" s="72" t="str">
        <f>IFERROR(__xludf.DUMMYFUNCTION("""COMPUTED_VALUE"""),"90g")</f>
        <v>90g</v>
      </c>
      <c r="N96" s="72" t="str">
        <f>IFERROR(__xludf.DUMMYFUNCTION("""COMPUTED_VALUE"""),"100g")</f>
        <v>100g</v>
      </c>
      <c r="O96" s="72" t="str">
        <f>IFERROR(__xludf.DUMMYFUNCTION("""COMPUTED_VALUE"""),"105x")</f>
        <v>105x</v>
      </c>
      <c r="P96" s="64">
        <f>IFERROR(__xludf.DUMMYFUNCTION("""COMPUTED_VALUE"""),100.0)</f>
        <v>100</v>
      </c>
      <c r="Q96" s="72" t="str">
        <f>IFERROR(__xludf.DUMMYFUNCTION("""COMPUTED_VALUE"""),"245g")</f>
        <v>245g</v>
      </c>
      <c r="R96" s="72" t="str">
        <f>IFERROR(__xludf.DUMMYFUNCTION("""COMPUTED_VALUE"""),"265g")</f>
        <v>265g</v>
      </c>
      <c r="S96" s="72" t="str">
        <f>IFERROR(__xludf.DUMMYFUNCTION("""COMPUTED_VALUE"""),"280g")</f>
        <v>280g</v>
      </c>
      <c r="T96" s="64">
        <f>IFERROR(__xludf.DUMMYFUNCTION("""COMPUTED_VALUE"""),280.0)</f>
        <v>280</v>
      </c>
      <c r="U96" s="66">
        <f>IFERROR(__xludf.DUMMYFUNCTION("""COMPUTED_VALUE"""),650.0)</f>
        <v>650</v>
      </c>
      <c r="V96" s="79">
        <f>IFERROR(__xludf.DUMMYFUNCTION("""COMPUTED_VALUE"""),3.3854166666666665)</f>
        <v>3.385416667</v>
      </c>
    </row>
    <row r="97">
      <c r="B97" s="68" t="s">
        <v>121</v>
      </c>
      <c r="C97" s="68">
        <v>9.0</v>
      </c>
      <c r="D97" s="68" t="str">
        <f>IFERROR(__xludf.DUMMYFUNCTION("""COMPUTED_VALUE"""),"198 WJV")</f>
        <v>198 WJV</v>
      </c>
      <c r="E97" s="69" t="str">
        <f>IFERROR(__xludf.DUMMYFUNCTION("""COMPUTED_VALUE"""),"WJV")</f>
        <v>WJV</v>
      </c>
      <c r="F97" s="70" t="str">
        <f>IFERROR(__xludf.DUMMYFUNCTION("""COMPUTED_VALUE"""),"Dowagiac")</f>
        <v>Dowagiac</v>
      </c>
      <c r="G97" s="69">
        <f>IFERROR(__xludf.DUMMYFUNCTION("""COMPUTED_VALUE"""),192.2)</f>
        <v>192.2</v>
      </c>
      <c r="H97" s="70" t="str">
        <f>IFERROR(__xludf.DUMMYFUNCTION("""COMPUTED_VALUE"""),"Carpenter, Sierra")</f>
        <v>Carpenter, Sierra</v>
      </c>
      <c r="I97" s="71" t="str">
        <f>IFERROR(__xludf.DUMMYFUNCTION("""COMPUTED_VALUE"""),"215x")</f>
        <v>215x</v>
      </c>
      <c r="J97" s="69" t="str">
        <f>IFERROR(__xludf.DUMMYFUNCTION("""COMPUTED_VALUE"""),"215g")</f>
        <v>215g</v>
      </c>
      <c r="K97" s="69" t="str">
        <f>IFERROR(__xludf.DUMMYFUNCTION("""COMPUTED_VALUE"""),"225g")</f>
        <v>225g</v>
      </c>
      <c r="L97" s="77">
        <f>IFERROR(__xludf.DUMMYFUNCTION("""COMPUTED_VALUE"""),225.0)</f>
        <v>225</v>
      </c>
      <c r="M97" s="72" t="str">
        <f>IFERROR(__xludf.DUMMYFUNCTION("""COMPUTED_VALUE"""),"115g")</f>
        <v>115g</v>
      </c>
      <c r="N97" s="72" t="str">
        <f>IFERROR(__xludf.DUMMYFUNCTION("""COMPUTED_VALUE"""),"125g")</f>
        <v>125g</v>
      </c>
      <c r="O97" s="72" t="str">
        <f>IFERROR(__xludf.DUMMYFUNCTION("""COMPUTED_VALUE"""),"135x")</f>
        <v>135x</v>
      </c>
      <c r="P97" s="64">
        <f>IFERROR(__xludf.DUMMYFUNCTION("""COMPUTED_VALUE"""),125.0)</f>
        <v>125</v>
      </c>
      <c r="Q97" s="72" t="str">
        <f>IFERROR(__xludf.DUMMYFUNCTION("""COMPUTED_VALUE"""),"250g")</f>
        <v>250g</v>
      </c>
      <c r="R97" s="72" t="str">
        <f>IFERROR(__xludf.DUMMYFUNCTION("""COMPUTED_VALUE"""),"270g")</f>
        <v>270g</v>
      </c>
      <c r="S97" s="72" t="str">
        <f>IFERROR(__xludf.DUMMYFUNCTION("""COMPUTED_VALUE"""),"300g")</f>
        <v>300g</v>
      </c>
      <c r="T97" s="64">
        <f>IFERROR(__xludf.DUMMYFUNCTION("""COMPUTED_VALUE"""),300.0)</f>
        <v>300</v>
      </c>
      <c r="U97" s="66">
        <f>IFERROR(__xludf.DUMMYFUNCTION("""COMPUTED_VALUE"""),650.0)</f>
        <v>650</v>
      </c>
      <c r="V97" s="79">
        <f>IFERROR(__xludf.DUMMYFUNCTION("""COMPUTED_VALUE"""),3.381893860561915)</f>
        <v>3.381893861</v>
      </c>
    </row>
    <row r="98">
      <c r="B98" s="68" t="s">
        <v>122</v>
      </c>
      <c r="C98" s="68">
        <f>if(countif(F96:F97,F98)&gt;1,0,8)</f>
        <v>8</v>
      </c>
      <c r="D98" s="68" t="str">
        <f>IFERROR(__xludf.DUMMYFUNCTION("""COMPUTED_VALUE"""),"198 WJV")</f>
        <v>198 WJV</v>
      </c>
      <c r="E98" s="69" t="str">
        <f>IFERROR(__xludf.DUMMYFUNCTION("""COMPUTED_VALUE"""),"WJV")</f>
        <v>WJV</v>
      </c>
      <c r="F98" s="70" t="str">
        <f>IFERROR(__xludf.DUMMYFUNCTION("""COMPUTED_VALUE"""),"Goodrich")</f>
        <v>Goodrich</v>
      </c>
      <c r="G98" s="69">
        <f>IFERROR(__xludf.DUMMYFUNCTION("""COMPUTED_VALUE"""),187.2)</f>
        <v>187.2</v>
      </c>
      <c r="H98" s="70" t="str">
        <f>IFERROR(__xludf.DUMMYFUNCTION("""COMPUTED_VALUE"""),"Vickory, Roxanne")</f>
        <v>Vickory, Roxanne</v>
      </c>
      <c r="I98" s="71" t="str">
        <f>IFERROR(__xludf.DUMMYFUNCTION("""COMPUTED_VALUE"""),"200g")</f>
        <v>200g</v>
      </c>
      <c r="J98" s="69" t="str">
        <f>IFERROR(__xludf.DUMMYFUNCTION("""COMPUTED_VALUE"""),"215x")</f>
        <v>215x</v>
      </c>
      <c r="K98" s="69" t="str">
        <f>IFERROR(__xludf.DUMMYFUNCTION("""COMPUTED_VALUE"""),"225g")</f>
        <v>225g</v>
      </c>
      <c r="L98" s="77">
        <f>IFERROR(__xludf.DUMMYFUNCTION("""COMPUTED_VALUE"""),225.0)</f>
        <v>225</v>
      </c>
      <c r="M98" s="72" t="str">
        <f>IFERROR(__xludf.DUMMYFUNCTION("""COMPUTED_VALUE"""),"95g")</f>
        <v>95g</v>
      </c>
      <c r="N98" s="72" t="str">
        <f>IFERROR(__xludf.DUMMYFUNCTION("""COMPUTED_VALUE"""),"105g")</f>
        <v>105g</v>
      </c>
      <c r="O98" s="72" t="str">
        <f>IFERROR(__xludf.DUMMYFUNCTION("""COMPUTED_VALUE"""),"110x")</f>
        <v>110x</v>
      </c>
      <c r="P98" s="64">
        <f>IFERROR(__xludf.DUMMYFUNCTION("""COMPUTED_VALUE"""),105.0)</f>
        <v>105</v>
      </c>
      <c r="Q98" s="72" t="str">
        <f>IFERROR(__xludf.DUMMYFUNCTION("""COMPUTED_VALUE"""),"275g")</f>
        <v>275g</v>
      </c>
      <c r="R98" s="72" t="str">
        <f>IFERROR(__xludf.DUMMYFUNCTION("""COMPUTED_VALUE"""),"300x")</f>
        <v>300x</v>
      </c>
      <c r="S98" s="72" t="str">
        <f>IFERROR(__xludf.DUMMYFUNCTION("""COMPUTED_VALUE"""),"305g")</f>
        <v>305g</v>
      </c>
      <c r="T98" s="64">
        <f>IFERROR(__xludf.DUMMYFUNCTION("""COMPUTED_VALUE"""),305.0)</f>
        <v>305</v>
      </c>
      <c r="U98" s="66">
        <f>IFERROR(__xludf.DUMMYFUNCTION("""COMPUTED_VALUE"""),635.0)</f>
        <v>635</v>
      </c>
      <c r="V98" s="79">
        <f>IFERROR(__xludf.DUMMYFUNCTION("""COMPUTED_VALUE"""),3.3920940170940175)</f>
        <v>3.392094017</v>
      </c>
    </row>
    <row r="99">
      <c r="B99" s="68" t="s">
        <v>123</v>
      </c>
      <c r="C99" s="68">
        <f>if(countif(F96:F98,F99)&gt;1,0,7)</f>
        <v>7</v>
      </c>
      <c r="D99" s="68" t="str">
        <f>IFERROR(__xludf.DUMMYFUNCTION("""COMPUTED_VALUE"""),"198 WJV")</f>
        <v>198 WJV</v>
      </c>
      <c r="E99" s="69" t="str">
        <f>IFERROR(__xludf.DUMMYFUNCTION("""COMPUTED_VALUE"""),"WJV")</f>
        <v>WJV</v>
      </c>
      <c r="F99" s="70" t="str">
        <f>IFERROR(__xludf.DUMMYFUNCTION("""COMPUTED_VALUE"""),"Kingston")</f>
        <v>Kingston</v>
      </c>
      <c r="G99" s="69">
        <f>IFERROR(__xludf.DUMMYFUNCTION("""COMPUTED_VALUE"""),197.0)</f>
        <v>197</v>
      </c>
      <c r="H99" s="70" t="str">
        <f>IFERROR(__xludf.DUMMYFUNCTION("""COMPUTED_VALUE"""),"Haag, Mariea Ann")</f>
        <v>Haag, Mariea Ann</v>
      </c>
      <c r="I99" s="71" t="str">
        <f>IFERROR(__xludf.DUMMYFUNCTION("""COMPUTED_VALUE"""),"165g")</f>
        <v>165g</v>
      </c>
      <c r="J99" s="69" t="str">
        <f>IFERROR(__xludf.DUMMYFUNCTION("""COMPUTED_VALUE"""),"185g")</f>
        <v>185g</v>
      </c>
      <c r="K99" s="69" t="str">
        <f>IFERROR(__xludf.DUMMYFUNCTION("""COMPUTED_VALUE"""),"210g")</f>
        <v>210g</v>
      </c>
      <c r="L99" s="77">
        <f>IFERROR(__xludf.DUMMYFUNCTION("""COMPUTED_VALUE"""),210.0)</f>
        <v>210</v>
      </c>
      <c r="M99" s="72" t="str">
        <f>IFERROR(__xludf.DUMMYFUNCTION("""COMPUTED_VALUE"""),"100g")</f>
        <v>100g</v>
      </c>
      <c r="N99" s="72" t="str">
        <f>IFERROR(__xludf.DUMMYFUNCTION("""COMPUTED_VALUE"""),"120g")</f>
        <v>120g</v>
      </c>
      <c r="O99" s="72" t="str">
        <f>IFERROR(__xludf.DUMMYFUNCTION("""COMPUTED_VALUE"""),"135x")</f>
        <v>135x</v>
      </c>
      <c r="P99" s="64">
        <f>IFERROR(__xludf.DUMMYFUNCTION("""COMPUTED_VALUE"""),120.0)</f>
        <v>120</v>
      </c>
      <c r="Q99" s="72" t="str">
        <f>IFERROR(__xludf.DUMMYFUNCTION("""COMPUTED_VALUE"""),"270g")</f>
        <v>270g</v>
      </c>
      <c r="R99" s="72" t="str">
        <f>IFERROR(__xludf.DUMMYFUNCTION("""COMPUTED_VALUE"""),"285g")</f>
        <v>285g</v>
      </c>
      <c r="S99" s="72" t="str">
        <f>IFERROR(__xludf.DUMMYFUNCTION("""COMPUTED_VALUE"""),"310x")</f>
        <v>310x</v>
      </c>
      <c r="T99" s="64">
        <f>IFERROR(__xludf.DUMMYFUNCTION("""COMPUTED_VALUE"""),285.0)</f>
        <v>285</v>
      </c>
      <c r="U99" s="66">
        <f>IFERROR(__xludf.DUMMYFUNCTION("""COMPUTED_VALUE"""),615.0)</f>
        <v>615</v>
      </c>
      <c r="V99" s="79">
        <f>IFERROR(__xludf.DUMMYFUNCTION("""COMPUTED_VALUE"""),3.1218274111675126)</f>
        <v>3.121827411</v>
      </c>
    </row>
    <row r="100">
      <c r="B100" s="68" t="s">
        <v>124</v>
      </c>
      <c r="C100" s="68">
        <f>if(countif(F96:F99,F100)&gt;1,0,6)</f>
        <v>6</v>
      </c>
      <c r="D100" s="68" t="str">
        <f>IFERROR(__xludf.DUMMYFUNCTION("""COMPUTED_VALUE"""),"198 WJV")</f>
        <v>198 WJV</v>
      </c>
      <c r="E100" s="69" t="str">
        <f>IFERROR(__xludf.DUMMYFUNCTION("""COMPUTED_VALUE"""),"WJV")</f>
        <v>WJV</v>
      </c>
      <c r="F100" s="70" t="str">
        <f>IFERROR(__xludf.DUMMYFUNCTION("""COMPUTED_VALUE"""),"Grass Lake")</f>
        <v>Grass Lake</v>
      </c>
      <c r="G100" s="69">
        <f>IFERROR(__xludf.DUMMYFUNCTION("""COMPUTED_VALUE"""),193.6)</f>
        <v>193.6</v>
      </c>
      <c r="H100" s="70" t="str">
        <f>IFERROR(__xludf.DUMMYFUNCTION("""COMPUTED_VALUE"""),"Sherwood, Jennifer")</f>
        <v>Sherwood, Jennifer</v>
      </c>
      <c r="I100" s="71" t="str">
        <f>IFERROR(__xludf.DUMMYFUNCTION("""COMPUTED_VALUE"""),"210g")</f>
        <v>210g</v>
      </c>
      <c r="J100" s="69" t="str">
        <f>IFERROR(__xludf.DUMMYFUNCTION("""COMPUTED_VALUE"""),"225x")</f>
        <v>225x</v>
      </c>
      <c r="K100" s="69" t="str">
        <f>IFERROR(__xludf.DUMMYFUNCTION("""COMPUTED_VALUE"""),"235x")</f>
        <v>235x</v>
      </c>
      <c r="L100" s="77">
        <f>IFERROR(__xludf.DUMMYFUNCTION("""COMPUTED_VALUE"""),210.0)</f>
        <v>210</v>
      </c>
      <c r="M100" s="72" t="str">
        <f>IFERROR(__xludf.DUMMYFUNCTION("""COMPUTED_VALUE"""),"110g")</f>
        <v>110g</v>
      </c>
      <c r="N100" s="72" t="str">
        <f>IFERROR(__xludf.DUMMYFUNCTION("""COMPUTED_VALUE"""),"120g")</f>
        <v>120g</v>
      </c>
      <c r="O100" s="72" t="str">
        <f>IFERROR(__xludf.DUMMYFUNCTION("""COMPUTED_VALUE"""),"135x")</f>
        <v>135x</v>
      </c>
      <c r="P100" s="64">
        <f>IFERROR(__xludf.DUMMYFUNCTION("""COMPUTED_VALUE"""),120.0)</f>
        <v>120</v>
      </c>
      <c r="Q100" s="72" t="str">
        <f>IFERROR(__xludf.DUMMYFUNCTION("""COMPUTED_VALUE"""),"260g")</f>
        <v>260g</v>
      </c>
      <c r="R100" s="72" t="str">
        <f>IFERROR(__xludf.DUMMYFUNCTION("""COMPUTED_VALUE"""),"280g")</f>
        <v>280g</v>
      </c>
      <c r="S100" s="72" t="str">
        <f>IFERROR(__xludf.DUMMYFUNCTION("""COMPUTED_VALUE"""),"300x")</f>
        <v>300x</v>
      </c>
      <c r="T100" s="64">
        <f>IFERROR(__xludf.DUMMYFUNCTION("""COMPUTED_VALUE"""),280.0)</f>
        <v>280</v>
      </c>
      <c r="U100" s="66">
        <f>IFERROR(__xludf.DUMMYFUNCTION("""COMPUTED_VALUE"""),610.0)</f>
        <v>610</v>
      </c>
      <c r="V100" s="79">
        <f>IFERROR(__xludf.DUMMYFUNCTION("""COMPUTED_VALUE"""),3.1508264462809916)</f>
        <v>3.150826446</v>
      </c>
    </row>
    <row r="101">
      <c r="B101" s="68" t="s">
        <v>125</v>
      </c>
      <c r="C101" s="68">
        <f>if(countif(F96:F100,F101)&gt;1,0,5)</f>
        <v>5</v>
      </c>
      <c r="D101" s="68" t="str">
        <f>IFERROR(__xludf.DUMMYFUNCTION("""COMPUTED_VALUE"""),"198 WJV")</f>
        <v>198 WJV</v>
      </c>
      <c r="E101" s="69" t="str">
        <f>IFERROR(__xludf.DUMMYFUNCTION("""COMPUTED_VALUE"""),"WJV")</f>
        <v>WJV</v>
      </c>
      <c r="F101" s="70" t="str">
        <f>IFERROR(__xludf.DUMMYFUNCTION("""COMPUTED_VALUE"""),"WHITEHALL")</f>
        <v>WHITEHALL</v>
      </c>
      <c r="G101" s="69">
        <f>IFERROR(__xludf.DUMMYFUNCTION("""COMPUTED_VALUE"""),186.0)</f>
        <v>186</v>
      </c>
      <c r="H101" s="70" t="str">
        <f>IFERROR(__xludf.DUMMYFUNCTION("""COMPUTED_VALUE"""),"Hendrickson, Elly")</f>
        <v>Hendrickson, Elly</v>
      </c>
      <c r="I101" s="71" t="str">
        <f>IFERROR(__xludf.DUMMYFUNCTION("""COMPUTED_VALUE"""),"135g")</f>
        <v>135g</v>
      </c>
      <c r="J101" s="69" t="str">
        <f>IFERROR(__xludf.DUMMYFUNCTION("""COMPUTED_VALUE"""),"165g")</f>
        <v>165g</v>
      </c>
      <c r="K101" s="69" t="str">
        <f>IFERROR(__xludf.DUMMYFUNCTION("""COMPUTED_VALUE"""),"185x")</f>
        <v>185x</v>
      </c>
      <c r="L101" s="77">
        <f>IFERROR(__xludf.DUMMYFUNCTION("""COMPUTED_VALUE"""),165.0)</f>
        <v>165</v>
      </c>
      <c r="M101" s="72" t="str">
        <f>IFERROR(__xludf.DUMMYFUNCTION("""COMPUTED_VALUE"""),"85g")</f>
        <v>85g</v>
      </c>
      <c r="N101" s="72" t="str">
        <f>IFERROR(__xludf.DUMMYFUNCTION("""COMPUTED_VALUE"""),"95g")</f>
        <v>95g</v>
      </c>
      <c r="O101" s="72" t="str">
        <f>IFERROR(__xludf.DUMMYFUNCTION("""COMPUTED_VALUE"""),"105g")</f>
        <v>105g</v>
      </c>
      <c r="P101" s="64">
        <f>IFERROR(__xludf.DUMMYFUNCTION("""COMPUTED_VALUE"""),105.0)</f>
        <v>105</v>
      </c>
      <c r="Q101" s="72" t="str">
        <f>IFERROR(__xludf.DUMMYFUNCTION("""COMPUTED_VALUE"""),"240g")</f>
        <v>240g</v>
      </c>
      <c r="R101" s="72" t="str">
        <f>IFERROR(__xludf.DUMMYFUNCTION("""COMPUTED_VALUE"""),"260g")</f>
        <v>260g</v>
      </c>
      <c r="S101" s="72" t="str">
        <f>IFERROR(__xludf.DUMMYFUNCTION("""COMPUTED_VALUE"""),"280g")</f>
        <v>280g</v>
      </c>
      <c r="T101" s="64">
        <f>IFERROR(__xludf.DUMMYFUNCTION("""COMPUTED_VALUE"""),280.0)</f>
        <v>280</v>
      </c>
      <c r="U101" s="66">
        <f>IFERROR(__xludf.DUMMYFUNCTION("""COMPUTED_VALUE"""),550.0)</f>
        <v>550</v>
      </c>
      <c r="V101" s="79">
        <f>IFERROR(__xludf.DUMMYFUNCTION("""COMPUTED_VALUE"""),2.956989247311828)</f>
        <v>2.956989247</v>
      </c>
    </row>
    <row r="102">
      <c r="B102" s="68" t="s">
        <v>126</v>
      </c>
      <c r="C102" s="68">
        <f>if(countif(F96:F101,F102)&gt;1,0,4)</f>
        <v>4</v>
      </c>
      <c r="D102" s="68" t="str">
        <f>IFERROR(__xludf.DUMMYFUNCTION("""COMPUTED_VALUE"""),"198 WJV")</f>
        <v>198 WJV</v>
      </c>
      <c r="E102" s="69" t="str">
        <f>IFERROR(__xludf.DUMMYFUNCTION("""COMPUTED_VALUE"""),"WJV")</f>
        <v>WJV</v>
      </c>
      <c r="F102" s="70" t="str">
        <f>IFERROR(__xludf.DUMMYFUNCTION("""COMPUTED_VALUE"""),"Hartford")</f>
        <v>Hartford</v>
      </c>
      <c r="G102" s="69">
        <f>IFERROR(__xludf.DUMMYFUNCTION("""COMPUTED_VALUE"""),195.8)</f>
        <v>195.8</v>
      </c>
      <c r="H102" s="70" t="str">
        <f>IFERROR(__xludf.DUMMYFUNCTION("""COMPUTED_VALUE"""),"Wilson, Emily")</f>
        <v>Wilson, Emily</v>
      </c>
      <c r="I102" s="71" t="str">
        <f>IFERROR(__xludf.DUMMYFUNCTION("""COMPUTED_VALUE"""),"165g")</f>
        <v>165g</v>
      </c>
      <c r="J102" s="69" t="str">
        <f>IFERROR(__xludf.DUMMYFUNCTION("""COMPUTED_VALUE"""),"185g")</f>
        <v>185g</v>
      </c>
      <c r="K102" s="69" t="str">
        <f>IFERROR(__xludf.DUMMYFUNCTION("""COMPUTED_VALUE"""),"200g")</f>
        <v>200g</v>
      </c>
      <c r="L102" s="77">
        <f>IFERROR(__xludf.DUMMYFUNCTION("""COMPUTED_VALUE"""),200.0)</f>
        <v>200</v>
      </c>
      <c r="M102" s="72" t="str">
        <f>IFERROR(__xludf.DUMMYFUNCTION("""COMPUTED_VALUE"""),"95g")</f>
        <v>95g</v>
      </c>
      <c r="N102" s="72" t="str">
        <f>IFERROR(__xludf.DUMMYFUNCTION("""COMPUTED_VALUE"""),"110g")</f>
        <v>110g</v>
      </c>
      <c r="O102" s="72" t="str">
        <f>IFERROR(__xludf.DUMMYFUNCTION("""COMPUTED_VALUE"""),"120g")</f>
        <v>120g</v>
      </c>
      <c r="P102" s="64">
        <f>IFERROR(__xludf.DUMMYFUNCTION("""COMPUTED_VALUE"""),120.0)</f>
        <v>120</v>
      </c>
      <c r="Q102" s="72" t="str">
        <f>IFERROR(__xludf.DUMMYFUNCTION("""COMPUTED_VALUE"""),"180g")</f>
        <v>180g</v>
      </c>
      <c r="R102" s="72" t="str">
        <f>IFERROR(__xludf.DUMMYFUNCTION("""COMPUTED_VALUE"""),"200g")</f>
        <v>200g</v>
      </c>
      <c r="S102" s="72" t="str">
        <f>IFERROR(__xludf.DUMMYFUNCTION("""COMPUTED_VALUE"""),"225g")</f>
        <v>225g</v>
      </c>
      <c r="T102" s="64">
        <f>IFERROR(__xludf.DUMMYFUNCTION("""COMPUTED_VALUE"""),225.0)</f>
        <v>225</v>
      </c>
      <c r="U102" s="66">
        <f>IFERROR(__xludf.DUMMYFUNCTION("""COMPUTED_VALUE"""),545.0)</f>
        <v>545</v>
      </c>
      <c r="V102" s="79">
        <f>IFERROR(__xludf.DUMMYFUNCTION("""COMPUTED_VALUE"""),2.783452502553626)</f>
        <v>2.783452503</v>
      </c>
    </row>
    <row r="103">
      <c r="B103" s="68" t="s">
        <v>127</v>
      </c>
      <c r="C103" s="68">
        <f>if(countif(F96:F102,F103)&gt;1,0,3)</f>
        <v>3</v>
      </c>
      <c r="D103" s="68" t="str">
        <f>IFERROR(__xludf.DUMMYFUNCTION("""COMPUTED_VALUE"""),"198 WJV")</f>
        <v>198 WJV</v>
      </c>
      <c r="E103" s="69" t="str">
        <f>IFERROR(__xludf.DUMMYFUNCTION("""COMPUTED_VALUE"""),"WJV")</f>
        <v>WJV</v>
      </c>
      <c r="F103" s="70" t="str">
        <f>IFERROR(__xludf.DUMMYFUNCTION("""COMPUTED_VALUE"""),"Central Montcalm")</f>
        <v>Central Montcalm</v>
      </c>
      <c r="G103" s="69">
        <f>IFERROR(__xludf.DUMMYFUNCTION("""COMPUTED_VALUE"""),194.2)</f>
        <v>194.2</v>
      </c>
      <c r="H103" s="70" t="str">
        <f>IFERROR(__xludf.DUMMYFUNCTION("""COMPUTED_VALUE"""),"McKeown, Kyla")</f>
        <v>McKeown, Kyla</v>
      </c>
      <c r="I103" s="71" t="str">
        <f>IFERROR(__xludf.DUMMYFUNCTION("""COMPUTED_VALUE"""),"160g")</f>
        <v>160g</v>
      </c>
      <c r="J103" s="69" t="str">
        <f>IFERROR(__xludf.DUMMYFUNCTION("""COMPUTED_VALUE"""),"185g")</f>
        <v>185g</v>
      </c>
      <c r="K103" s="69" t="str">
        <f>IFERROR(__xludf.DUMMYFUNCTION("""COMPUTED_VALUE"""),"200x")</f>
        <v>200x</v>
      </c>
      <c r="L103" s="77">
        <f>IFERROR(__xludf.DUMMYFUNCTION("""COMPUTED_VALUE"""),185.0)</f>
        <v>185</v>
      </c>
      <c r="M103" s="72" t="str">
        <f>IFERROR(__xludf.DUMMYFUNCTION("""COMPUTED_VALUE"""),"115g")</f>
        <v>115g</v>
      </c>
      <c r="N103" s="72" t="str">
        <f>IFERROR(__xludf.DUMMYFUNCTION("""COMPUTED_VALUE"""),"125g")</f>
        <v>125g</v>
      </c>
      <c r="O103" s="72" t="str">
        <f>IFERROR(__xludf.DUMMYFUNCTION("""COMPUTED_VALUE"""),"135x")</f>
        <v>135x</v>
      </c>
      <c r="P103" s="64">
        <f>IFERROR(__xludf.DUMMYFUNCTION("""COMPUTED_VALUE"""),125.0)</f>
        <v>125</v>
      </c>
      <c r="Q103" s="72" t="str">
        <f>IFERROR(__xludf.DUMMYFUNCTION("""COMPUTED_VALUE"""),"200g")</f>
        <v>200g</v>
      </c>
      <c r="R103" s="72" t="str">
        <f>IFERROR(__xludf.DUMMYFUNCTION("""COMPUTED_VALUE"""),"230g")</f>
        <v>230g</v>
      </c>
      <c r="S103" s="72" t="str">
        <f>IFERROR(__xludf.DUMMYFUNCTION("""COMPUTED_VALUE"""),"245x")</f>
        <v>245x</v>
      </c>
      <c r="T103" s="64">
        <f>IFERROR(__xludf.DUMMYFUNCTION("""COMPUTED_VALUE"""),230.0)</f>
        <v>230</v>
      </c>
      <c r="U103" s="66">
        <f>IFERROR(__xludf.DUMMYFUNCTION("""COMPUTED_VALUE"""),540.0)</f>
        <v>540</v>
      </c>
      <c r="V103" s="79">
        <f>IFERROR(__xludf.DUMMYFUNCTION("""COMPUTED_VALUE"""),2.780638516992791)</f>
        <v>2.780638517</v>
      </c>
    </row>
    <row r="104">
      <c r="B104" s="68" t="s">
        <v>128</v>
      </c>
      <c r="C104" s="68">
        <f>if(countif(F96:F103,F104)&gt;1,0,2)</f>
        <v>2</v>
      </c>
      <c r="D104" s="68" t="str">
        <f>IFERROR(__xludf.DUMMYFUNCTION("""COMPUTED_VALUE"""),"198 WJV")</f>
        <v>198 WJV</v>
      </c>
      <c r="E104" s="69" t="str">
        <f>IFERROR(__xludf.DUMMYFUNCTION("""COMPUTED_VALUE"""),"WJV")</f>
        <v>WJV</v>
      </c>
      <c r="F104" s="70" t="str">
        <f>IFERROR(__xludf.DUMMYFUNCTION("""COMPUTED_VALUE"""),"Henry Ford II")</f>
        <v>Henry Ford II</v>
      </c>
      <c r="G104" s="69">
        <f>IFERROR(__xludf.DUMMYFUNCTION("""COMPUTED_VALUE"""),194.4)</f>
        <v>194.4</v>
      </c>
      <c r="H104" s="70" t="str">
        <f>IFERROR(__xludf.DUMMYFUNCTION("""COMPUTED_VALUE"""),"Beninati, Maria")</f>
        <v>Beninati, Maria</v>
      </c>
      <c r="I104" s="71" t="str">
        <f>IFERROR(__xludf.DUMMYFUNCTION("""COMPUTED_VALUE"""),"185x")</f>
        <v>185x</v>
      </c>
      <c r="J104" s="69" t="str">
        <f>IFERROR(__xludf.DUMMYFUNCTION("""COMPUTED_VALUE"""),"185g")</f>
        <v>185g</v>
      </c>
      <c r="K104" s="69" t="str">
        <f>IFERROR(__xludf.DUMMYFUNCTION("""COMPUTED_VALUE"""),"200x")</f>
        <v>200x</v>
      </c>
      <c r="L104" s="77">
        <f>IFERROR(__xludf.DUMMYFUNCTION("""COMPUTED_VALUE"""),185.0)</f>
        <v>185</v>
      </c>
      <c r="M104" s="72" t="str">
        <f>IFERROR(__xludf.DUMMYFUNCTION("""COMPUTED_VALUE"""),"85g")</f>
        <v>85g</v>
      </c>
      <c r="N104" s="72" t="str">
        <f>IFERROR(__xludf.DUMMYFUNCTION("""COMPUTED_VALUE"""),"95x")</f>
        <v>95x</v>
      </c>
      <c r="O104" s="72" t="str">
        <f>IFERROR(__xludf.DUMMYFUNCTION("""COMPUTED_VALUE"""),"95g")</f>
        <v>95g</v>
      </c>
      <c r="P104" s="64">
        <f>IFERROR(__xludf.DUMMYFUNCTION("""COMPUTED_VALUE"""),95.0)</f>
        <v>95</v>
      </c>
      <c r="Q104" s="72" t="str">
        <f>IFERROR(__xludf.DUMMYFUNCTION("""COMPUTED_VALUE"""),"240g")</f>
        <v>240g</v>
      </c>
      <c r="R104" s="72" t="str">
        <f>IFERROR(__xludf.DUMMYFUNCTION("""COMPUTED_VALUE"""),"250g")</f>
        <v>250g</v>
      </c>
      <c r="S104" s="72" t="str">
        <f>IFERROR(__xludf.DUMMYFUNCTION("""COMPUTED_VALUE"""),"260x")</f>
        <v>260x</v>
      </c>
      <c r="T104" s="64">
        <f>IFERROR(__xludf.DUMMYFUNCTION("""COMPUTED_VALUE"""),250.0)</f>
        <v>250</v>
      </c>
      <c r="U104" s="66">
        <f>IFERROR(__xludf.DUMMYFUNCTION("""COMPUTED_VALUE"""),530.0)</f>
        <v>530</v>
      </c>
      <c r="V104" s="79">
        <f>IFERROR(__xludf.DUMMYFUNCTION("""COMPUTED_VALUE"""),2.7263374485596708)</f>
        <v>2.726337449</v>
      </c>
    </row>
    <row r="105">
      <c r="B105" s="68" t="s">
        <v>129</v>
      </c>
      <c r="C105" s="68">
        <f>if(countif(F96:F104,F105)&gt;1,0,1)</f>
        <v>1</v>
      </c>
      <c r="D105" s="68" t="str">
        <f>IFERROR(__xludf.DUMMYFUNCTION("""COMPUTED_VALUE"""),"198 WJV")</f>
        <v>198 WJV</v>
      </c>
      <c r="E105" s="69" t="str">
        <f>IFERROR(__xludf.DUMMYFUNCTION("""COMPUTED_VALUE"""),"WJV")</f>
        <v>WJV</v>
      </c>
      <c r="F105" s="70" t="str">
        <f>IFERROR(__xludf.DUMMYFUNCTION("""COMPUTED_VALUE"""),"Cros-Lex")</f>
        <v>Cros-Lex</v>
      </c>
      <c r="G105" s="69">
        <f>IFERROR(__xludf.DUMMYFUNCTION("""COMPUTED_VALUE"""),183.4)</f>
        <v>183.4</v>
      </c>
      <c r="H105" s="70" t="str">
        <f>IFERROR(__xludf.DUMMYFUNCTION("""COMPUTED_VALUE"""),"Zimmerman, Camryn")</f>
        <v>Zimmerman, Camryn</v>
      </c>
      <c r="I105" s="71" t="str">
        <f>IFERROR(__xludf.DUMMYFUNCTION("""COMPUTED_VALUE"""),"175g")</f>
        <v>175g</v>
      </c>
      <c r="J105" s="69" t="str">
        <f>IFERROR(__xludf.DUMMYFUNCTION("""COMPUTED_VALUE"""),"185g")</f>
        <v>185g</v>
      </c>
      <c r="K105" s="69" t="str">
        <f>IFERROR(__xludf.DUMMYFUNCTION("""COMPUTED_VALUE"""),"195g")</f>
        <v>195g</v>
      </c>
      <c r="L105" s="77">
        <f>IFERROR(__xludf.DUMMYFUNCTION("""COMPUTED_VALUE"""),195.0)</f>
        <v>195</v>
      </c>
      <c r="M105" s="72" t="str">
        <f>IFERROR(__xludf.DUMMYFUNCTION("""COMPUTED_VALUE"""),"90g")</f>
        <v>90g</v>
      </c>
      <c r="N105" s="72" t="str">
        <f>IFERROR(__xludf.DUMMYFUNCTION("""COMPUTED_VALUE"""),"90g")</f>
        <v>90g</v>
      </c>
      <c r="O105" s="72" t="str">
        <f>IFERROR(__xludf.DUMMYFUNCTION("""COMPUTED_VALUE"""),"100g")</f>
        <v>100g</v>
      </c>
      <c r="P105" s="64">
        <f>IFERROR(__xludf.DUMMYFUNCTION("""COMPUTED_VALUE"""),100.0)</f>
        <v>100</v>
      </c>
      <c r="Q105" s="72" t="str">
        <f>IFERROR(__xludf.DUMMYFUNCTION("""COMPUTED_VALUE"""),"215g")</f>
        <v>215g</v>
      </c>
      <c r="R105" s="72" t="str">
        <f>IFERROR(__xludf.DUMMYFUNCTION("""COMPUTED_VALUE"""),"225g")</f>
        <v>225g</v>
      </c>
      <c r="S105" s="72" t="str">
        <f>IFERROR(__xludf.DUMMYFUNCTION("""COMPUTED_VALUE"""),"250x")</f>
        <v>250x</v>
      </c>
      <c r="T105" s="64">
        <f>IFERROR(__xludf.DUMMYFUNCTION("""COMPUTED_VALUE"""),225.0)</f>
        <v>225</v>
      </c>
      <c r="U105" s="66">
        <f>IFERROR(__xludf.DUMMYFUNCTION("""COMPUTED_VALUE"""),520.0)</f>
        <v>520</v>
      </c>
      <c r="V105" s="79">
        <f>IFERROR(__xludf.DUMMYFUNCTION("""COMPUTED_VALUE"""),2.8353326063249726)</f>
        <v>2.835332606</v>
      </c>
    </row>
    <row r="106">
      <c r="A106" s="58">
        <v>220.0</v>
      </c>
      <c r="B106" s="59" t="s">
        <v>120</v>
      </c>
      <c r="C106" s="59">
        <v>12.0</v>
      </c>
      <c r="D106" s="59" t="str">
        <f>IFERROR(__xludf.DUMMYFUNCTION("ARRAY_CONSTRAIN(sort(filter(WJV_Tie_Breaker!D6:X285,WJV_Tie_Breaker!D6:D285=""220 WJV""),18,false,4,true,20,false,21,true),10,19)"),"220 WJV")</f>
        <v>220 WJV</v>
      </c>
      <c r="E106" s="61" t="str">
        <f>IFERROR(__xludf.DUMMYFUNCTION("""COMPUTED_VALUE"""),"WJV")</f>
        <v>WJV</v>
      </c>
      <c r="F106" s="62" t="str">
        <f>IFERROR(__xludf.DUMMYFUNCTION("""COMPUTED_VALUE"""),"Port Huron")</f>
        <v>Port Huron</v>
      </c>
      <c r="G106" s="61">
        <f>IFERROR(__xludf.DUMMYFUNCTION("""COMPUTED_VALUE"""),215.6)</f>
        <v>215.6</v>
      </c>
      <c r="H106" s="62" t="str">
        <f>IFERROR(__xludf.DUMMYFUNCTION("""COMPUTED_VALUE"""),"Graham, Kashanna")</f>
        <v>Graham, Kashanna</v>
      </c>
      <c r="I106" s="63" t="str">
        <f>IFERROR(__xludf.DUMMYFUNCTION("""COMPUTED_VALUE"""),"195g")</f>
        <v>195g</v>
      </c>
      <c r="J106" s="61" t="str">
        <f>IFERROR(__xludf.DUMMYFUNCTION("""COMPUTED_VALUE"""),"215g")</f>
        <v>215g</v>
      </c>
      <c r="K106" s="61" t="str">
        <f>IFERROR(__xludf.DUMMYFUNCTION("""COMPUTED_VALUE"""),"245g")</f>
        <v>245g</v>
      </c>
      <c r="L106" s="77">
        <f>IFERROR(__xludf.DUMMYFUNCTION("""COMPUTED_VALUE"""),245.0)</f>
        <v>245</v>
      </c>
      <c r="M106" s="65" t="str">
        <f>IFERROR(__xludf.DUMMYFUNCTION("""COMPUTED_VALUE"""),"135g")</f>
        <v>135g</v>
      </c>
      <c r="N106" s="65" t="str">
        <f>IFERROR(__xludf.DUMMYFUNCTION("""COMPUTED_VALUE"""),"145g")</f>
        <v>145g</v>
      </c>
      <c r="O106" s="65" t="str">
        <f>IFERROR(__xludf.DUMMYFUNCTION("""COMPUTED_VALUE"""),"155x")</f>
        <v>155x</v>
      </c>
      <c r="P106" s="64">
        <f>IFERROR(__xludf.DUMMYFUNCTION("""COMPUTED_VALUE"""),145.0)</f>
        <v>145</v>
      </c>
      <c r="Q106" s="65" t="str">
        <f>IFERROR(__xludf.DUMMYFUNCTION("""COMPUTED_VALUE"""),"285g")</f>
        <v>285g</v>
      </c>
      <c r="R106" s="65" t="str">
        <f>IFERROR(__xludf.DUMMYFUNCTION("""COMPUTED_VALUE"""),"320g")</f>
        <v>320g</v>
      </c>
      <c r="S106" s="65" t="str">
        <f>IFERROR(__xludf.DUMMYFUNCTION("""COMPUTED_VALUE"""),"335x")</f>
        <v>335x</v>
      </c>
      <c r="T106" s="64">
        <f>IFERROR(__xludf.DUMMYFUNCTION("""COMPUTED_VALUE"""),320.0)</f>
        <v>320</v>
      </c>
      <c r="U106" s="66">
        <f>IFERROR(__xludf.DUMMYFUNCTION("""COMPUTED_VALUE"""),710.0)</f>
        <v>710</v>
      </c>
      <c r="V106" s="78">
        <f>IFERROR(__xludf.DUMMYFUNCTION("""COMPUTED_VALUE"""),3.293135435992579)</f>
        <v>3.293135436</v>
      </c>
    </row>
    <row r="107">
      <c r="B107" s="59" t="s">
        <v>121</v>
      </c>
      <c r="C107" s="59">
        <v>9.0</v>
      </c>
      <c r="D107" s="59" t="str">
        <f>IFERROR(__xludf.DUMMYFUNCTION("""COMPUTED_VALUE"""),"220 WJV")</f>
        <v>220 WJV</v>
      </c>
      <c r="E107" s="61" t="str">
        <f>IFERROR(__xludf.DUMMYFUNCTION("""COMPUTED_VALUE"""),"WJV")</f>
        <v>WJV</v>
      </c>
      <c r="F107" s="62" t="str">
        <f>IFERROR(__xludf.DUMMYFUNCTION("""COMPUTED_VALUE"""),"Central Montcalm")</f>
        <v>Central Montcalm</v>
      </c>
      <c r="G107" s="61">
        <f>IFERROR(__xludf.DUMMYFUNCTION("""COMPUTED_VALUE"""),217.2)</f>
        <v>217.2</v>
      </c>
      <c r="H107" s="62" t="str">
        <f>IFERROR(__xludf.DUMMYFUNCTION("""COMPUTED_VALUE"""),"Plaiser, Brooklyn")</f>
        <v>Plaiser, Brooklyn</v>
      </c>
      <c r="I107" s="63" t="str">
        <f>IFERROR(__xludf.DUMMYFUNCTION("""COMPUTED_VALUE"""),"225g")</f>
        <v>225g</v>
      </c>
      <c r="J107" s="61" t="str">
        <f>IFERROR(__xludf.DUMMYFUNCTION("""COMPUTED_VALUE"""),"235g")</f>
        <v>235g</v>
      </c>
      <c r="K107" s="61" t="str">
        <f>IFERROR(__xludf.DUMMYFUNCTION("""COMPUTED_VALUE"""),"245g")</f>
        <v>245g</v>
      </c>
      <c r="L107" s="77">
        <f>IFERROR(__xludf.DUMMYFUNCTION("""COMPUTED_VALUE"""),245.0)</f>
        <v>245</v>
      </c>
      <c r="M107" s="65" t="str">
        <f>IFERROR(__xludf.DUMMYFUNCTION("""COMPUTED_VALUE"""),"115g")</f>
        <v>115g</v>
      </c>
      <c r="N107" s="65" t="str">
        <f>IFERROR(__xludf.DUMMYFUNCTION("""COMPUTED_VALUE"""),"125x")</f>
        <v>125x</v>
      </c>
      <c r="O107" s="65" t="str">
        <f>IFERROR(__xludf.DUMMYFUNCTION("""COMPUTED_VALUE"""),"125x")</f>
        <v>125x</v>
      </c>
      <c r="P107" s="64">
        <f>IFERROR(__xludf.DUMMYFUNCTION("""COMPUTED_VALUE"""),115.0)</f>
        <v>115</v>
      </c>
      <c r="Q107" s="65" t="str">
        <f>IFERROR(__xludf.DUMMYFUNCTION("""COMPUTED_VALUE"""),"225g")</f>
        <v>225g</v>
      </c>
      <c r="R107" s="65" t="str">
        <f>IFERROR(__xludf.DUMMYFUNCTION("""COMPUTED_VALUE"""),"250g")</f>
        <v>250g</v>
      </c>
      <c r="S107" s="65" t="str">
        <f>IFERROR(__xludf.DUMMYFUNCTION("""COMPUTED_VALUE"""),"275g")</f>
        <v>275g</v>
      </c>
      <c r="T107" s="64">
        <f>IFERROR(__xludf.DUMMYFUNCTION("""COMPUTED_VALUE"""),275.0)</f>
        <v>275</v>
      </c>
      <c r="U107" s="66">
        <f>IFERROR(__xludf.DUMMYFUNCTION("""COMPUTED_VALUE"""),635.0)</f>
        <v>635</v>
      </c>
      <c r="V107" s="78">
        <f>IFERROR(__xludf.DUMMYFUNCTION("""COMPUTED_VALUE"""),2.923572744014733)</f>
        <v>2.923572744</v>
      </c>
    </row>
    <row r="108">
      <c r="B108" s="59" t="s">
        <v>122</v>
      </c>
      <c r="C108" s="59">
        <f>if(countif(F106:F107,F108)&gt;1,0,8)</f>
        <v>8</v>
      </c>
      <c r="D108" s="59" t="str">
        <f>IFERROR(__xludf.DUMMYFUNCTION("""COMPUTED_VALUE"""),"220 WJV")</f>
        <v>220 WJV</v>
      </c>
      <c r="E108" s="61" t="str">
        <f>IFERROR(__xludf.DUMMYFUNCTION("""COMPUTED_VALUE"""),"WJV")</f>
        <v>WJV</v>
      </c>
      <c r="F108" s="62" t="str">
        <f>IFERROR(__xludf.DUMMYFUNCTION("""COMPUTED_VALUE"""),"Grant")</f>
        <v>Grant</v>
      </c>
      <c r="G108" s="61">
        <f>IFERROR(__xludf.DUMMYFUNCTION("""COMPUTED_VALUE"""),213.6)</f>
        <v>213.6</v>
      </c>
      <c r="H108" s="62" t="str">
        <f>IFERROR(__xludf.DUMMYFUNCTION("""COMPUTED_VALUE"""),"Crosby, Heather")</f>
        <v>Crosby, Heather</v>
      </c>
      <c r="I108" s="63" t="str">
        <f>IFERROR(__xludf.DUMMYFUNCTION("""COMPUTED_VALUE"""),"155g")</f>
        <v>155g</v>
      </c>
      <c r="J108" s="61" t="str">
        <f>IFERROR(__xludf.DUMMYFUNCTION("""COMPUTED_VALUE"""),"175g")</f>
        <v>175g</v>
      </c>
      <c r="K108" s="61" t="str">
        <f>IFERROR(__xludf.DUMMYFUNCTION("""COMPUTED_VALUE"""),"200g")</f>
        <v>200g</v>
      </c>
      <c r="L108" s="77">
        <f>IFERROR(__xludf.DUMMYFUNCTION("""COMPUTED_VALUE"""),200.0)</f>
        <v>200</v>
      </c>
      <c r="M108" s="65" t="str">
        <f>IFERROR(__xludf.DUMMYFUNCTION("""COMPUTED_VALUE"""),"100g")</f>
        <v>100g</v>
      </c>
      <c r="N108" s="65" t="str">
        <f>IFERROR(__xludf.DUMMYFUNCTION("""COMPUTED_VALUE"""),"115g")</f>
        <v>115g</v>
      </c>
      <c r="O108" s="65" t="str">
        <f>IFERROR(__xludf.DUMMYFUNCTION("""COMPUTED_VALUE"""),"120x")</f>
        <v>120x</v>
      </c>
      <c r="P108" s="64">
        <f>IFERROR(__xludf.DUMMYFUNCTION("""COMPUTED_VALUE"""),115.0)</f>
        <v>115</v>
      </c>
      <c r="Q108" s="65" t="str">
        <f>IFERROR(__xludf.DUMMYFUNCTION("""COMPUTED_VALUE"""),"275x")</f>
        <v>275x</v>
      </c>
      <c r="R108" s="65" t="str">
        <f>IFERROR(__xludf.DUMMYFUNCTION("""COMPUTED_VALUE"""),"300g")</f>
        <v>300g</v>
      </c>
      <c r="S108" s="65" t="str">
        <f>IFERROR(__xludf.DUMMYFUNCTION("""COMPUTED_VALUE"""),"310g")</f>
        <v>310g</v>
      </c>
      <c r="T108" s="64">
        <f>IFERROR(__xludf.DUMMYFUNCTION("""COMPUTED_VALUE"""),310.0)</f>
        <v>310</v>
      </c>
      <c r="U108" s="66">
        <f>IFERROR(__xludf.DUMMYFUNCTION("""COMPUTED_VALUE"""),625.0)</f>
        <v>625</v>
      </c>
      <c r="V108" s="78">
        <f>IFERROR(__xludf.DUMMYFUNCTION("""COMPUTED_VALUE"""),2.9260299625468167)</f>
        <v>2.926029963</v>
      </c>
    </row>
    <row r="109">
      <c r="B109" s="59" t="s">
        <v>123</v>
      </c>
      <c r="C109" s="59">
        <f>if(countif(F106:F108,F109)&gt;1,0,7)</f>
        <v>7</v>
      </c>
      <c r="D109" s="59" t="str">
        <f>IFERROR(__xludf.DUMMYFUNCTION("""COMPUTED_VALUE"""),"220 WJV")</f>
        <v>220 WJV</v>
      </c>
      <c r="E109" s="61" t="str">
        <f>IFERROR(__xludf.DUMMYFUNCTION("""COMPUTED_VALUE"""),"WJV")</f>
        <v>WJV</v>
      </c>
      <c r="F109" s="62" t="str">
        <f>IFERROR(__xludf.DUMMYFUNCTION("""COMPUTED_VALUE"""),"Lake Orion")</f>
        <v>Lake Orion</v>
      </c>
      <c r="G109" s="61">
        <f>IFERROR(__xludf.DUMMYFUNCTION("""COMPUTED_VALUE"""),216.1)</f>
        <v>216.1</v>
      </c>
      <c r="H109" s="62" t="str">
        <f>IFERROR(__xludf.DUMMYFUNCTION("""COMPUTED_VALUE"""),"White, India")</f>
        <v>White, India</v>
      </c>
      <c r="I109" s="63" t="str">
        <f>IFERROR(__xludf.DUMMYFUNCTION("""COMPUTED_VALUE"""),"215x")</f>
        <v>215x</v>
      </c>
      <c r="J109" s="61" t="str">
        <f>IFERROR(__xludf.DUMMYFUNCTION("""COMPUTED_VALUE"""),"215g")</f>
        <v>215g</v>
      </c>
      <c r="K109" s="61" t="str">
        <f>IFERROR(__xludf.DUMMYFUNCTION("""COMPUTED_VALUE"""),"225g")</f>
        <v>225g</v>
      </c>
      <c r="L109" s="77">
        <f>IFERROR(__xludf.DUMMYFUNCTION("""COMPUTED_VALUE"""),225.0)</f>
        <v>225</v>
      </c>
      <c r="M109" s="65" t="str">
        <f>IFERROR(__xludf.DUMMYFUNCTION("""COMPUTED_VALUE"""),"85g")</f>
        <v>85g</v>
      </c>
      <c r="N109" s="65" t="str">
        <f>IFERROR(__xludf.DUMMYFUNCTION("""COMPUTED_VALUE"""),"95g")</f>
        <v>95g</v>
      </c>
      <c r="O109" s="65" t="str">
        <f>IFERROR(__xludf.DUMMYFUNCTION("""COMPUTED_VALUE"""),"105g")</f>
        <v>105g</v>
      </c>
      <c r="P109" s="64">
        <f>IFERROR(__xludf.DUMMYFUNCTION("""COMPUTED_VALUE"""),105.0)</f>
        <v>105</v>
      </c>
      <c r="Q109" s="65" t="str">
        <f>IFERROR(__xludf.DUMMYFUNCTION("""COMPUTED_VALUE"""),"260g")</f>
        <v>260g</v>
      </c>
      <c r="R109" s="65" t="str">
        <f>IFERROR(__xludf.DUMMYFUNCTION("""COMPUTED_VALUE"""),"270g")</f>
        <v>270g</v>
      </c>
      <c r="S109" s="65" t="str">
        <f>IFERROR(__xludf.DUMMYFUNCTION("""COMPUTED_VALUE"""),"290g")</f>
        <v>290g</v>
      </c>
      <c r="T109" s="64">
        <f>IFERROR(__xludf.DUMMYFUNCTION("""COMPUTED_VALUE"""),290.0)</f>
        <v>290</v>
      </c>
      <c r="U109" s="66">
        <f>IFERROR(__xludf.DUMMYFUNCTION("""COMPUTED_VALUE"""),620.0)</f>
        <v>620</v>
      </c>
      <c r="V109" s="78">
        <f>IFERROR(__xludf.DUMMYFUNCTION("""COMPUTED_VALUE"""),2.869042110134197)</f>
        <v>2.86904211</v>
      </c>
    </row>
    <row r="110">
      <c r="B110" s="59" t="s">
        <v>124</v>
      </c>
      <c r="C110" s="59">
        <f>if(countif(F106:F109,F110)&gt;1,0,6)</f>
        <v>6</v>
      </c>
      <c r="D110" s="59" t="str">
        <f>IFERROR(__xludf.DUMMYFUNCTION("""COMPUTED_VALUE"""),"220 WJV")</f>
        <v>220 WJV</v>
      </c>
      <c r="E110" s="61" t="str">
        <f>IFERROR(__xludf.DUMMYFUNCTION("""COMPUTED_VALUE"""),"WJV")</f>
        <v>WJV</v>
      </c>
      <c r="F110" s="62" t="str">
        <f>IFERROR(__xludf.DUMMYFUNCTION("""COMPUTED_VALUE"""),"Yale")</f>
        <v>Yale</v>
      </c>
      <c r="G110" s="61">
        <f>IFERROR(__xludf.DUMMYFUNCTION("""COMPUTED_VALUE"""),208.8)</f>
        <v>208.8</v>
      </c>
      <c r="H110" s="62" t="str">
        <f>IFERROR(__xludf.DUMMYFUNCTION("""COMPUTED_VALUE"""),"McIntyre, Brooke")</f>
        <v>McIntyre, Brooke</v>
      </c>
      <c r="I110" s="63" t="str">
        <f>IFERROR(__xludf.DUMMYFUNCTION("""COMPUTED_VALUE"""),"210g")</f>
        <v>210g</v>
      </c>
      <c r="J110" s="61" t="str">
        <f>IFERROR(__xludf.DUMMYFUNCTION("""COMPUTED_VALUE"""),"225g")</f>
        <v>225g</v>
      </c>
      <c r="K110" s="61" t="str">
        <f>IFERROR(__xludf.DUMMYFUNCTION("""COMPUTED_VALUE"""),"235g")</f>
        <v>235g</v>
      </c>
      <c r="L110" s="77">
        <f>IFERROR(__xludf.DUMMYFUNCTION("""COMPUTED_VALUE"""),235.0)</f>
        <v>235</v>
      </c>
      <c r="M110" s="65" t="str">
        <f>IFERROR(__xludf.DUMMYFUNCTION("""COMPUTED_VALUE"""),"120g")</f>
        <v>120g</v>
      </c>
      <c r="N110" s="65" t="str">
        <f>IFERROR(__xludf.DUMMYFUNCTION("""COMPUTED_VALUE"""),"125g")</f>
        <v>125g</v>
      </c>
      <c r="O110" s="65" t="str">
        <f>IFERROR(__xludf.DUMMYFUNCTION("""COMPUTED_VALUE"""),"130g")</f>
        <v>130g</v>
      </c>
      <c r="P110" s="64">
        <f>IFERROR(__xludf.DUMMYFUNCTION("""COMPUTED_VALUE"""),130.0)</f>
        <v>130</v>
      </c>
      <c r="Q110" s="65" t="str">
        <f>IFERROR(__xludf.DUMMYFUNCTION("""COMPUTED_VALUE"""),"230g")</f>
        <v>230g</v>
      </c>
      <c r="R110" s="65" t="str">
        <f>IFERROR(__xludf.DUMMYFUNCTION("""COMPUTED_VALUE"""),"250g")</f>
        <v>250g</v>
      </c>
      <c r="S110" s="65" t="str">
        <f>IFERROR(__xludf.DUMMYFUNCTION("""COMPUTED_VALUE"""),"270x")</f>
        <v>270x</v>
      </c>
      <c r="T110" s="64">
        <f>IFERROR(__xludf.DUMMYFUNCTION("""COMPUTED_VALUE"""),250.0)</f>
        <v>250</v>
      </c>
      <c r="U110" s="66">
        <f>IFERROR(__xludf.DUMMYFUNCTION("""COMPUTED_VALUE"""),615.0)</f>
        <v>615</v>
      </c>
      <c r="V110" s="78">
        <f>IFERROR(__xludf.DUMMYFUNCTION("""COMPUTED_VALUE"""),2.9454022988505746)</f>
        <v>2.945402299</v>
      </c>
    </row>
    <row r="111">
      <c r="B111" s="59" t="s">
        <v>125</v>
      </c>
      <c r="C111" s="59">
        <f>if(countif(F106:F110,F111)&gt;1,0,5)</f>
        <v>5</v>
      </c>
      <c r="D111" s="59" t="str">
        <f>IFERROR(__xludf.DUMMYFUNCTION("""COMPUTED_VALUE"""),"220 WJV")</f>
        <v>220 WJV</v>
      </c>
      <c r="E111" s="61" t="str">
        <f>IFERROR(__xludf.DUMMYFUNCTION("""COMPUTED_VALUE"""),"WJV")</f>
        <v>WJV</v>
      </c>
      <c r="F111" s="62" t="str">
        <f>IFERROR(__xludf.DUMMYFUNCTION("""COMPUTED_VALUE"""),"Morenci")</f>
        <v>Morenci</v>
      </c>
      <c r="G111" s="61">
        <f>IFERROR(__xludf.DUMMYFUNCTION("""COMPUTED_VALUE"""),215.8)</f>
        <v>215.8</v>
      </c>
      <c r="H111" s="62" t="str">
        <f>IFERROR(__xludf.DUMMYFUNCTION("""COMPUTED_VALUE"""),"Barron, Claire")</f>
        <v>Barron, Claire</v>
      </c>
      <c r="I111" s="63" t="str">
        <f>IFERROR(__xludf.DUMMYFUNCTION("""COMPUTED_VALUE"""),"215x")</f>
        <v>215x</v>
      </c>
      <c r="J111" s="61" t="str">
        <f>IFERROR(__xludf.DUMMYFUNCTION("""COMPUTED_VALUE"""),"215g")</f>
        <v>215g</v>
      </c>
      <c r="K111" s="61" t="str">
        <f>IFERROR(__xludf.DUMMYFUNCTION("""COMPUTED_VALUE"""),"235g")</f>
        <v>235g</v>
      </c>
      <c r="L111" s="77">
        <f>IFERROR(__xludf.DUMMYFUNCTION("""COMPUTED_VALUE"""),235.0)</f>
        <v>235</v>
      </c>
      <c r="M111" s="65" t="str">
        <f>IFERROR(__xludf.DUMMYFUNCTION("""COMPUTED_VALUE"""),"110g")</f>
        <v>110g</v>
      </c>
      <c r="N111" s="65" t="str">
        <f>IFERROR(__xludf.DUMMYFUNCTION("""COMPUTED_VALUE"""),"120x")</f>
        <v>120x</v>
      </c>
      <c r="O111" s="65" t="str">
        <f>IFERROR(__xludf.DUMMYFUNCTION("""COMPUTED_VALUE"""),"120x")</f>
        <v>120x</v>
      </c>
      <c r="P111" s="64">
        <f>IFERROR(__xludf.DUMMYFUNCTION("""COMPUTED_VALUE"""),110.0)</f>
        <v>110</v>
      </c>
      <c r="Q111" s="65" t="str">
        <f>IFERROR(__xludf.DUMMYFUNCTION("""COMPUTED_VALUE"""),"240g")</f>
        <v>240g</v>
      </c>
      <c r="R111" s="65" t="str">
        <f>IFERROR(__xludf.DUMMYFUNCTION("""COMPUTED_VALUE"""),"260g")</f>
        <v>260g</v>
      </c>
      <c r="S111" s="65" t="str">
        <f>IFERROR(__xludf.DUMMYFUNCTION("""COMPUTED_VALUE"""),"280x")</f>
        <v>280x</v>
      </c>
      <c r="T111" s="64">
        <f>IFERROR(__xludf.DUMMYFUNCTION("""COMPUTED_VALUE"""),260.0)</f>
        <v>260</v>
      </c>
      <c r="U111" s="66">
        <f>IFERROR(__xludf.DUMMYFUNCTION("""COMPUTED_VALUE"""),605.0)</f>
        <v>605</v>
      </c>
      <c r="V111" s="78">
        <f>IFERROR(__xludf.DUMMYFUNCTION("""COMPUTED_VALUE"""),2.803521779425394)</f>
        <v>2.803521779</v>
      </c>
    </row>
    <row r="112">
      <c r="B112" s="59" t="s">
        <v>126</v>
      </c>
      <c r="C112" s="59">
        <f>if(countif(F106:F111,F112)&gt;1,0,4)</f>
        <v>4</v>
      </c>
      <c r="D112" s="59" t="str">
        <f>IFERROR(__xludf.DUMMYFUNCTION("""COMPUTED_VALUE"""),"220 WJV")</f>
        <v>220 WJV</v>
      </c>
      <c r="E112" s="61" t="str">
        <f>IFERROR(__xludf.DUMMYFUNCTION("""COMPUTED_VALUE"""),"WJV")</f>
        <v>WJV</v>
      </c>
      <c r="F112" s="62" t="str">
        <f>IFERROR(__xludf.DUMMYFUNCTION("""COMPUTED_VALUE"""),"Port Huron")</f>
        <v>Port Huron</v>
      </c>
      <c r="G112" s="61">
        <f>IFERROR(__xludf.DUMMYFUNCTION("""COMPUTED_VALUE"""),216.8)</f>
        <v>216.8</v>
      </c>
      <c r="H112" s="62" t="str">
        <f>IFERROR(__xludf.DUMMYFUNCTION("""COMPUTED_VALUE"""),"Peyerk, Emily")</f>
        <v>Peyerk, Emily</v>
      </c>
      <c r="I112" s="63" t="str">
        <f>IFERROR(__xludf.DUMMYFUNCTION("""COMPUTED_VALUE"""),"165g")</f>
        <v>165g</v>
      </c>
      <c r="J112" s="61" t="str">
        <f>IFERROR(__xludf.DUMMYFUNCTION("""COMPUTED_VALUE"""),"185g")</f>
        <v>185g</v>
      </c>
      <c r="K112" s="61" t="str">
        <f>IFERROR(__xludf.DUMMYFUNCTION("""COMPUTED_VALUE"""),"205g")</f>
        <v>205g</v>
      </c>
      <c r="L112" s="77">
        <f>IFERROR(__xludf.DUMMYFUNCTION("""COMPUTED_VALUE"""),205.0)</f>
        <v>205</v>
      </c>
      <c r="M112" s="65" t="str">
        <f>IFERROR(__xludf.DUMMYFUNCTION("""COMPUTED_VALUE"""),"105g")</f>
        <v>105g</v>
      </c>
      <c r="N112" s="65" t="str">
        <f>IFERROR(__xludf.DUMMYFUNCTION("""COMPUTED_VALUE"""),"115g")</f>
        <v>115g</v>
      </c>
      <c r="O112" s="65" t="str">
        <f>IFERROR(__xludf.DUMMYFUNCTION("""COMPUTED_VALUE"""),"125x")</f>
        <v>125x</v>
      </c>
      <c r="P112" s="64">
        <f>IFERROR(__xludf.DUMMYFUNCTION("""COMPUTED_VALUE"""),115.0)</f>
        <v>115</v>
      </c>
      <c r="Q112" s="65" t="str">
        <f>IFERROR(__xludf.DUMMYFUNCTION("""COMPUTED_VALUE"""),"265g")</f>
        <v>265g</v>
      </c>
      <c r="R112" s="65" t="str">
        <f>IFERROR(__xludf.DUMMYFUNCTION("""COMPUTED_VALUE"""),"285x")</f>
        <v>285x</v>
      </c>
      <c r="S112" s="65" t="str">
        <f>IFERROR(__xludf.DUMMYFUNCTION("""COMPUTED_VALUE"""),"285g")</f>
        <v>285g</v>
      </c>
      <c r="T112" s="64">
        <f>IFERROR(__xludf.DUMMYFUNCTION("""COMPUTED_VALUE"""),285.0)</f>
        <v>285</v>
      </c>
      <c r="U112" s="66">
        <f>IFERROR(__xludf.DUMMYFUNCTION("""COMPUTED_VALUE"""),605.0)</f>
        <v>605</v>
      </c>
      <c r="V112" s="78">
        <f>IFERROR(__xludf.DUMMYFUNCTION("""COMPUTED_VALUE"""),2.7905904059040587)</f>
        <v>2.790590406</v>
      </c>
    </row>
    <row r="113">
      <c r="B113" s="59" t="s">
        <v>127</v>
      </c>
      <c r="C113" s="59">
        <f>if(countif(F106:F112,F113)&gt;1,0,3)</f>
        <v>3</v>
      </c>
      <c r="D113" s="59" t="str">
        <f>IFERROR(__xludf.DUMMYFUNCTION("""COMPUTED_VALUE"""),"220 WJV")</f>
        <v>220 WJV</v>
      </c>
      <c r="E113" s="61" t="str">
        <f>IFERROR(__xludf.DUMMYFUNCTION("""COMPUTED_VALUE"""),"WJV")</f>
        <v>WJV</v>
      </c>
      <c r="F113" s="62" t="str">
        <f>IFERROR(__xludf.DUMMYFUNCTION("""COMPUTED_VALUE"""),"Kingston")</f>
        <v>Kingston</v>
      </c>
      <c r="G113" s="61">
        <f>IFERROR(__xludf.DUMMYFUNCTION("""COMPUTED_VALUE"""),218.2)</f>
        <v>218.2</v>
      </c>
      <c r="H113" s="62" t="str">
        <f>IFERROR(__xludf.DUMMYFUNCTION("""COMPUTED_VALUE"""),"Harp, RayAnn")</f>
        <v>Harp, RayAnn</v>
      </c>
      <c r="I113" s="63" t="str">
        <f>IFERROR(__xludf.DUMMYFUNCTION("""COMPUTED_VALUE"""),"200g")</f>
        <v>200g</v>
      </c>
      <c r="J113" s="61" t="str">
        <f>IFERROR(__xludf.DUMMYFUNCTION("""COMPUTED_VALUE"""),"220g")</f>
        <v>220g</v>
      </c>
      <c r="K113" s="61" t="str">
        <f>IFERROR(__xludf.DUMMYFUNCTION("""COMPUTED_VALUE"""),"235g")</f>
        <v>235g</v>
      </c>
      <c r="L113" s="77">
        <f>IFERROR(__xludf.DUMMYFUNCTION("""COMPUTED_VALUE"""),235.0)</f>
        <v>235</v>
      </c>
      <c r="M113" s="65" t="str">
        <f>IFERROR(__xludf.DUMMYFUNCTION("""COMPUTED_VALUE"""),"100x")</f>
        <v>100x</v>
      </c>
      <c r="N113" s="65" t="str">
        <f>IFERROR(__xludf.DUMMYFUNCTION("""COMPUTED_VALUE"""),"110g")</f>
        <v>110g</v>
      </c>
      <c r="O113" s="65" t="str">
        <f>IFERROR(__xludf.DUMMYFUNCTION("""COMPUTED_VALUE"""),"115x")</f>
        <v>115x</v>
      </c>
      <c r="P113" s="64">
        <f>IFERROR(__xludf.DUMMYFUNCTION("""COMPUTED_VALUE"""),110.0)</f>
        <v>110</v>
      </c>
      <c r="Q113" s="65" t="str">
        <f>IFERROR(__xludf.DUMMYFUNCTION("""COMPUTED_VALUE"""),"210g")</f>
        <v>210g</v>
      </c>
      <c r="R113" s="65" t="str">
        <f>IFERROR(__xludf.DUMMYFUNCTION("""COMPUTED_VALUE"""),"225g")</f>
        <v>225g</v>
      </c>
      <c r="S113" s="65" t="str">
        <f>IFERROR(__xludf.DUMMYFUNCTION("""COMPUTED_VALUE"""),"235g")</f>
        <v>235g</v>
      </c>
      <c r="T113" s="64">
        <f>IFERROR(__xludf.DUMMYFUNCTION("""COMPUTED_VALUE"""),235.0)</f>
        <v>235</v>
      </c>
      <c r="U113" s="66">
        <f>IFERROR(__xludf.DUMMYFUNCTION("""COMPUTED_VALUE"""),580.0)</f>
        <v>580</v>
      </c>
      <c r="V113" s="78">
        <f>IFERROR(__xludf.DUMMYFUNCTION("""COMPUTED_VALUE"""),2.6581118240146657)</f>
        <v>2.658111824</v>
      </c>
    </row>
    <row r="114">
      <c r="B114" s="59" t="s">
        <v>128</v>
      </c>
      <c r="C114" s="59">
        <f>if(countif(F106:F113,F114)&gt;1,0,2)</f>
        <v>2</v>
      </c>
      <c r="D114" s="59" t="str">
        <f>IFERROR(__xludf.DUMMYFUNCTION("""COMPUTED_VALUE"""),"220 WJV")</f>
        <v>220 WJV</v>
      </c>
      <c r="E114" s="61" t="str">
        <f>IFERROR(__xludf.DUMMYFUNCTION("""COMPUTED_VALUE"""),"WJV")</f>
        <v>WJV</v>
      </c>
      <c r="F114" s="62" t="str">
        <f>IFERROR(__xludf.DUMMYFUNCTION("""COMPUTED_VALUE"""),"Hartford")</f>
        <v>Hartford</v>
      </c>
      <c r="G114" s="61">
        <f>IFERROR(__xludf.DUMMYFUNCTION("""COMPUTED_VALUE"""),206.8)</f>
        <v>206.8</v>
      </c>
      <c r="H114" s="62" t="str">
        <f>IFERROR(__xludf.DUMMYFUNCTION("""COMPUTED_VALUE"""),"Weber, Emma")</f>
        <v>Weber, Emma</v>
      </c>
      <c r="I114" s="63" t="str">
        <f>IFERROR(__xludf.DUMMYFUNCTION("""COMPUTED_VALUE"""),"165g")</f>
        <v>165g</v>
      </c>
      <c r="J114" s="61" t="str">
        <f>IFERROR(__xludf.DUMMYFUNCTION("""COMPUTED_VALUE"""),"185x")</f>
        <v>185x</v>
      </c>
      <c r="K114" s="61" t="str">
        <f>IFERROR(__xludf.DUMMYFUNCTION("""COMPUTED_VALUE"""),"195g")</f>
        <v>195g</v>
      </c>
      <c r="L114" s="77">
        <f>IFERROR(__xludf.DUMMYFUNCTION("""COMPUTED_VALUE"""),195.0)</f>
        <v>195</v>
      </c>
      <c r="M114" s="65" t="str">
        <f>IFERROR(__xludf.DUMMYFUNCTION("""COMPUTED_VALUE"""),"95g")</f>
        <v>95g</v>
      </c>
      <c r="N114" s="65" t="str">
        <f>IFERROR(__xludf.DUMMYFUNCTION("""COMPUTED_VALUE"""),"105g")</f>
        <v>105g</v>
      </c>
      <c r="O114" s="65" t="str">
        <f>IFERROR(__xludf.DUMMYFUNCTION("""COMPUTED_VALUE"""),"115x")</f>
        <v>115x</v>
      </c>
      <c r="P114" s="64">
        <f>IFERROR(__xludf.DUMMYFUNCTION("""COMPUTED_VALUE"""),105.0)</f>
        <v>105</v>
      </c>
      <c r="Q114" s="65" t="str">
        <f>IFERROR(__xludf.DUMMYFUNCTION("""COMPUTED_VALUE"""),"215g")</f>
        <v>215g</v>
      </c>
      <c r="R114" s="65" t="str">
        <f>IFERROR(__xludf.DUMMYFUNCTION("""COMPUTED_VALUE"""),"235g")</f>
        <v>235g</v>
      </c>
      <c r="S114" s="65" t="str">
        <f>IFERROR(__xludf.DUMMYFUNCTION("""COMPUTED_VALUE"""),"250g")</f>
        <v>250g</v>
      </c>
      <c r="T114" s="64">
        <f>IFERROR(__xludf.DUMMYFUNCTION("""COMPUTED_VALUE"""),250.0)</f>
        <v>250</v>
      </c>
      <c r="U114" s="66">
        <f>IFERROR(__xludf.DUMMYFUNCTION("""COMPUTED_VALUE"""),550.0)</f>
        <v>550</v>
      </c>
      <c r="V114" s="78">
        <f>IFERROR(__xludf.DUMMYFUNCTION("""COMPUTED_VALUE"""),2.6595744680851063)</f>
        <v>2.659574468</v>
      </c>
    </row>
    <row r="115">
      <c r="B115" s="59" t="s">
        <v>129</v>
      </c>
      <c r="C115" s="59">
        <f>if(countif(F106:F114,F115)&gt;1,0,1)</f>
        <v>1</v>
      </c>
      <c r="D115" s="59" t="str">
        <f>IFERROR(__xludf.DUMMYFUNCTION("""COMPUTED_VALUE"""),"220 WJV")</f>
        <v>220 WJV</v>
      </c>
      <c r="E115" s="61" t="str">
        <f>IFERROR(__xludf.DUMMYFUNCTION("""COMPUTED_VALUE"""),"WJV")</f>
        <v>WJV</v>
      </c>
      <c r="F115" s="62" t="str">
        <f>IFERROR(__xludf.DUMMYFUNCTION("""COMPUTED_VALUE"""),"Kearsley")</f>
        <v>Kearsley</v>
      </c>
      <c r="G115" s="61">
        <f>IFERROR(__xludf.DUMMYFUNCTION("""COMPUTED_VALUE"""),203.0)</f>
        <v>203</v>
      </c>
      <c r="H115" s="62" t="str">
        <f>IFERROR(__xludf.DUMMYFUNCTION("""COMPUTED_VALUE"""),"Martin, Marisol")</f>
        <v>Martin, Marisol</v>
      </c>
      <c r="I115" s="63" t="str">
        <f>IFERROR(__xludf.DUMMYFUNCTION("""COMPUTED_VALUE"""),"200x")</f>
        <v>200x</v>
      </c>
      <c r="J115" s="61" t="str">
        <f>IFERROR(__xludf.DUMMYFUNCTION("""COMPUTED_VALUE"""),"205x")</f>
        <v>205x</v>
      </c>
      <c r="K115" s="61" t="str">
        <f>IFERROR(__xludf.DUMMYFUNCTION("""COMPUTED_VALUE"""),"205g")</f>
        <v>205g</v>
      </c>
      <c r="L115" s="77">
        <f>IFERROR(__xludf.DUMMYFUNCTION("""COMPUTED_VALUE"""),205.0)</f>
        <v>205</v>
      </c>
      <c r="M115" s="65" t="str">
        <f>IFERROR(__xludf.DUMMYFUNCTION("""COMPUTED_VALUE"""),"100g")</f>
        <v>100g</v>
      </c>
      <c r="N115" s="65" t="str">
        <f>IFERROR(__xludf.DUMMYFUNCTION("""COMPUTED_VALUE"""),"105x")</f>
        <v>105x</v>
      </c>
      <c r="O115" s="65" t="str">
        <f>IFERROR(__xludf.DUMMYFUNCTION("""COMPUTED_VALUE"""),"110x")</f>
        <v>110x</v>
      </c>
      <c r="P115" s="64">
        <f>IFERROR(__xludf.DUMMYFUNCTION("""COMPUTED_VALUE"""),100.0)</f>
        <v>100</v>
      </c>
      <c r="Q115" s="65" t="str">
        <f>IFERROR(__xludf.DUMMYFUNCTION("""COMPUTED_VALUE"""),"195g")</f>
        <v>195g</v>
      </c>
      <c r="R115" s="65" t="str">
        <f>IFERROR(__xludf.DUMMYFUNCTION("""COMPUTED_VALUE"""),"205g")</f>
        <v>205g</v>
      </c>
      <c r="S115" s="65" t="str">
        <f>IFERROR(__xludf.DUMMYFUNCTION("""COMPUTED_VALUE"""),"220g")</f>
        <v>220g</v>
      </c>
      <c r="T115" s="64">
        <f>IFERROR(__xludf.DUMMYFUNCTION("""COMPUTED_VALUE"""),220.0)</f>
        <v>220</v>
      </c>
      <c r="U115" s="66">
        <f>IFERROR(__xludf.DUMMYFUNCTION("""COMPUTED_VALUE"""),525.0)</f>
        <v>525</v>
      </c>
      <c r="V115" s="78">
        <f>IFERROR(__xludf.DUMMYFUNCTION("""COMPUTED_VALUE"""),2.586206896551724)</f>
        <v>2.586206897</v>
      </c>
    </row>
    <row r="116">
      <c r="A116" s="73">
        <v>242.0</v>
      </c>
      <c r="B116" s="68" t="s">
        <v>120</v>
      </c>
      <c r="C116" s="68">
        <v>12.0</v>
      </c>
      <c r="D116" s="68" t="str">
        <f>IFERROR(__xludf.DUMMYFUNCTION("ARRAY_CONSTRAIN(sort(filter(WJV_Tie_Breaker!D6:X285,WJV_Tie_Breaker!D6:D285=""242 WJV""),18,false,4,true,20,false,21,true),10,19)"),"242 WJV")</f>
        <v>242 WJV</v>
      </c>
      <c r="E116" s="69" t="str">
        <f>IFERROR(__xludf.DUMMYFUNCTION("""COMPUTED_VALUE"""),"WJV")</f>
        <v>WJV</v>
      </c>
      <c r="F116" s="70" t="str">
        <f>IFERROR(__xludf.DUMMYFUNCTION("""COMPUTED_VALUE"""),"Montague")</f>
        <v>Montague</v>
      </c>
      <c r="G116" s="69">
        <f>IFERROR(__xludf.DUMMYFUNCTION("""COMPUTED_VALUE"""),229.0)</f>
        <v>229</v>
      </c>
      <c r="H116" s="70" t="str">
        <f>IFERROR(__xludf.DUMMYFUNCTION("""COMPUTED_VALUE"""),"Marsh, Alexis")</f>
        <v>Marsh, Alexis</v>
      </c>
      <c r="I116" s="71" t="str">
        <f>IFERROR(__xludf.DUMMYFUNCTION("""COMPUTED_VALUE"""),"180g")</f>
        <v>180g</v>
      </c>
      <c r="J116" s="69" t="str">
        <f>IFERROR(__xludf.DUMMYFUNCTION("""COMPUTED_VALUE"""),"205g")</f>
        <v>205g</v>
      </c>
      <c r="K116" s="69" t="str">
        <f>IFERROR(__xludf.DUMMYFUNCTION("""COMPUTED_VALUE"""),"225g")</f>
        <v>225g</v>
      </c>
      <c r="L116" s="77">
        <f>IFERROR(__xludf.DUMMYFUNCTION("""COMPUTED_VALUE"""),225.0)</f>
        <v>225</v>
      </c>
      <c r="M116" s="72" t="str">
        <f>IFERROR(__xludf.DUMMYFUNCTION("""COMPUTED_VALUE"""),"100g")</f>
        <v>100g</v>
      </c>
      <c r="N116" s="72" t="str">
        <f>IFERROR(__xludf.DUMMYFUNCTION("""COMPUTED_VALUE"""),"110g")</f>
        <v>110g</v>
      </c>
      <c r="O116" s="72" t="str">
        <f>IFERROR(__xludf.DUMMYFUNCTION("""COMPUTED_VALUE"""),"125x")</f>
        <v>125x</v>
      </c>
      <c r="P116" s="64">
        <f>IFERROR(__xludf.DUMMYFUNCTION("""COMPUTED_VALUE"""),110.0)</f>
        <v>110</v>
      </c>
      <c r="Q116" s="72" t="str">
        <f>IFERROR(__xludf.DUMMYFUNCTION("""COMPUTED_VALUE"""),"270g")</f>
        <v>270g</v>
      </c>
      <c r="R116" s="72" t="str">
        <f>IFERROR(__xludf.DUMMYFUNCTION("""COMPUTED_VALUE"""),"300g")</f>
        <v>300g</v>
      </c>
      <c r="S116" s="72" t="str">
        <f>IFERROR(__xludf.DUMMYFUNCTION("""COMPUTED_VALUE"""),"310g")</f>
        <v>310g</v>
      </c>
      <c r="T116" s="64">
        <f>IFERROR(__xludf.DUMMYFUNCTION("""COMPUTED_VALUE"""),310.0)</f>
        <v>310</v>
      </c>
      <c r="U116" s="66">
        <f>IFERROR(__xludf.DUMMYFUNCTION("""COMPUTED_VALUE"""),645.0)</f>
        <v>645</v>
      </c>
      <c r="V116" s="79">
        <f>IFERROR(__xludf.DUMMYFUNCTION("""COMPUTED_VALUE"""),2.816593886462882)</f>
        <v>2.816593886</v>
      </c>
    </row>
    <row r="117">
      <c r="B117" s="68" t="s">
        <v>121</v>
      </c>
      <c r="C117" s="68">
        <v>9.0</v>
      </c>
      <c r="D117" s="68" t="str">
        <f>IFERROR(__xludf.DUMMYFUNCTION("""COMPUTED_VALUE"""),"242 WJV")</f>
        <v>242 WJV</v>
      </c>
      <c r="E117" s="69" t="str">
        <f>IFERROR(__xludf.DUMMYFUNCTION("""COMPUTED_VALUE"""),"WJV")</f>
        <v>WJV</v>
      </c>
      <c r="F117" s="70" t="str">
        <f>IFERROR(__xludf.DUMMYFUNCTION("""COMPUTED_VALUE"""),"Port Huron")</f>
        <v>Port Huron</v>
      </c>
      <c r="G117" s="69">
        <f>IFERROR(__xludf.DUMMYFUNCTION("""COMPUTED_VALUE"""),227.8)</f>
        <v>227.8</v>
      </c>
      <c r="H117" s="70" t="str">
        <f>IFERROR(__xludf.DUMMYFUNCTION("""COMPUTED_VALUE"""),"Bethany, Amaiya")</f>
        <v>Bethany, Amaiya</v>
      </c>
      <c r="I117" s="71" t="str">
        <f>IFERROR(__xludf.DUMMYFUNCTION("""COMPUTED_VALUE"""),"185g")</f>
        <v>185g</v>
      </c>
      <c r="J117" s="69" t="str">
        <f>IFERROR(__xludf.DUMMYFUNCTION("""COMPUTED_VALUE"""),"200g")</f>
        <v>200g</v>
      </c>
      <c r="K117" s="69" t="str">
        <f>IFERROR(__xludf.DUMMYFUNCTION("""COMPUTED_VALUE"""),"225x")</f>
        <v>225x</v>
      </c>
      <c r="L117" s="77">
        <f>IFERROR(__xludf.DUMMYFUNCTION("""COMPUTED_VALUE"""),200.0)</f>
        <v>200</v>
      </c>
      <c r="M117" s="72" t="str">
        <f>IFERROR(__xludf.DUMMYFUNCTION("""COMPUTED_VALUE"""),"115g")</f>
        <v>115g</v>
      </c>
      <c r="N117" s="72" t="str">
        <f>IFERROR(__xludf.DUMMYFUNCTION("""COMPUTED_VALUE"""),"125g")</f>
        <v>125g</v>
      </c>
      <c r="O117" s="72" t="str">
        <f>IFERROR(__xludf.DUMMYFUNCTION("""COMPUTED_VALUE"""),"130g")</f>
        <v>130g</v>
      </c>
      <c r="P117" s="64">
        <f>IFERROR(__xludf.DUMMYFUNCTION("""COMPUTED_VALUE"""),130.0)</f>
        <v>130</v>
      </c>
      <c r="Q117" s="72" t="str">
        <f>IFERROR(__xludf.DUMMYFUNCTION("""COMPUTED_VALUE"""),"260g")</f>
        <v>260g</v>
      </c>
      <c r="R117" s="72" t="str">
        <f>IFERROR(__xludf.DUMMYFUNCTION("""COMPUTED_VALUE"""),"285g")</f>
        <v>285g</v>
      </c>
      <c r="S117" s="72" t="str">
        <f>IFERROR(__xludf.DUMMYFUNCTION("""COMPUTED_VALUE"""),"305g")</f>
        <v>305g</v>
      </c>
      <c r="T117" s="64">
        <f>IFERROR(__xludf.DUMMYFUNCTION("""COMPUTED_VALUE"""),305.0)</f>
        <v>305</v>
      </c>
      <c r="U117" s="66">
        <f>IFERROR(__xludf.DUMMYFUNCTION("""COMPUTED_VALUE"""),635.0)</f>
        <v>635</v>
      </c>
      <c r="V117" s="79">
        <f>IFERROR(__xludf.DUMMYFUNCTION("""COMPUTED_VALUE"""),2.7875329236172077)</f>
        <v>2.787532924</v>
      </c>
    </row>
    <row r="118">
      <c r="B118" s="68" t="s">
        <v>122</v>
      </c>
      <c r="C118" s="68">
        <f>if(countif(F116:F117,F118)&gt;1,0,8)</f>
        <v>8</v>
      </c>
      <c r="D118" s="68" t="str">
        <f>IFERROR(__xludf.DUMMYFUNCTION("""COMPUTED_VALUE"""),"242 WJV")</f>
        <v>242 WJV</v>
      </c>
      <c r="E118" s="69" t="str">
        <f>IFERROR(__xludf.DUMMYFUNCTION("""COMPUTED_VALUE"""),"WJV")</f>
        <v>WJV</v>
      </c>
      <c r="F118" s="70" t="str">
        <f>IFERROR(__xludf.DUMMYFUNCTION("""COMPUTED_VALUE"""),"Port Huron")</f>
        <v>Port Huron</v>
      </c>
      <c r="G118" s="69">
        <f>IFERROR(__xludf.DUMMYFUNCTION("""COMPUTED_VALUE"""),227.6)</f>
        <v>227.6</v>
      </c>
      <c r="H118" s="70" t="str">
        <f>IFERROR(__xludf.DUMMYFUNCTION("""COMPUTED_VALUE"""),"Hinojosa, Alexia")</f>
        <v>Hinojosa, Alexia</v>
      </c>
      <c r="I118" s="71" t="str">
        <f>IFERROR(__xludf.DUMMYFUNCTION("""COMPUTED_VALUE"""),"185g")</f>
        <v>185g</v>
      </c>
      <c r="J118" s="69" t="str">
        <f>IFERROR(__xludf.DUMMYFUNCTION("""COMPUTED_VALUE"""),"195g")</f>
        <v>195g</v>
      </c>
      <c r="K118" s="69" t="str">
        <f>IFERROR(__xludf.DUMMYFUNCTION("""COMPUTED_VALUE"""),"205g")</f>
        <v>205g</v>
      </c>
      <c r="L118" s="77">
        <f>IFERROR(__xludf.DUMMYFUNCTION("""COMPUTED_VALUE"""),205.0)</f>
        <v>205</v>
      </c>
      <c r="M118" s="72" t="str">
        <f>IFERROR(__xludf.DUMMYFUNCTION("""COMPUTED_VALUE"""),"120x")</f>
        <v>120x</v>
      </c>
      <c r="N118" s="72" t="str">
        <f>IFERROR(__xludf.DUMMYFUNCTION("""COMPUTED_VALUE"""),"120x")</f>
        <v>120x</v>
      </c>
      <c r="O118" s="72" t="str">
        <f>IFERROR(__xludf.DUMMYFUNCTION("""COMPUTED_VALUE"""),"120g")</f>
        <v>120g</v>
      </c>
      <c r="P118" s="64">
        <f>IFERROR(__xludf.DUMMYFUNCTION("""COMPUTED_VALUE"""),120.0)</f>
        <v>120</v>
      </c>
      <c r="Q118" s="72" t="str">
        <f>IFERROR(__xludf.DUMMYFUNCTION("""COMPUTED_VALUE"""),"280x")</f>
        <v>280x</v>
      </c>
      <c r="R118" s="72" t="str">
        <f>IFERROR(__xludf.DUMMYFUNCTION("""COMPUTED_VALUE"""),"280g")</f>
        <v>280g</v>
      </c>
      <c r="S118" s="72" t="str">
        <f>IFERROR(__xludf.DUMMYFUNCTION("""COMPUTED_VALUE"""),"290x")</f>
        <v>290x</v>
      </c>
      <c r="T118" s="64">
        <f>IFERROR(__xludf.DUMMYFUNCTION("""COMPUTED_VALUE"""),280.0)</f>
        <v>280</v>
      </c>
      <c r="U118" s="66">
        <f>IFERROR(__xludf.DUMMYFUNCTION("""COMPUTED_VALUE"""),605.0)</f>
        <v>605</v>
      </c>
      <c r="V118" s="79">
        <f>IFERROR(__xludf.DUMMYFUNCTION("""COMPUTED_VALUE"""),2.65817223198594)</f>
        <v>2.658172232</v>
      </c>
    </row>
    <row r="119">
      <c r="B119" s="68" t="s">
        <v>123</v>
      </c>
      <c r="C119" s="68">
        <f>if(countif(F116:F118,F119)&gt;1,0,7)</f>
        <v>7</v>
      </c>
      <c r="D119" s="68" t="str">
        <f>IFERROR(__xludf.DUMMYFUNCTION("""COMPUTED_VALUE"""),"242 WJV")</f>
        <v>242 WJV</v>
      </c>
      <c r="E119" s="69" t="str">
        <f>IFERROR(__xludf.DUMMYFUNCTION("""COMPUTED_VALUE"""),"WJV")</f>
        <v>WJV</v>
      </c>
      <c r="F119" s="70" t="str">
        <f>IFERROR(__xludf.DUMMYFUNCTION("""COMPUTED_VALUE"""),"Edwardsburg")</f>
        <v>Edwardsburg</v>
      </c>
      <c r="G119" s="69">
        <f>IFERROR(__xludf.DUMMYFUNCTION("""COMPUTED_VALUE"""),231.2)</f>
        <v>231.2</v>
      </c>
      <c r="H119" s="70" t="str">
        <f>IFERROR(__xludf.DUMMYFUNCTION("""COMPUTED_VALUE"""),"Campoli, Isabella")</f>
        <v>Campoli, Isabella</v>
      </c>
      <c r="I119" s="71" t="str">
        <f>IFERROR(__xludf.DUMMYFUNCTION("""COMPUTED_VALUE"""),"135g")</f>
        <v>135g</v>
      </c>
      <c r="J119" s="69" t="str">
        <f>IFERROR(__xludf.DUMMYFUNCTION("""COMPUTED_VALUE"""),"165g")</f>
        <v>165g</v>
      </c>
      <c r="K119" s="69" t="str">
        <f>IFERROR(__xludf.DUMMYFUNCTION("""COMPUTED_VALUE"""),"185g")</f>
        <v>185g</v>
      </c>
      <c r="L119" s="77">
        <f>IFERROR(__xludf.DUMMYFUNCTION("""COMPUTED_VALUE"""),185.0)</f>
        <v>185</v>
      </c>
      <c r="M119" s="72" t="str">
        <f>IFERROR(__xludf.DUMMYFUNCTION("""COMPUTED_VALUE"""),"95g")</f>
        <v>95g</v>
      </c>
      <c r="N119" s="72" t="str">
        <f>IFERROR(__xludf.DUMMYFUNCTION("""COMPUTED_VALUE"""),"115g")</f>
        <v>115g</v>
      </c>
      <c r="O119" s="72" t="str">
        <f>IFERROR(__xludf.DUMMYFUNCTION("""COMPUTED_VALUE"""),"125x")</f>
        <v>125x</v>
      </c>
      <c r="P119" s="64">
        <f>IFERROR(__xludf.DUMMYFUNCTION("""COMPUTED_VALUE"""),115.0)</f>
        <v>115</v>
      </c>
      <c r="Q119" s="72" t="str">
        <f>IFERROR(__xludf.DUMMYFUNCTION("""COMPUTED_VALUE"""),"250g")</f>
        <v>250g</v>
      </c>
      <c r="R119" s="72" t="str">
        <f>IFERROR(__xludf.DUMMYFUNCTION("""COMPUTED_VALUE"""),"285g")</f>
        <v>285g</v>
      </c>
      <c r="S119" s="72" t="str">
        <f>IFERROR(__xludf.DUMMYFUNCTION("""COMPUTED_VALUE"""),"305g")</f>
        <v>305g</v>
      </c>
      <c r="T119" s="64">
        <f>IFERROR(__xludf.DUMMYFUNCTION("""COMPUTED_VALUE"""),305.0)</f>
        <v>305</v>
      </c>
      <c r="U119" s="66">
        <f>IFERROR(__xludf.DUMMYFUNCTION("""COMPUTED_VALUE"""),605.0)</f>
        <v>605</v>
      </c>
      <c r="V119" s="79">
        <f>IFERROR(__xludf.DUMMYFUNCTION("""COMPUTED_VALUE"""),2.6167820069204155)</f>
        <v>2.616782007</v>
      </c>
    </row>
    <row r="120">
      <c r="B120" s="68" t="s">
        <v>124</v>
      </c>
      <c r="C120" s="68">
        <f>if(countif(F116:F119,F120)&gt;1,0,6)</f>
        <v>6</v>
      </c>
      <c r="D120" s="68" t="str">
        <f>IFERROR(__xludf.DUMMYFUNCTION("""COMPUTED_VALUE"""),"242 WJV")</f>
        <v>242 WJV</v>
      </c>
      <c r="E120" s="69" t="str">
        <f>IFERROR(__xludf.DUMMYFUNCTION("""COMPUTED_VALUE"""),"WJV")</f>
        <v>WJV</v>
      </c>
      <c r="F120" s="70" t="str">
        <f>IFERROR(__xludf.DUMMYFUNCTION("""COMPUTED_VALUE"""),"Lake Orion")</f>
        <v>Lake Orion</v>
      </c>
      <c r="G120" s="69">
        <f>IFERROR(__xludf.DUMMYFUNCTION("""COMPUTED_VALUE"""),229.6)</f>
        <v>229.6</v>
      </c>
      <c r="H120" s="70" t="str">
        <f>IFERROR(__xludf.DUMMYFUNCTION("""COMPUTED_VALUE"""),"Butcher, Veronica")</f>
        <v>Butcher, Veronica</v>
      </c>
      <c r="I120" s="71" t="str">
        <f>IFERROR(__xludf.DUMMYFUNCTION("""COMPUTED_VALUE"""),"210g")</f>
        <v>210g</v>
      </c>
      <c r="J120" s="69" t="str">
        <f>IFERROR(__xludf.DUMMYFUNCTION("""COMPUTED_VALUE"""),"220x")</f>
        <v>220x</v>
      </c>
      <c r="K120" s="69" t="str">
        <f>IFERROR(__xludf.DUMMYFUNCTION("""COMPUTED_VALUE"""),"225x")</f>
        <v>225x</v>
      </c>
      <c r="L120" s="77">
        <f>IFERROR(__xludf.DUMMYFUNCTION("""COMPUTED_VALUE"""),210.0)</f>
        <v>210</v>
      </c>
      <c r="M120" s="72" t="str">
        <f>IFERROR(__xludf.DUMMYFUNCTION("""COMPUTED_VALUE"""),"105g")</f>
        <v>105g</v>
      </c>
      <c r="N120" s="72" t="str">
        <f>IFERROR(__xludf.DUMMYFUNCTION("""COMPUTED_VALUE"""),"110g")</f>
        <v>110g</v>
      </c>
      <c r="O120" s="72" t="str">
        <f>IFERROR(__xludf.DUMMYFUNCTION("""COMPUTED_VALUE"""),"120x")</f>
        <v>120x</v>
      </c>
      <c r="P120" s="64">
        <f>IFERROR(__xludf.DUMMYFUNCTION("""COMPUTED_VALUE"""),110.0)</f>
        <v>110</v>
      </c>
      <c r="Q120" s="72" t="str">
        <f>IFERROR(__xludf.DUMMYFUNCTION("""COMPUTED_VALUE"""),"230g")</f>
        <v>230g</v>
      </c>
      <c r="R120" s="72" t="str">
        <f>IFERROR(__xludf.DUMMYFUNCTION("""COMPUTED_VALUE"""),"250g")</f>
        <v>250g</v>
      </c>
      <c r="S120" s="72" t="str">
        <f>IFERROR(__xludf.DUMMYFUNCTION("""COMPUTED_VALUE"""),"275g")</f>
        <v>275g</v>
      </c>
      <c r="T120" s="64">
        <f>IFERROR(__xludf.DUMMYFUNCTION("""COMPUTED_VALUE"""),275.0)</f>
        <v>275</v>
      </c>
      <c r="U120" s="66">
        <f>IFERROR(__xludf.DUMMYFUNCTION("""COMPUTED_VALUE"""),595.0)</f>
        <v>595</v>
      </c>
      <c r="V120" s="79">
        <f>IFERROR(__xludf.DUMMYFUNCTION("""COMPUTED_VALUE"""),2.591463414634146)</f>
        <v>2.591463415</v>
      </c>
    </row>
    <row r="121">
      <c r="B121" s="68" t="s">
        <v>125</v>
      </c>
      <c r="C121" s="68">
        <f>if(countif(F116:F120,F121)&gt;1,0,5)</f>
        <v>5</v>
      </c>
      <c r="D121" s="68" t="str">
        <f>IFERROR(__xludf.DUMMYFUNCTION("""COMPUTED_VALUE"""),"242 WJV")</f>
        <v>242 WJV</v>
      </c>
      <c r="E121" s="69" t="str">
        <f>IFERROR(__xludf.DUMMYFUNCTION("""COMPUTED_VALUE"""),"WJV")</f>
        <v>WJV</v>
      </c>
      <c r="F121" s="70" t="str">
        <f>IFERROR(__xludf.DUMMYFUNCTION("""COMPUTED_VALUE"""),"Birch Run")</f>
        <v>Birch Run</v>
      </c>
      <c r="G121" s="69">
        <f>IFERROR(__xludf.DUMMYFUNCTION("""COMPUTED_VALUE"""),222.0)</f>
        <v>222</v>
      </c>
      <c r="H121" s="70" t="str">
        <f>IFERROR(__xludf.DUMMYFUNCTION("""COMPUTED_VALUE"""),"Murlick, Lindsey")</f>
        <v>Murlick, Lindsey</v>
      </c>
      <c r="I121" s="71" t="str">
        <f>IFERROR(__xludf.DUMMYFUNCTION("""COMPUTED_VALUE"""),"205g")</f>
        <v>205g</v>
      </c>
      <c r="J121" s="69" t="str">
        <f>IFERROR(__xludf.DUMMYFUNCTION("""COMPUTED_VALUE"""),"220g")</f>
        <v>220g</v>
      </c>
      <c r="K121" s="69" t="str">
        <f>IFERROR(__xludf.DUMMYFUNCTION("""COMPUTED_VALUE"""),"225x")</f>
        <v>225x</v>
      </c>
      <c r="L121" s="77">
        <f>IFERROR(__xludf.DUMMYFUNCTION("""COMPUTED_VALUE"""),220.0)</f>
        <v>220</v>
      </c>
      <c r="M121" s="72" t="str">
        <f>IFERROR(__xludf.DUMMYFUNCTION("""COMPUTED_VALUE"""),"105g")</f>
        <v>105g</v>
      </c>
      <c r="N121" s="72" t="str">
        <f>IFERROR(__xludf.DUMMYFUNCTION("""COMPUTED_VALUE"""),"115x")</f>
        <v>115x</v>
      </c>
      <c r="O121" s="72" t="str">
        <f>IFERROR(__xludf.DUMMYFUNCTION("""COMPUTED_VALUE"""),"115x")</f>
        <v>115x</v>
      </c>
      <c r="P121" s="64">
        <f>IFERROR(__xludf.DUMMYFUNCTION("""COMPUTED_VALUE"""),105.0)</f>
        <v>105</v>
      </c>
      <c r="Q121" s="72" t="str">
        <f>IFERROR(__xludf.DUMMYFUNCTION("""COMPUTED_VALUE"""),"265g")</f>
        <v>265g</v>
      </c>
      <c r="R121" s="72" t="str">
        <f>IFERROR(__xludf.DUMMYFUNCTION("""COMPUTED_VALUE"""),"290x")</f>
        <v>290x</v>
      </c>
      <c r="S121" s="72" t="str">
        <f>IFERROR(__xludf.DUMMYFUNCTION("""COMPUTED_VALUE"""),"290x")</f>
        <v>290x</v>
      </c>
      <c r="T121" s="64">
        <f>IFERROR(__xludf.DUMMYFUNCTION("""COMPUTED_VALUE"""),265.0)</f>
        <v>265</v>
      </c>
      <c r="U121" s="66">
        <f>IFERROR(__xludf.DUMMYFUNCTION("""COMPUTED_VALUE"""),590.0)</f>
        <v>590</v>
      </c>
      <c r="V121" s="79">
        <f>IFERROR(__xludf.DUMMYFUNCTION("""COMPUTED_VALUE"""),2.6576576576576576)</f>
        <v>2.657657658</v>
      </c>
    </row>
    <row r="122">
      <c r="B122" s="68" t="s">
        <v>126</v>
      </c>
      <c r="C122" s="68">
        <f>if(countif(F116:F121,F122)&gt;1,0,4)</f>
        <v>4</v>
      </c>
      <c r="D122" s="68" t="str">
        <f>IFERROR(__xludf.DUMMYFUNCTION("""COMPUTED_VALUE"""),"242 WJV")</f>
        <v>242 WJV</v>
      </c>
      <c r="E122" s="69" t="str">
        <f>IFERROR(__xludf.DUMMYFUNCTION("""COMPUTED_VALUE"""),"WJV")</f>
        <v>WJV</v>
      </c>
      <c r="F122" s="70" t="str">
        <f>IFERROR(__xludf.DUMMYFUNCTION("""COMPUTED_VALUE"""),"Henry Ford II")</f>
        <v>Henry Ford II</v>
      </c>
      <c r="G122" s="69">
        <f>IFERROR(__xludf.DUMMYFUNCTION("""COMPUTED_VALUE"""),235.8)</f>
        <v>235.8</v>
      </c>
      <c r="H122" s="70" t="str">
        <f>IFERROR(__xludf.DUMMYFUNCTION("""COMPUTED_VALUE"""),"McIntosh, Hailee")</f>
        <v>McIntosh, Hailee</v>
      </c>
      <c r="I122" s="71" t="str">
        <f>IFERROR(__xludf.DUMMYFUNCTION("""COMPUTED_VALUE"""),"185x")</f>
        <v>185x</v>
      </c>
      <c r="J122" s="69" t="str">
        <f>IFERROR(__xludf.DUMMYFUNCTION("""COMPUTED_VALUE"""),"185g")</f>
        <v>185g</v>
      </c>
      <c r="K122" s="69" t="str">
        <f>IFERROR(__xludf.DUMMYFUNCTION("""COMPUTED_VALUE"""),"200g")</f>
        <v>200g</v>
      </c>
      <c r="L122" s="77">
        <f>IFERROR(__xludf.DUMMYFUNCTION("""COMPUTED_VALUE"""),200.0)</f>
        <v>200</v>
      </c>
      <c r="M122" s="72" t="str">
        <f>IFERROR(__xludf.DUMMYFUNCTION("""COMPUTED_VALUE"""),"115g")</f>
        <v>115g</v>
      </c>
      <c r="N122" s="72" t="str">
        <f>IFERROR(__xludf.DUMMYFUNCTION("""COMPUTED_VALUE"""),"125x")</f>
        <v>125x</v>
      </c>
      <c r="O122" s="72" t="str">
        <f>IFERROR(__xludf.DUMMYFUNCTION("""COMPUTED_VALUE"""),"125x")</f>
        <v>125x</v>
      </c>
      <c r="P122" s="64">
        <f>IFERROR(__xludf.DUMMYFUNCTION("""COMPUTED_VALUE"""),115.0)</f>
        <v>115</v>
      </c>
      <c r="Q122" s="72" t="str">
        <f>IFERROR(__xludf.DUMMYFUNCTION("""COMPUTED_VALUE"""),"200g")</f>
        <v>200g</v>
      </c>
      <c r="R122" s="72" t="str">
        <f>IFERROR(__xludf.DUMMYFUNCTION("""COMPUTED_VALUE"""),"210g")</f>
        <v>210g</v>
      </c>
      <c r="S122" s="72" t="str">
        <f>IFERROR(__xludf.DUMMYFUNCTION("""COMPUTED_VALUE"""),"225g")</f>
        <v>225g</v>
      </c>
      <c r="T122" s="64">
        <f>IFERROR(__xludf.DUMMYFUNCTION("""COMPUTED_VALUE"""),225.0)</f>
        <v>225</v>
      </c>
      <c r="U122" s="66">
        <f>IFERROR(__xludf.DUMMYFUNCTION("""COMPUTED_VALUE"""),540.0)</f>
        <v>540</v>
      </c>
      <c r="V122" s="79">
        <f>IFERROR(__xludf.DUMMYFUNCTION("""COMPUTED_VALUE"""),2.2900763358778624)</f>
        <v>2.290076336</v>
      </c>
    </row>
    <row r="123">
      <c r="B123" s="68" t="s">
        <v>127</v>
      </c>
      <c r="C123" s="68">
        <f>if(countif(F116:F122,F123)&gt;1,0,3)</f>
        <v>3</v>
      </c>
      <c r="D123" s="68"/>
      <c r="E123" s="69"/>
      <c r="F123" s="70"/>
      <c r="G123" s="69"/>
      <c r="H123" s="70"/>
      <c r="I123" s="71"/>
      <c r="J123" s="69"/>
      <c r="K123" s="69"/>
      <c r="L123" s="77"/>
      <c r="M123" s="72"/>
      <c r="N123" s="72"/>
      <c r="O123" s="72"/>
      <c r="P123" s="64"/>
      <c r="Q123" s="72"/>
      <c r="R123" s="72"/>
      <c r="S123" s="72"/>
      <c r="T123" s="64"/>
      <c r="U123" s="66"/>
      <c r="V123" s="72"/>
    </row>
    <row r="124">
      <c r="B124" s="68" t="s">
        <v>128</v>
      </c>
      <c r="C124" s="68">
        <f>if(countif(F116:F123,F124)&gt;1,0,2)</f>
        <v>2</v>
      </c>
      <c r="D124" s="68"/>
      <c r="E124" s="69"/>
      <c r="F124" s="70"/>
      <c r="G124" s="69"/>
      <c r="H124" s="70"/>
      <c r="I124" s="71"/>
      <c r="J124" s="69"/>
      <c r="K124" s="69"/>
      <c r="L124" s="77"/>
      <c r="M124" s="72"/>
      <c r="N124" s="72"/>
      <c r="O124" s="72"/>
      <c r="P124" s="64"/>
      <c r="Q124" s="72"/>
      <c r="R124" s="72"/>
      <c r="S124" s="72"/>
      <c r="T124" s="64"/>
      <c r="U124" s="66"/>
      <c r="V124" s="72"/>
    </row>
    <row r="125">
      <c r="B125" s="68" t="s">
        <v>129</v>
      </c>
      <c r="C125" s="68">
        <f>if(countif(F116:F124,F125)&gt;1,0,1)</f>
        <v>1</v>
      </c>
      <c r="D125" s="68"/>
      <c r="E125" s="69"/>
      <c r="F125" s="70"/>
      <c r="G125" s="69"/>
      <c r="H125" s="70"/>
      <c r="I125" s="71"/>
      <c r="J125" s="69"/>
      <c r="K125" s="69"/>
      <c r="L125" s="77"/>
      <c r="M125" s="72"/>
      <c r="N125" s="72"/>
      <c r="O125" s="72"/>
      <c r="P125" s="64"/>
      <c r="Q125" s="72"/>
      <c r="R125" s="72"/>
      <c r="S125" s="72"/>
      <c r="T125" s="64"/>
      <c r="U125" s="66"/>
      <c r="V125" s="72"/>
    </row>
    <row r="126">
      <c r="A126" s="58" t="s">
        <v>130</v>
      </c>
      <c r="B126" s="59" t="s">
        <v>120</v>
      </c>
      <c r="C126" s="59">
        <v>12.0</v>
      </c>
      <c r="D126" s="59" t="str">
        <f>IFERROR(__xludf.DUMMYFUNCTION("ARRAY_CONSTRAIN(sort(filter(WJV_Tie_Breaker!D6:X285,WJV_Tie_Breaker!D6:D285=""SHW WJV""),18,false,4,true,20,false,21,true),10,19)"),"SHW WJV")</f>
        <v>SHW WJV</v>
      </c>
      <c r="E126" s="61" t="str">
        <f>IFERROR(__xludf.DUMMYFUNCTION("""COMPUTED_VALUE"""),"WJV")</f>
        <v>WJV</v>
      </c>
      <c r="F126" s="62" t="str">
        <f>IFERROR(__xludf.DUMMYFUNCTION("""COMPUTED_VALUE"""),"Shepherd")</f>
        <v>Shepherd</v>
      </c>
      <c r="G126" s="61">
        <f>IFERROR(__xludf.DUMMYFUNCTION("""COMPUTED_VALUE"""),270.4)</f>
        <v>270.4</v>
      </c>
      <c r="H126" s="62" t="str">
        <f>IFERROR(__xludf.DUMMYFUNCTION("""COMPUTED_VALUE"""),"Ryan, Hailey")</f>
        <v>Ryan, Hailey</v>
      </c>
      <c r="I126" s="63" t="str">
        <f>IFERROR(__xludf.DUMMYFUNCTION("""COMPUTED_VALUE"""),"275x")</f>
        <v>275x</v>
      </c>
      <c r="J126" s="61" t="str">
        <f>IFERROR(__xludf.DUMMYFUNCTION("""COMPUTED_VALUE"""),"275g")</f>
        <v>275g</v>
      </c>
      <c r="K126" s="61" t="str">
        <f>IFERROR(__xludf.DUMMYFUNCTION("""COMPUTED_VALUE"""),"335x")</f>
        <v>335x</v>
      </c>
      <c r="L126" s="77">
        <f>IFERROR(__xludf.DUMMYFUNCTION("""COMPUTED_VALUE"""),275.0)</f>
        <v>275</v>
      </c>
      <c r="M126" s="65" t="str">
        <f>IFERROR(__xludf.DUMMYFUNCTION("""COMPUTED_VALUE"""),"145g")</f>
        <v>145g</v>
      </c>
      <c r="N126" s="65" t="str">
        <f>IFERROR(__xludf.DUMMYFUNCTION("""COMPUTED_VALUE"""),"155g")</f>
        <v>155g</v>
      </c>
      <c r="O126" s="65" t="str">
        <f>IFERROR(__xludf.DUMMYFUNCTION("""COMPUTED_VALUE"""),"165x")</f>
        <v>165x</v>
      </c>
      <c r="P126" s="64">
        <f>IFERROR(__xludf.DUMMYFUNCTION("""COMPUTED_VALUE"""),155.0)</f>
        <v>155</v>
      </c>
      <c r="Q126" s="65" t="str">
        <f>IFERROR(__xludf.DUMMYFUNCTION("""COMPUTED_VALUE"""),"285g")</f>
        <v>285g</v>
      </c>
      <c r="R126" s="65" t="str">
        <f>IFERROR(__xludf.DUMMYFUNCTION("""COMPUTED_VALUE"""),"315g")</f>
        <v>315g</v>
      </c>
      <c r="S126" s="65" t="str">
        <f>IFERROR(__xludf.DUMMYFUNCTION("""COMPUTED_VALUE"""),"340g")</f>
        <v>340g</v>
      </c>
      <c r="T126" s="64">
        <f>IFERROR(__xludf.DUMMYFUNCTION("""COMPUTED_VALUE"""),340.0)</f>
        <v>340</v>
      </c>
      <c r="U126" s="66">
        <f>IFERROR(__xludf.DUMMYFUNCTION("""COMPUTED_VALUE"""),770.0)</f>
        <v>770</v>
      </c>
      <c r="V126" s="78">
        <f>IFERROR(__xludf.DUMMYFUNCTION("""COMPUTED_VALUE"""),2.8476331360946747)</f>
        <v>2.847633136</v>
      </c>
      <c r="W126" s="57"/>
    </row>
    <row r="127">
      <c r="B127" s="59" t="s">
        <v>121</v>
      </c>
      <c r="C127" s="59">
        <v>9.0</v>
      </c>
      <c r="D127" s="59" t="str">
        <f>IFERROR(__xludf.DUMMYFUNCTION("""COMPUTED_VALUE"""),"SHW WJV")</f>
        <v>SHW WJV</v>
      </c>
      <c r="E127" s="61" t="str">
        <f>IFERROR(__xludf.DUMMYFUNCTION("""COMPUTED_VALUE"""),"WJV")</f>
        <v>WJV</v>
      </c>
      <c r="F127" s="62" t="str">
        <f>IFERROR(__xludf.DUMMYFUNCTION("""COMPUTED_VALUE"""),"Birch Run")</f>
        <v>Birch Run</v>
      </c>
      <c r="G127" s="61">
        <f>IFERROR(__xludf.DUMMYFUNCTION("""COMPUTED_VALUE"""),251.2)</f>
        <v>251.2</v>
      </c>
      <c r="H127" s="62" t="str">
        <f>IFERROR(__xludf.DUMMYFUNCTION("""COMPUTED_VALUE"""),"Gubbins, Tiffany")</f>
        <v>Gubbins, Tiffany</v>
      </c>
      <c r="I127" s="63" t="str">
        <f>IFERROR(__xludf.DUMMYFUNCTION("""COMPUTED_VALUE"""),"215g")</f>
        <v>215g</v>
      </c>
      <c r="J127" s="61" t="str">
        <f>IFERROR(__xludf.DUMMYFUNCTION("""COMPUTED_VALUE"""),"240g")</f>
        <v>240g</v>
      </c>
      <c r="K127" s="61" t="str">
        <f>IFERROR(__xludf.DUMMYFUNCTION("""COMPUTED_VALUE"""),"255x")</f>
        <v>255x</v>
      </c>
      <c r="L127" s="77">
        <f>IFERROR(__xludf.DUMMYFUNCTION("""COMPUTED_VALUE"""),240.0)</f>
        <v>240</v>
      </c>
      <c r="M127" s="65" t="str">
        <f>IFERROR(__xludf.DUMMYFUNCTION("""COMPUTED_VALUE"""),"125g")</f>
        <v>125g</v>
      </c>
      <c r="N127" s="65" t="str">
        <f>IFERROR(__xludf.DUMMYFUNCTION("""COMPUTED_VALUE"""),"135g")</f>
        <v>135g</v>
      </c>
      <c r="O127" s="65" t="str">
        <f>IFERROR(__xludf.DUMMYFUNCTION("""COMPUTED_VALUE"""),"145x")</f>
        <v>145x</v>
      </c>
      <c r="P127" s="64">
        <f>IFERROR(__xludf.DUMMYFUNCTION("""COMPUTED_VALUE"""),135.0)</f>
        <v>135</v>
      </c>
      <c r="Q127" s="65" t="str">
        <f>IFERROR(__xludf.DUMMYFUNCTION("""COMPUTED_VALUE"""),"265g")</f>
        <v>265g</v>
      </c>
      <c r="R127" s="65" t="str">
        <f>IFERROR(__xludf.DUMMYFUNCTION("""COMPUTED_VALUE"""),"285x")</f>
        <v>285x</v>
      </c>
      <c r="S127" s="65" t="str">
        <f>IFERROR(__xludf.DUMMYFUNCTION("""COMPUTED_VALUE"""),"285x")</f>
        <v>285x</v>
      </c>
      <c r="T127" s="64">
        <f>IFERROR(__xludf.DUMMYFUNCTION("""COMPUTED_VALUE"""),265.0)</f>
        <v>265</v>
      </c>
      <c r="U127" s="66">
        <f>IFERROR(__xludf.DUMMYFUNCTION("""COMPUTED_VALUE"""),640.0)</f>
        <v>640</v>
      </c>
      <c r="V127" s="78">
        <f>IFERROR(__xludf.DUMMYFUNCTION("""COMPUTED_VALUE"""),2.547770700636943)</f>
        <v>2.547770701</v>
      </c>
      <c r="W127" s="57"/>
    </row>
    <row r="128">
      <c r="B128" s="59" t="s">
        <v>122</v>
      </c>
      <c r="C128" s="59">
        <f>if(countif(F126:F127,F128)&gt;1,0,8)</f>
        <v>8</v>
      </c>
      <c r="D128" s="59" t="str">
        <f>IFERROR(__xludf.DUMMYFUNCTION("""COMPUTED_VALUE"""),"SHW WJV")</f>
        <v>SHW WJV</v>
      </c>
      <c r="E128" s="61" t="str">
        <f>IFERROR(__xludf.DUMMYFUNCTION("""COMPUTED_VALUE"""),"WJV")</f>
        <v>WJV</v>
      </c>
      <c r="F128" s="62" t="str">
        <f>IFERROR(__xludf.DUMMYFUNCTION("""COMPUTED_VALUE"""),"Port Huron")</f>
        <v>Port Huron</v>
      </c>
      <c r="G128" s="61">
        <f>IFERROR(__xludf.DUMMYFUNCTION("""COMPUTED_VALUE"""),290.0)</f>
        <v>290</v>
      </c>
      <c r="H128" s="62" t="str">
        <f>IFERROR(__xludf.DUMMYFUNCTION("""COMPUTED_VALUE"""),"Bland, Cheyenne")</f>
        <v>Bland, Cheyenne</v>
      </c>
      <c r="I128" s="63" t="str">
        <f>IFERROR(__xludf.DUMMYFUNCTION("""COMPUTED_VALUE"""),"205g")</f>
        <v>205g</v>
      </c>
      <c r="J128" s="61" t="str">
        <f>IFERROR(__xludf.DUMMYFUNCTION("""COMPUTED_VALUE"""),"225x")</f>
        <v>225x</v>
      </c>
      <c r="K128" s="61" t="str">
        <f>IFERROR(__xludf.DUMMYFUNCTION("""COMPUTED_VALUE"""),"225g")</f>
        <v>225g</v>
      </c>
      <c r="L128" s="77">
        <f>IFERROR(__xludf.DUMMYFUNCTION("""COMPUTED_VALUE"""),225.0)</f>
        <v>225</v>
      </c>
      <c r="M128" s="65" t="str">
        <f>IFERROR(__xludf.DUMMYFUNCTION("""COMPUTED_VALUE"""),"105g")</f>
        <v>105g</v>
      </c>
      <c r="N128" s="65" t="str">
        <f>IFERROR(__xludf.DUMMYFUNCTION("""COMPUTED_VALUE"""),"110g")</f>
        <v>110g</v>
      </c>
      <c r="O128" s="65" t="str">
        <f>IFERROR(__xludf.DUMMYFUNCTION("""COMPUTED_VALUE"""),"115g")</f>
        <v>115g</v>
      </c>
      <c r="P128" s="64">
        <f>IFERROR(__xludf.DUMMYFUNCTION("""COMPUTED_VALUE"""),115.0)</f>
        <v>115</v>
      </c>
      <c r="Q128" s="65" t="str">
        <f>IFERROR(__xludf.DUMMYFUNCTION("""COMPUTED_VALUE"""),"280g")</f>
        <v>280g</v>
      </c>
      <c r="R128" s="65" t="str">
        <f>IFERROR(__xludf.DUMMYFUNCTION("""COMPUTED_VALUE"""),"295x")</f>
        <v>295x</v>
      </c>
      <c r="S128" s="65" t="str">
        <f>IFERROR(__xludf.DUMMYFUNCTION("""COMPUTED_VALUE"""),"295g")</f>
        <v>295g</v>
      </c>
      <c r="T128" s="64">
        <f>IFERROR(__xludf.DUMMYFUNCTION("""COMPUTED_VALUE"""),295.0)</f>
        <v>295</v>
      </c>
      <c r="U128" s="66">
        <f>IFERROR(__xludf.DUMMYFUNCTION("""COMPUTED_VALUE"""),635.0)</f>
        <v>635</v>
      </c>
      <c r="V128" s="78">
        <f>IFERROR(__xludf.DUMMYFUNCTION("""COMPUTED_VALUE"""),2.189655172413793)</f>
        <v>2.189655172</v>
      </c>
      <c r="W128" s="57"/>
    </row>
    <row r="129">
      <c r="B129" s="59" t="s">
        <v>123</v>
      </c>
      <c r="C129" s="59">
        <f>if(countif(F126:F128,F129)&gt;1,0,7)</f>
        <v>7</v>
      </c>
      <c r="D129" s="59" t="str">
        <f>IFERROR(__xludf.DUMMYFUNCTION("""COMPUTED_VALUE"""),"SHW WJV")</f>
        <v>SHW WJV</v>
      </c>
      <c r="E129" s="61" t="str">
        <f>IFERROR(__xludf.DUMMYFUNCTION("""COMPUTED_VALUE"""),"WJV")</f>
        <v>WJV</v>
      </c>
      <c r="F129" s="62" t="str">
        <f>IFERROR(__xludf.DUMMYFUNCTION("""COMPUTED_VALUE"""),"Shepherd")</f>
        <v>Shepherd</v>
      </c>
      <c r="G129" s="61">
        <f>IFERROR(__xludf.DUMMYFUNCTION("""COMPUTED_VALUE"""),277.0)</f>
        <v>277</v>
      </c>
      <c r="H129" s="62" t="str">
        <f>IFERROR(__xludf.DUMMYFUNCTION("""COMPUTED_VALUE"""),"Ryan, Kelly")</f>
        <v>Ryan, Kelly</v>
      </c>
      <c r="I129" s="63" t="str">
        <f>IFERROR(__xludf.DUMMYFUNCTION("""COMPUTED_VALUE"""),"200x")</f>
        <v>200x</v>
      </c>
      <c r="J129" s="61" t="str">
        <f>IFERROR(__xludf.DUMMYFUNCTION("""COMPUTED_VALUE"""),"215g")</f>
        <v>215g</v>
      </c>
      <c r="K129" s="61" t="str">
        <f>IFERROR(__xludf.DUMMYFUNCTION("""COMPUTED_VALUE"""),"230x")</f>
        <v>230x</v>
      </c>
      <c r="L129" s="77">
        <f>IFERROR(__xludf.DUMMYFUNCTION("""COMPUTED_VALUE"""),215.0)</f>
        <v>215</v>
      </c>
      <c r="M129" s="65" t="str">
        <f>IFERROR(__xludf.DUMMYFUNCTION("""COMPUTED_VALUE"""),"125g")</f>
        <v>125g</v>
      </c>
      <c r="N129" s="65" t="str">
        <f>IFERROR(__xludf.DUMMYFUNCTION("""COMPUTED_VALUE"""),"140g")</f>
        <v>140g</v>
      </c>
      <c r="O129" s="65" t="str">
        <f>IFERROR(__xludf.DUMMYFUNCTION("""COMPUTED_VALUE"""),"145x")</f>
        <v>145x</v>
      </c>
      <c r="P129" s="64">
        <f>IFERROR(__xludf.DUMMYFUNCTION("""COMPUTED_VALUE"""),140.0)</f>
        <v>140</v>
      </c>
      <c r="Q129" s="65" t="str">
        <f>IFERROR(__xludf.DUMMYFUNCTION("""COMPUTED_VALUE"""),"215g")</f>
        <v>215g</v>
      </c>
      <c r="R129" s="65" t="str">
        <f>IFERROR(__xludf.DUMMYFUNCTION("""COMPUTED_VALUE"""),"245g")</f>
        <v>245g</v>
      </c>
      <c r="S129" s="65" t="str">
        <f>IFERROR(__xludf.DUMMYFUNCTION("""COMPUTED_VALUE"""),"260g")</f>
        <v>260g</v>
      </c>
      <c r="T129" s="64">
        <f>IFERROR(__xludf.DUMMYFUNCTION("""COMPUTED_VALUE"""),260.0)</f>
        <v>260</v>
      </c>
      <c r="U129" s="66">
        <f>IFERROR(__xludf.DUMMYFUNCTION("""COMPUTED_VALUE"""),615.0)</f>
        <v>615</v>
      </c>
      <c r="V129" s="78">
        <f>IFERROR(__xludf.DUMMYFUNCTION("""COMPUTED_VALUE"""),2.220216606498195)</f>
        <v>2.220216606</v>
      </c>
      <c r="W129" s="57"/>
    </row>
    <row r="130">
      <c r="B130" s="59" t="s">
        <v>124</v>
      </c>
      <c r="C130" s="59">
        <f>if(countif(F126:F129,F130)&gt;1,0,6)</f>
        <v>6</v>
      </c>
      <c r="D130" s="59" t="str">
        <f>IFERROR(__xludf.DUMMYFUNCTION("""COMPUTED_VALUE"""),"SHW WJV")</f>
        <v>SHW WJV</v>
      </c>
      <c r="E130" s="61" t="str">
        <f>IFERROR(__xludf.DUMMYFUNCTION("""COMPUTED_VALUE"""),"WJV")</f>
        <v>WJV</v>
      </c>
      <c r="F130" s="62" t="str">
        <f>IFERROR(__xludf.DUMMYFUNCTION("""COMPUTED_VALUE"""),"North Branch")</f>
        <v>North Branch</v>
      </c>
      <c r="G130" s="61">
        <f>IFERROR(__xludf.DUMMYFUNCTION("""COMPUTED_VALUE"""),290.4)</f>
        <v>290.4</v>
      </c>
      <c r="H130" s="62" t="str">
        <f>IFERROR(__xludf.DUMMYFUNCTION("""COMPUTED_VALUE"""),"Trombley, Val")</f>
        <v>Trombley, Val</v>
      </c>
      <c r="I130" s="63" t="str">
        <f>IFERROR(__xludf.DUMMYFUNCTION("""COMPUTED_VALUE"""),"250x")</f>
        <v>250x</v>
      </c>
      <c r="J130" s="61" t="str">
        <f>IFERROR(__xludf.DUMMYFUNCTION("""COMPUTED_VALUE"""),"260g")</f>
        <v>260g</v>
      </c>
      <c r="K130" s="61" t="str">
        <f>IFERROR(__xludf.DUMMYFUNCTION("""COMPUTED_VALUE"""),"270x")</f>
        <v>270x</v>
      </c>
      <c r="L130" s="77">
        <f>IFERROR(__xludf.DUMMYFUNCTION("""COMPUTED_VALUE"""),260.0)</f>
        <v>260</v>
      </c>
      <c r="M130" s="65" t="str">
        <f>IFERROR(__xludf.DUMMYFUNCTION("""COMPUTED_VALUE"""),"110g")</f>
        <v>110g</v>
      </c>
      <c r="N130" s="65" t="str">
        <f>IFERROR(__xludf.DUMMYFUNCTION("""COMPUTED_VALUE"""),"120g")</f>
        <v>120g</v>
      </c>
      <c r="O130" s="65" t="str">
        <f>IFERROR(__xludf.DUMMYFUNCTION("""COMPUTED_VALUE"""),"130x")</f>
        <v>130x</v>
      </c>
      <c r="P130" s="64">
        <f>IFERROR(__xludf.DUMMYFUNCTION("""COMPUTED_VALUE"""),120.0)</f>
        <v>120</v>
      </c>
      <c r="Q130" s="65" t="str">
        <f>IFERROR(__xludf.DUMMYFUNCTION("""COMPUTED_VALUE"""),"230g")</f>
        <v>230g</v>
      </c>
      <c r="R130" s="65" t="str">
        <f>IFERROR(__xludf.DUMMYFUNCTION("""COMPUTED_VALUE"""),"240x")</f>
        <v>240x</v>
      </c>
      <c r="S130" s="65" t="str">
        <f>IFERROR(__xludf.DUMMYFUNCTION("""COMPUTED_VALUE"""),"245x")</f>
        <v>245x</v>
      </c>
      <c r="T130" s="64">
        <f>IFERROR(__xludf.DUMMYFUNCTION("""COMPUTED_VALUE"""),230.0)</f>
        <v>230</v>
      </c>
      <c r="U130" s="66">
        <f>IFERROR(__xludf.DUMMYFUNCTION("""COMPUTED_VALUE"""),610.0)</f>
        <v>610</v>
      </c>
      <c r="V130" s="78">
        <f>IFERROR(__xludf.DUMMYFUNCTION("""COMPUTED_VALUE"""),2.100550964187328)</f>
        <v>2.100550964</v>
      </c>
      <c r="W130" s="57"/>
    </row>
    <row r="131">
      <c r="B131" s="59" t="s">
        <v>125</v>
      </c>
      <c r="C131" s="59">
        <f>if(countif(F126:F130,F131)&gt;1,0,5)</f>
        <v>5</v>
      </c>
      <c r="D131" s="59" t="str">
        <f>IFERROR(__xludf.DUMMYFUNCTION("""COMPUTED_VALUE"""),"SHW WJV")</f>
        <v>SHW WJV</v>
      </c>
      <c r="E131" s="61" t="str">
        <f>IFERROR(__xludf.DUMMYFUNCTION("""COMPUTED_VALUE"""),"WJV")</f>
        <v>WJV</v>
      </c>
      <c r="F131" s="62" t="str">
        <f>IFERROR(__xludf.DUMMYFUNCTION("""COMPUTED_VALUE"""),"Morenci")</f>
        <v>Morenci</v>
      </c>
      <c r="G131" s="61">
        <f>IFERROR(__xludf.DUMMYFUNCTION("""COMPUTED_VALUE"""),271.4)</f>
        <v>271.4</v>
      </c>
      <c r="H131" s="62" t="str">
        <f>IFERROR(__xludf.DUMMYFUNCTION("""COMPUTED_VALUE"""),"Corkle, Sophie")</f>
        <v>Corkle, Sophie</v>
      </c>
      <c r="I131" s="63" t="str">
        <f>IFERROR(__xludf.DUMMYFUNCTION("""COMPUTED_VALUE"""),"135g")</f>
        <v>135g</v>
      </c>
      <c r="J131" s="61" t="str">
        <f>IFERROR(__xludf.DUMMYFUNCTION("""COMPUTED_VALUE"""),"170g")</f>
        <v>170g</v>
      </c>
      <c r="K131" s="61" t="str">
        <f>IFERROR(__xludf.DUMMYFUNCTION("""COMPUTED_VALUE"""),"190x")</f>
        <v>190x</v>
      </c>
      <c r="L131" s="77">
        <f>IFERROR(__xludf.DUMMYFUNCTION("""COMPUTED_VALUE"""),170.0)</f>
        <v>170</v>
      </c>
      <c r="M131" s="65" t="str">
        <f>IFERROR(__xludf.DUMMYFUNCTION("""COMPUTED_VALUE"""),"115g")</f>
        <v>115g</v>
      </c>
      <c r="N131" s="65" t="str">
        <f>IFERROR(__xludf.DUMMYFUNCTION("""COMPUTED_VALUE"""),"125x")</f>
        <v>125x</v>
      </c>
      <c r="O131" s="65" t="str">
        <f>IFERROR(__xludf.DUMMYFUNCTION("""COMPUTED_VALUE"""),"125x")</f>
        <v>125x</v>
      </c>
      <c r="P131" s="64">
        <f>IFERROR(__xludf.DUMMYFUNCTION("""COMPUTED_VALUE"""),115.0)</f>
        <v>115</v>
      </c>
      <c r="Q131" s="65" t="str">
        <f>IFERROR(__xludf.DUMMYFUNCTION("""COMPUTED_VALUE"""),"240g")</f>
        <v>240g</v>
      </c>
      <c r="R131" s="65" t="str">
        <f>IFERROR(__xludf.DUMMYFUNCTION("""COMPUTED_VALUE"""),"265x")</f>
        <v>265x</v>
      </c>
      <c r="S131" s="65" t="str">
        <f>IFERROR(__xludf.DUMMYFUNCTION("""COMPUTED_VALUE"""),"265x")</f>
        <v>265x</v>
      </c>
      <c r="T131" s="64">
        <f>IFERROR(__xludf.DUMMYFUNCTION("""COMPUTED_VALUE"""),240.0)</f>
        <v>240</v>
      </c>
      <c r="U131" s="66">
        <f>IFERROR(__xludf.DUMMYFUNCTION("""COMPUTED_VALUE"""),525.0)</f>
        <v>525</v>
      </c>
      <c r="V131" s="78">
        <f>IFERROR(__xludf.DUMMYFUNCTION("""COMPUTED_VALUE"""),1.9344141488577746)</f>
        <v>1.934414149</v>
      </c>
      <c r="W131" s="57"/>
    </row>
    <row r="132">
      <c r="B132" s="59" t="s">
        <v>126</v>
      </c>
      <c r="C132" s="59">
        <f>if(countif(F126:F131,F132)&gt;1,0,4)</f>
        <v>4</v>
      </c>
      <c r="D132" s="59" t="str">
        <f>IFERROR(__xludf.DUMMYFUNCTION("""COMPUTED_VALUE"""),"SHW WJV")</f>
        <v>SHW WJV</v>
      </c>
      <c r="E132" s="61" t="str">
        <f>IFERROR(__xludf.DUMMYFUNCTION("""COMPUTED_VALUE"""),"WJV")</f>
        <v>WJV</v>
      </c>
      <c r="F132" s="62" t="str">
        <f>IFERROR(__xludf.DUMMYFUNCTION("""COMPUTED_VALUE"""),"Montague")</f>
        <v>Montague</v>
      </c>
      <c r="G132" s="61">
        <f>IFERROR(__xludf.DUMMYFUNCTION("""COMPUTED_VALUE"""),313.2)</f>
        <v>313.2</v>
      </c>
      <c r="H132" s="62" t="str">
        <f>IFERROR(__xludf.DUMMYFUNCTION("""COMPUTED_VALUE"""),"Guerrero, Nikki")</f>
        <v>Guerrero, Nikki</v>
      </c>
      <c r="I132" s="63" t="str">
        <f>IFERROR(__xludf.DUMMYFUNCTION("""COMPUTED_VALUE"""),"180g")</f>
        <v>180g</v>
      </c>
      <c r="J132" s="61" t="str">
        <f>IFERROR(__xludf.DUMMYFUNCTION("""COMPUTED_VALUE"""),"200g")</f>
        <v>200g</v>
      </c>
      <c r="K132" s="61" t="str">
        <f>IFERROR(__xludf.DUMMYFUNCTION("""COMPUTED_VALUE"""),"210x")</f>
        <v>210x</v>
      </c>
      <c r="L132" s="77">
        <f>IFERROR(__xludf.DUMMYFUNCTION("""COMPUTED_VALUE"""),200.0)</f>
        <v>200</v>
      </c>
      <c r="M132" s="65" t="str">
        <f>IFERROR(__xludf.DUMMYFUNCTION("""COMPUTED_VALUE"""),"100g")</f>
        <v>100g</v>
      </c>
      <c r="N132" s="65" t="str">
        <f>IFERROR(__xludf.DUMMYFUNCTION("""COMPUTED_VALUE"""),"110x")</f>
        <v>110x</v>
      </c>
      <c r="O132" s="65" t="str">
        <f>IFERROR(__xludf.DUMMYFUNCTION("""COMPUTED_VALUE"""),"110g")</f>
        <v>110g</v>
      </c>
      <c r="P132" s="64">
        <f>IFERROR(__xludf.DUMMYFUNCTION("""COMPUTED_VALUE"""),110.0)</f>
        <v>110</v>
      </c>
      <c r="Q132" s="65" t="str">
        <f>IFERROR(__xludf.DUMMYFUNCTION("""COMPUTED_VALUE"""),"205g")</f>
        <v>205g</v>
      </c>
      <c r="R132" s="65" t="str">
        <f>IFERROR(__xludf.DUMMYFUNCTION("""COMPUTED_VALUE"""),"230x")</f>
        <v>230x</v>
      </c>
      <c r="S132" s="65" t="str">
        <f>IFERROR(__xludf.DUMMYFUNCTION("""COMPUTED_VALUE"""),"245x")</f>
        <v>245x</v>
      </c>
      <c r="T132" s="64">
        <f>IFERROR(__xludf.DUMMYFUNCTION("""COMPUTED_VALUE"""),205.0)</f>
        <v>205</v>
      </c>
      <c r="U132" s="66">
        <f>IFERROR(__xludf.DUMMYFUNCTION("""COMPUTED_VALUE"""),515.0)</f>
        <v>515</v>
      </c>
      <c r="V132" s="78">
        <f>IFERROR(__xludf.DUMMYFUNCTION("""COMPUTED_VALUE"""),1.644316730523627)</f>
        <v>1.644316731</v>
      </c>
      <c r="W132" s="57"/>
    </row>
    <row r="133">
      <c r="B133" s="59" t="s">
        <v>127</v>
      </c>
      <c r="C133" s="59">
        <f>if(countif(F126:F132,F133)&gt;1,0,3)</f>
        <v>3</v>
      </c>
      <c r="D133" s="59" t="str">
        <f>IFERROR(__xludf.DUMMYFUNCTION("""COMPUTED_VALUE"""),"SHW WJV")</f>
        <v>SHW WJV</v>
      </c>
      <c r="E133" s="61" t="str">
        <f>IFERROR(__xludf.DUMMYFUNCTION("""COMPUTED_VALUE"""),"WJV")</f>
        <v>WJV</v>
      </c>
      <c r="F133" s="62" t="str">
        <f>IFERROR(__xludf.DUMMYFUNCTION("""COMPUTED_VALUE"""),"Port Huron")</f>
        <v>Port Huron</v>
      </c>
      <c r="G133" s="61">
        <f>IFERROR(__xludf.DUMMYFUNCTION("""COMPUTED_VALUE"""),250.2)</f>
        <v>250.2</v>
      </c>
      <c r="H133" s="62" t="str">
        <f>IFERROR(__xludf.DUMMYFUNCTION("""COMPUTED_VALUE"""),"Rome, Nakeya")</f>
        <v>Rome, Nakeya</v>
      </c>
      <c r="I133" s="63" t="str">
        <f>IFERROR(__xludf.DUMMYFUNCTION("""COMPUTED_VALUE"""),"135g")</f>
        <v>135g</v>
      </c>
      <c r="J133" s="61" t="str">
        <f>IFERROR(__xludf.DUMMYFUNCTION("""COMPUTED_VALUE"""),"145x")</f>
        <v>145x</v>
      </c>
      <c r="K133" s="61" t="str">
        <f>IFERROR(__xludf.DUMMYFUNCTION("""COMPUTED_VALUE"""),"145x")</f>
        <v>145x</v>
      </c>
      <c r="L133" s="77">
        <f>IFERROR(__xludf.DUMMYFUNCTION("""COMPUTED_VALUE"""),135.0)</f>
        <v>135</v>
      </c>
      <c r="M133" s="65" t="str">
        <f>IFERROR(__xludf.DUMMYFUNCTION("""COMPUTED_VALUE"""),"95g")</f>
        <v>95g</v>
      </c>
      <c r="N133" s="65" t="str">
        <f>IFERROR(__xludf.DUMMYFUNCTION("""COMPUTED_VALUE"""),"115g")</f>
        <v>115g</v>
      </c>
      <c r="O133" s="65" t="str">
        <f>IFERROR(__xludf.DUMMYFUNCTION("""COMPUTED_VALUE"""),"120x")</f>
        <v>120x</v>
      </c>
      <c r="P133" s="64">
        <f>IFERROR(__xludf.DUMMYFUNCTION("""COMPUTED_VALUE"""),115.0)</f>
        <v>115</v>
      </c>
      <c r="Q133" s="65" t="str">
        <f>IFERROR(__xludf.DUMMYFUNCTION("""COMPUTED_VALUE"""),"205g")</f>
        <v>205g</v>
      </c>
      <c r="R133" s="65" t="str">
        <f>IFERROR(__xludf.DUMMYFUNCTION("""COMPUTED_VALUE"""),"215g")</f>
        <v>215g</v>
      </c>
      <c r="S133" s="65" t="str">
        <f>IFERROR(__xludf.DUMMYFUNCTION("""COMPUTED_VALUE"""),"225g")</f>
        <v>225g</v>
      </c>
      <c r="T133" s="64">
        <f>IFERROR(__xludf.DUMMYFUNCTION("""COMPUTED_VALUE"""),225.0)</f>
        <v>225</v>
      </c>
      <c r="U133" s="66">
        <f>IFERROR(__xludf.DUMMYFUNCTION("""COMPUTED_VALUE"""),475.0)</f>
        <v>475</v>
      </c>
      <c r="V133" s="78">
        <f>IFERROR(__xludf.DUMMYFUNCTION("""COMPUTED_VALUE"""),1.8984812150279777)</f>
        <v>1.898481215</v>
      </c>
      <c r="W133" s="57"/>
    </row>
    <row r="134">
      <c r="B134" s="59" t="s">
        <v>128</v>
      </c>
      <c r="C134" s="59">
        <f>if(countif(F126:F133,F134)&gt;1,0,2)</f>
        <v>2</v>
      </c>
      <c r="D134" s="59"/>
      <c r="E134" s="61"/>
      <c r="F134" s="62"/>
      <c r="G134" s="61"/>
      <c r="H134" s="62"/>
      <c r="I134" s="63"/>
      <c r="J134" s="61"/>
      <c r="K134" s="61"/>
      <c r="L134" s="77"/>
      <c r="M134" s="65"/>
      <c r="N134" s="65"/>
      <c r="O134" s="65"/>
      <c r="P134" s="64"/>
      <c r="Q134" s="65"/>
      <c r="R134" s="65"/>
      <c r="S134" s="65"/>
      <c r="T134" s="64"/>
      <c r="U134" s="66"/>
      <c r="V134" s="65"/>
      <c r="W134" s="57"/>
    </row>
    <row r="135">
      <c r="B135" s="59" t="s">
        <v>129</v>
      </c>
      <c r="C135" s="59">
        <f>if(countif(F126:F134,F135)&gt;1,0,1)</f>
        <v>1</v>
      </c>
      <c r="D135" s="59"/>
      <c r="E135" s="61"/>
      <c r="F135" s="62"/>
      <c r="G135" s="61"/>
      <c r="H135" s="62"/>
      <c r="I135" s="63"/>
      <c r="J135" s="61"/>
      <c r="K135" s="61"/>
      <c r="L135" s="77"/>
      <c r="M135" s="65"/>
      <c r="N135" s="65"/>
      <c r="O135" s="65"/>
      <c r="P135" s="64"/>
      <c r="Q135" s="65"/>
      <c r="R135" s="65"/>
      <c r="S135" s="65"/>
      <c r="T135" s="64"/>
      <c r="U135" s="66"/>
      <c r="V135" s="65"/>
      <c r="W135" s="57"/>
    </row>
  </sheetData>
  <mergeCells count="19">
    <mergeCell ref="A116:A125"/>
    <mergeCell ref="A106:A115"/>
    <mergeCell ref="A26:A35"/>
    <mergeCell ref="A16:A25"/>
    <mergeCell ref="A86:A95"/>
    <mergeCell ref="A96:A105"/>
    <mergeCell ref="A126:A135"/>
    <mergeCell ref="A46:A55"/>
    <mergeCell ref="A36:A45"/>
    <mergeCell ref="A6:A15"/>
    <mergeCell ref="A66:A75"/>
    <mergeCell ref="A76:A85"/>
    <mergeCell ref="A56:A65"/>
    <mergeCell ref="A4:W4"/>
    <mergeCell ref="A1:W3"/>
    <mergeCell ref="Q5:S5"/>
    <mergeCell ref="W5:W125"/>
    <mergeCell ref="M5:O5"/>
    <mergeCell ref="I5:K5"/>
  </mergeCells>
  <conditionalFormatting sqref="U5">
    <cfRule type="containsText" dxfId="0" priority="1" operator="containsText" text="There are same totals">
      <formula>NOT(ISERROR(SEARCH(("There are same totals"),(U5))))</formula>
    </cfRule>
  </conditionalFormatting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tabColor rgb="FF000000"/>
    <outlinePr summaryBelow="0" summaryRight="0"/>
  </sheetPr>
  <sheetViews>
    <sheetView workbookViewId="0">
      <pane xSplit="6.0" ySplit="2.0" topLeftCell="G3" activePane="bottomRight" state="frozen"/>
      <selection activeCell="G1" sqref="G1" pane="topRight"/>
      <selection activeCell="A3" sqref="A3" pane="bottomLeft"/>
      <selection activeCell="G3" sqref="G3" pane="bottomRight"/>
    </sheetView>
  </sheetViews>
  <sheetFormatPr customHeight="1" defaultColWidth="14.43" defaultRowHeight="15.75"/>
  <cols>
    <col customWidth="1" min="1" max="1" width="3.57"/>
    <col customWidth="1" min="2" max="2" width="11.29"/>
    <col customWidth="1" min="3" max="3" width="6.86"/>
    <col customWidth="1" min="4" max="4" width="14.71"/>
    <col customWidth="1" min="5" max="5" width="7.57"/>
    <col customWidth="1" min="6" max="6" width="18.29"/>
    <col customWidth="1" min="7" max="18" width="5.71"/>
    <col customWidth="1" min="19" max="19" width="9.86"/>
    <col customWidth="1" min="20" max="20" width="11.0"/>
    <col customWidth="1" hidden="1" min="21" max="21" width="11.0"/>
  </cols>
  <sheetData>
    <row r="1">
      <c r="A1" s="80"/>
      <c r="B1" s="16" t="s">
        <v>19</v>
      </c>
      <c r="C1" s="16" t="s">
        <v>135</v>
      </c>
      <c r="D1" s="57" t="s">
        <v>22</v>
      </c>
      <c r="E1" s="57" t="s">
        <v>23</v>
      </c>
      <c r="F1" s="57" t="s">
        <v>25</v>
      </c>
      <c r="G1" s="57" t="s">
        <v>115</v>
      </c>
      <c r="K1" s="57" t="s">
        <v>116</v>
      </c>
      <c r="O1" s="57" t="s">
        <v>117</v>
      </c>
      <c r="S1" s="57" t="s">
        <v>118</v>
      </c>
      <c r="T1" s="57" t="s">
        <v>119</v>
      </c>
      <c r="U1" s="57"/>
    </row>
    <row r="2">
      <c r="A2" s="81"/>
      <c r="B2" s="82" t="s">
        <v>19</v>
      </c>
      <c r="C2" s="83" t="s">
        <v>135</v>
      </c>
      <c r="D2" s="83" t="s">
        <v>22</v>
      </c>
      <c r="E2" s="84" t="s">
        <v>23</v>
      </c>
      <c r="F2" s="83" t="s">
        <v>25</v>
      </c>
      <c r="G2" s="83" t="s">
        <v>136</v>
      </c>
      <c r="H2" s="83" t="s">
        <v>137</v>
      </c>
      <c r="I2" s="83" t="s">
        <v>138</v>
      </c>
      <c r="J2" s="83" t="s">
        <v>139</v>
      </c>
      <c r="K2" s="83" t="s">
        <v>140</v>
      </c>
      <c r="L2" s="83" t="s">
        <v>141</v>
      </c>
      <c r="M2" s="83" t="s">
        <v>142</v>
      </c>
      <c r="N2" s="83" t="s">
        <v>143</v>
      </c>
      <c r="O2" s="83" t="s">
        <v>144</v>
      </c>
      <c r="P2" s="83" t="s">
        <v>145</v>
      </c>
      <c r="Q2" s="83" t="s">
        <v>146</v>
      </c>
      <c r="R2" s="83" t="s">
        <v>147</v>
      </c>
      <c r="S2" s="83"/>
      <c r="T2" s="84" t="s">
        <v>119</v>
      </c>
      <c r="U2" s="84"/>
    </row>
    <row r="3">
      <c r="A3" s="85">
        <v>1.0</v>
      </c>
      <c r="B3" s="35" t="s">
        <v>41</v>
      </c>
      <c r="C3" s="35" t="s">
        <v>109</v>
      </c>
      <c r="D3" s="86" t="s">
        <v>148</v>
      </c>
      <c r="E3" s="35">
        <v>104.3</v>
      </c>
      <c r="F3" s="86" t="s">
        <v>149</v>
      </c>
      <c r="G3" s="35" t="s">
        <v>150</v>
      </c>
      <c r="H3" s="85" t="s">
        <v>151</v>
      </c>
      <c r="I3" s="85" t="s">
        <v>152</v>
      </c>
      <c r="J3" s="87">
        <f t="shared" ref="J3:J17" si="1">IFERROR(__xludf.DUMMYFUNCTION("if(isblank(B3),,Max(if(right(G3,1)=""g"",split(G3,""g""),),if(right(H3,1)=""g"",split(H3,""g""),),if(right(I3,1)=""g"",split(I3,""g""),)))"),185.0)</f>
        <v>185</v>
      </c>
      <c r="K3" s="35" t="s">
        <v>153</v>
      </c>
      <c r="L3" s="88" t="s">
        <v>154</v>
      </c>
      <c r="M3" s="89" t="s">
        <v>155</v>
      </c>
      <c r="N3" s="87">
        <f t="shared" ref="N3:N17" si="2">IFERROR(__xludf.DUMMYFUNCTION("if(isblank($B3),,Max(if(right(K3,1)=""g"",split(K3,""g""),),if(right(L3,1)=""g"",split(L3,""g""),),if(right(M3,1)=""g"",split(M3,""g""),)))"),110.0)</f>
        <v>110</v>
      </c>
      <c r="O3" s="35" t="s">
        <v>156</v>
      </c>
      <c r="P3" s="88" t="s">
        <v>157</v>
      </c>
      <c r="Q3" s="88" t="s">
        <v>158</v>
      </c>
      <c r="R3" s="87">
        <f t="shared" ref="R3:R17" si="3">IFERROR(__xludf.DUMMYFUNCTION("if(isblank($B3),,Max(if(right(O3,1)=""g"",split(O3,""g""),),if(right(P3,1)=""g"",split(P3,""g""),),if(right(Q3,1)=""g"",split(Q3,""g""),)))"),240.0)</f>
        <v>240</v>
      </c>
      <c r="S3" s="90">
        <f t="shared" ref="S3:S17" si="4">if(isblank(F3),,if(or(and(right(G3,1)="x",right(H3,1)="x",right(I3,1)="x"),and(right(K3,1)="x",right(L3,1)="x",right(M3,1)="x"),and(right(O3,1)="x",right(P3,1)="x",right(Q3,1)="x")),0,J3+N3+R3))</f>
        <v>535</v>
      </c>
      <c r="T3" s="91">
        <f t="shared" ref="T3:T17" si="5">if(isblank(E3),,S3/E3)</f>
        <v>5.129434324</v>
      </c>
      <c r="U3" s="85">
        <f t="shared" ref="U3:U77" si="6">countif(G3:Q3,"*g")</f>
        <v>6</v>
      </c>
    </row>
    <row r="4">
      <c r="A4" s="85">
        <v>2.0</v>
      </c>
      <c r="B4" s="35" t="s">
        <v>41</v>
      </c>
      <c r="C4" s="35" t="s">
        <v>109</v>
      </c>
      <c r="D4" s="86" t="s">
        <v>159</v>
      </c>
      <c r="E4" s="35">
        <v>102.0</v>
      </c>
      <c r="F4" s="86" t="s">
        <v>160</v>
      </c>
      <c r="G4" s="35" t="s">
        <v>161</v>
      </c>
      <c r="H4" s="85" t="s">
        <v>150</v>
      </c>
      <c r="I4" s="85" t="s">
        <v>162</v>
      </c>
      <c r="J4" s="87">
        <f t="shared" si="1"/>
        <v>175</v>
      </c>
      <c r="K4" s="35" t="s">
        <v>163</v>
      </c>
      <c r="L4" s="88" t="s">
        <v>164</v>
      </c>
      <c r="M4" s="89" t="s">
        <v>165</v>
      </c>
      <c r="N4" s="87">
        <f t="shared" si="2"/>
        <v>100</v>
      </c>
      <c r="O4" s="35" t="s">
        <v>166</v>
      </c>
      <c r="P4" s="88" t="s">
        <v>156</v>
      </c>
      <c r="Q4" s="88" t="s">
        <v>167</v>
      </c>
      <c r="R4" s="87">
        <f t="shared" si="3"/>
        <v>235</v>
      </c>
      <c r="S4" s="90">
        <f t="shared" si="4"/>
        <v>510</v>
      </c>
      <c r="T4" s="91">
        <f t="shared" si="5"/>
        <v>5</v>
      </c>
      <c r="U4" s="85">
        <f t="shared" si="6"/>
        <v>7</v>
      </c>
    </row>
    <row r="5">
      <c r="A5" s="85">
        <v>3.0</v>
      </c>
      <c r="B5" s="4" t="s">
        <v>41</v>
      </c>
      <c r="C5" s="35" t="s">
        <v>109</v>
      </c>
      <c r="D5" s="86" t="s">
        <v>168</v>
      </c>
      <c r="E5" s="85">
        <v>103.7</v>
      </c>
      <c r="F5" s="86" t="s">
        <v>169</v>
      </c>
      <c r="G5" s="35" t="s">
        <v>170</v>
      </c>
      <c r="H5" s="85" t="s">
        <v>171</v>
      </c>
      <c r="I5" s="85" t="s">
        <v>161</v>
      </c>
      <c r="J5" s="87">
        <f t="shared" si="1"/>
        <v>160</v>
      </c>
      <c r="K5" s="35" t="s">
        <v>172</v>
      </c>
      <c r="L5" s="88" t="s">
        <v>173</v>
      </c>
      <c r="M5" s="89" t="s">
        <v>174</v>
      </c>
      <c r="N5" s="87">
        <f t="shared" si="2"/>
        <v>85</v>
      </c>
      <c r="O5" s="35" t="s">
        <v>175</v>
      </c>
      <c r="P5" s="88" t="s">
        <v>156</v>
      </c>
      <c r="Q5" s="88" t="s">
        <v>176</v>
      </c>
      <c r="R5" s="87">
        <f t="shared" si="3"/>
        <v>250</v>
      </c>
      <c r="S5" s="90">
        <f t="shared" si="4"/>
        <v>495</v>
      </c>
      <c r="T5" s="91">
        <f t="shared" si="5"/>
        <v>4.773384764</v>
      </c>
      <c r="U5" s="85">
        <f t="shared" si="6"/>
        <v>8</v>
      </c>
    </row>
    <row r="6" ht="16.5" customHeight="1">
      <c r="A6" s="85">
        <v>4.0</v>
      </c>
      <c r="B6" s="35" t="s">
        <v>41</v>
      </c>
      <c r="C6" s="35" t="s">
        <v>109</v>
      </c>
      <c r="D6" s="86" t="s">
        <v>177</v>
      </c>
      <c r="E6" s="35">
        <v>102.9</v>
      </c>
      <c r="F6" s="86" t="s">
        <v>178</v>
      </c>
      <c r="G6" s="35" t="s">
        <v>179</v>
      </c>
      <c r="H6" s="85" t="s">
        <v>180</v>
      </c>
      <c r="I6" s="85" t="s">
        <v>170</v>
      </c>
      <c r="J6" s="87">
        <f t="shared" si="1"/>
        <v>140</v>
      </c>
      <c r="K6" s="35" t="s">
        <v>172</v>
      </c>
      <c r="L6" s="88" t="s">
        <v>173</v>
      </c>
      <c r="M6" s="89" t="s">
        <v>174</v>
      </c>
      <c r="N6" s="87">
        <f t="shared" si="2"/>
        <v>85</v>
      </c>
      <c r="O6" s="35" t="s">
        <v>181</v>
      </c>
      <c r="P6" s="88" t="s">
        <v>182</v>
      </c>
      <c r="Q6" s="88" t="s">
        <v>183</v>
      </c>
      <c r="R6" s="87">
        <f t="shared" si="3"/>
        <v>220</v>
      </c>
      <c r="S6" s="90">
        <f t="shared" si="4"/>
        <v>445</v>
      </c>
      <c r="T6" s="91">
        <f t="shared" si="5"/>
        <v>4.324586978</v>
      </c>
      <c r="U6" s="85">
        <f t="shared" si="6"/>
        <v>7</v>
      </c>
    </row>
    <row r="7">
      <c r="A7" s="85">
        <v>5.0</v>
      </c>
      <c r="B7" s="35" t="s">
        <v>41</v>
      </c>
      <c r="C7" s="35" t="s">
        <v>109</v>
      </c>
      <c r="D7" s="86" t="s">
        <v>184</v>
      </c>
      <c r="E7" s="85">
        <v>101.2</v>
      </c>
      <c r="F7" s="86" t="s">
        <v>185</v>
      </c>
      <c r="G7" s="35" t="s">
        <v>179</v>
      </c>
      <c r="H7" s="85" t="s">
        <v>186</v>
      </c>
      <c r="I7" s="85" t="s">
        <v>187</v>
      </c>
      <c r="J7" s="87">
        <f t="shared" si="1"/>
        <v>135</v>
      </c>
      <c r="K7" s="35" t="s">
        <v>188</v>
      </c>
      <c r="L7" s="88" t="s">
        <v>172</v>
      </c>
      <c r="M7" s="89" t="s">
        <v>189</v>
      </c>
      <c r="N7" s="87">
        <f t="shared" si="2"/>
        <v>75</v>
      </c>
      <c r="O7" s="35" t="s">
        <v>182</v>
      </c>
      <c r="P7" s="88" t="s">
        <v>190</v>
      </c>
      <c r="Q7" s="88" t="s">
        <v>191</v>
      </c>
      <c r="R7" s="87">
        <f t="shared" si="3"/>
        <v>215</v>
      </c>
      <c r="S7" s="90">
        <f t="shared" si="4"/>
        <v>425</v>
      </c>
      <c r="T7" s="91">
        <f t="shared" si="5"/>
        <v>4.199604743</v>
      </c>
      <c r="U7" s="85">
        <f t="shared" si="6"/>
        <v>6</v>
      </c>
    </row>
    <row r="8">
      <c r="A8" s="85">
        <v>6.0</v>
      </c>
      <c r="B8" s="35" t="s">
        <v>41</v>
      </c>
      <c r="C8" s="35" t="s">
        <v>109</v>
      </c>
      <c r="D8" s="86" t="s">
        <v>168</v>
      </c>
      <c r="E8" s="35">
        <v>102.0</v>
      </c>
      <c r="F8" s="86" t="s">
        <v>192</v>
      </c>
      <c r="G8" s="35" t="s">
        <v>193</v>
      </c>
      <c r="H8" s="85" t="s">
        <v>179</v>
      </c>
      <c r="I8" s="85" t="s">
        <v>194</v>
      </c>
      <c r="J8" s="87">
        <f t="shared" si="1"/>
        <v>125</v>
      </c>
      <c r="K8" s="35" t="s">
        <v>195</v>
      </c>
      <c r="L8" s="88" t="s">
        <v>173</v>
      </c>
      <c r="M8" s="89" t="s">
        <v>174</v>
      </c>
      <c r="N8" s="87">
        <f t="shared" si="2"/>
        <v>85</v>
      </c>
      <c r="O8" s="35" t="s">
        <v>150</v>
      </c>
      <c r="P8" s="88" t="s">
        <v>151</v>
      </c>
      <c r="Q8" s="88" t="s">
        <v>166</v>
      </c>
      <c r="R8" s="87">
        <f t="shared" si="3"/>
        <v>210</v>
      </c>
      <c r="S8" s="90">
        <f t="shared" si="4"/>
        <v>420</v>
      </c>
      <c r="T8" s="91">
        <f t="shared" si="5"/>
        <v>4.117647059</v>
      </c>
      <c r="U8" s="85">
        <f t="shared" si="6"/>
        <v>7</v>
      </c>
    </row>
    <row r="9">
      <c r="A9" s="85">
        <v>7.0</v>
      </c>
      <c r="B9" s="35" t="s">
        <v>41</v>
      </c>
      <c r="C9" s="35" t="s">
        <v>109</v>
      </c>
      <c r="D9" s="86" t="s">
        <v>168</v>
      </c>
      <c r="E9" s="35">
        <v>103.0</v>
      </c>
      <c r="F9" s="86" t="s">
        <v>196</v>
      </c>
      <c r="G9" s="35" t="s">
        <v>154</v>
      </c>
      <c r="H9" s="85" t="s">
        <v>197</v>
      </c>
      <c r="I9" s="85" t="s">
        <v>198</v>
      </c>
      <c r="J9" s="87">
        <f t="shared" si="1"/>
        <v>120</v>
      </c>
      <c r="K9" s="35" t="s">
        <v>188</v>
      </c>
      <c r="L9" s="88" t="s">
        <v>172</v>
      </c>
      <c r="M9" s="89" t="s">
        <v>189</v>
      </c>
      <c r="N9" s="87">
        <f t="shared" si="2"/>
        <v>75</v>
      </c>
      <c r="O9" s="35" t="s">
        <v>181</v>
      </c>
      <c r="P9" s="88" t="s">
        <v>182</v>
      </c>
      <c r="Q9" s="88" t="s">
        <v>166</v>
      </c>
      <c r="R9" s="87">
        <f t="shared" si="3"/>
        <v>210</v>
      </c>
      <c r="S9" s="90">
        <f t="shared" si="4"/>
        <v>405</v>
      </c>
      <c r="T9" s="91">
        <f t="shared" si="5"/>
        <v>3.932038835</v>
      </c>
      <c r="U9" s="85">
        <f t="shared" si="6"/>
        <v>7</v>
      </c>
    </row>
    <row r="10">
      <c r="A10" s="85">
        <v>8.0</v>
      </c>
      <c r="B10" s="35" t="s">
        <v>41</v>
      </c>
      <c r="C10" s="35" t="s">
        <v>109</v>
      </c>
      <c r="D10" s="86" t="s">
        <v>199</v>
      </c>
      <c r="E10" s="35">
        <v>101.0</v>
      </c>
      <c r="F10" s="86" t="s">
        <v>200</v>
      </c>
      <c r="G10" s="35" t="s">
        <v>186</v>
      </c>
      <c r="H10" s="85" t="s">
        <v>171</v>
      </c>
      <c r="I10" s="85" t="s">
        <v>201</v>
      </c>
      <c r="J10" s="87">
        <f t="shared" si="1"/>
        <v>150</v>
      </c>
      <c r="K10" s="35" t="s">
        <v>188</v>
      </c>
      <c r="L10" s="88" t="s">
        <v>172</v>
      </c>
      <c r="M10" s="89" t="s">
        <v>189</v>
      </c>
      <c r="N10" s="87">
        <f t="shared" si="2"/>
        <v>75</v>
      </c>
      <c r="O10" s="35" t="s">
        <v>202</v>
      </c>
      <c r="P10" s="88" t="s">
        <v>203</v>
      </c>
      <c r="Q10" s="88" t="s">
        <v>162</v>
      </c>
      <c r="R10" s="87">
        <f t="shared" si="3"/>
        <v>170</v>
      </c>
      <c r="S10" s="90">
        <f t="shared" si="4"/>
        <v>395</v>
      </c>
      <c r="T10" s="91">
        <f t="shared" si="5"/>
        <v>3.910891089</v>
      </c>
      <c r="U10" s="85">
        <f t="shared" si="6"/>
        <v>6</v>
      </c>
    </row>
    <row r="11">
      <c r="A11" s="85">
        <v>9.0</v>
      </c>
      <c r="B11" s="4" t="s">
        <v>41</v>
      </c>
      <c r="C11" s="35" t="s">
        <v>109</v>
      </c>
      <c r="D11" s="86" t="s">
        <v>204</v>
      </c>
      <c r="E11" s="35">
        <v>102.1</v>
      </c>
      <c r="F11" s="86" t="s">
        <v>205</v>
      </c>
      <c r="G11" s="35" t="s">
        <v>193</v>
      </c>
      <c r="H11" s="85" t="s">
        <v>186</v>
      </c>
      <c r="I11" s="85" t="s">
        <v>187</v>
      </c>
      <c r="J11" s="87">
        <f t="shared" si="1"/>
        <v>135</v>
      </c>
      <c r="K11" s="35" t="s">
        <v>172</v>
      </c>
      <c r="L11" s="88" t="s">
        <v>206</v>
      </c>
      <c r="M11" s="89" t="s">
        <v>207</v>
      </c>
      <c r="N11" s="87">
        <f t="shared" si="2"/>
        <v>75</v>
      </c>
      <c r="O11" s="35" t="s">
        <v>202</v>
      </c>
      <c r="P11" s="88" t="s">
        <v>151</v>
      </c>
      <c r="Q11" s="88" t="s">
        <v>208</v>
      </c>
      <c r="R11" s="87">
        <f t="shared" si="3"/>
        <v>185</v>
      </c>
      <c r="S11" s="90">
        <f t="shared" si="4"/>
        <v>395</v>
      </c>
      <c r="T11" s="91">
        <f t="shared" si="5"/>
        <v>3.868756121</v>
      </c>
      <c r="U11" s="85">
        <f t="shared" si="6"/>
        <v>5</v>
      </c>
    </row>
    <row r="12">
      <c r="A12" s="85">
        <v>10.0</v>
      </c>
      <c r="B12" s="35" t="s">
        <v>41</v>
      </c>
      <c r="C12" s="35" t="s">
        <v>109</v>
      </c>
      <c r="D12" s="86" t="s">
        <v>168</v>
      </c>
      <c r="E12" s="35">
        <v>104.8</v>
      </c>
      <c r="F12" s="86" t="s">
        <v>209</v>
      </c>
      <c r="G12" s="35" t="s">
        <v>179</v>
      </c>
      <c r="H12" s="85" t="s">
        <v>194</v>
      </c>
      <c r="I12" s="85" t="s">
        <v>194</v>
      </c>
      <c r="J12" s="87">
        <f t="shared" si="1"/>
        <v>125</v>
      </c>
      <c r="K12" s="35" t="s">
        <v>195</v>
      </c>
      <c r="L12" s="88" t="s">
        <v>210</v>
      </c>
      <c r="M12" s="89" t="s">
        <v>174</v>
      </c>
      <c r="N12" s="87">
        <f t="shared" si="2"/>
        <v>80</v>
      </c>
      <c r="O12" s="35" t="s">
        <v>161</v>
      </c>
      <c r="P12" s="88" t="s">
        <v>151</v>
      </c>
      <c r="Q12" s="88" t="s">
        <v>211</v>
      </c>
      <c r="R12" s="87">
        <f t="shared" si="3"/>
        <v>185</v>
      </c>
      <c r="S12" s="90">
        <f t="shared" si="4"/>
        <v>390</v>
      </c>
      <c r="T12" s="91">
        <f t="shared" si="5"/>
        <v>3.721374046</v>
      </c>
      <c r="U12" s="85">
        <f t="shared" si="6"/>
        <v>5</v>
      </c>
    </row>
    <row r="13">
      <c r="A13" s="85">
        <v>11.0</v>
      </c>
      <c r="B13" s="35" t="s">
        <v>41</v>
      </c>
      <c r="C13" s="35" t="s">
        <v>109</v>
      </c>
      <c r="D13" s="86" t="s">
        <v>212</v>
      </c>
      <c r="E13" s="35">
        <v>103.5</v>
      </c>
      <c r="F13" s="86" t="s">
        <v>213</v>
      </c>
      <c r="G13" s="35" t="s">
        <v>193</v>
      </c>
      <c r="H13" s="85" t="s">
        <v>179</v>
      </c>
      <c r="I13" s="85" t="s">
        <v>186</v>
      </c>
      <c r="J13" s="87">
        <f t="shared" si="1"/>
        <v>135</v>
      </c>
      <c r="K13" s="35" t="s">
        <v>195</v>
      </c>
      <c r="L13" s="88" t="s">
        <v>172</v>
      </c>
      <c r="M13" s="89" t="s">
        <v>206</v>
      </c>
      <c r="N13" s="87">
        <f t="shared" si="2"/>
        <v>75</v>
      </c>
      <c r="O13" s="35" t="s">
        <v>202</v>
      </c>
      <c r="P13" s="88" t="s">
        <v>150</v>
      </c>
      <c r="Q13" s="88" t="s">
        <v>152</v>
      </c>
      <c r="R13" s="87">
        <f t="shared" si="3"/>
        <v>175</v>
      </c>
      <c r="S13" s="90">
        <f t="shared" si="4"/>
        <v>385</v>
      </c>
      <c r="T13" s="91">
        <f t="shared" si="5"/>
        <v>3.719806763</v>
      </c>
      <c r="U13" s="85">
        <f t="shared" si="6"/>
        <v>7</v>
      </c>
    </row>
    <row r="14">
      <c r="A14" s="85">
        <v>12.0</v>
      </c>
      <c r="B14" s="35" t="s">
        <v>41</v>
      </c>
      <c r="C14" s="35" t="s">
        <v>109</v>
      </c>
      <c r="D14" s="86" t="s">
        <v>214</v>
      </c>
      <c r="E14" s="35">
        <v>102.6</v>
      </c>
      <c r="F14" s="86" t="s">
        <v>215</v>
      </c>
      <c r="G14" s="35" t="s">
        <v>216</v>
      </c>
      <c r="H14" s="85" t="s">
        <v>193</v>
      </c>
      <c r="I14" s="85" t="s">
        <v>179</v>
      </c>
      <c r="J14" s="87">
        <f t="shared" si="1"/>
        <v>125</v>
      </c>
      <c r="K14" s="35" t="s">
        <v>217</v>
      </c>
      <c r="L14" s="88" t="s">
        <v>195</v>
      </c>
      <c r="M14" s="89" t="s">
        <v>189</v>
      </c>
      <c r="N14" s="87">
        <f t="shared" si="2"/>
        <v>70</v>
      </c>
      <c r="O14" s="35" t="s">
        <v>186</v>
      </c>
      <c r="P14" s="88" t="s">
        <v>150</v>
      </c>
      <c r="Q14" s="88" t="s">
        <v>151</v>
      </c>
      <c r="R14" s="87">
        <f t="shared" si="3"/>
        <v>185</v>
      </c>
      <c r="S14" s="90">
        <f t="shared" si="4"/>
        <v>380</v>
      </c>
      <c r="T14" s="91">
        <f t="shared" si="5"/>
        <v>3.703703704</v>
      </c>
      <c r="U14" s="85">
        <f t="shared" si="6"/>
        <v>8</v>
      </c>
    </row>
    <row r="15">
      <c r="A15" s="85">
        <v>13.0</v>
      </c>
      <c r="B15" s="35" t="s">
        <v>41</v>
      </c>
      <c r="C15" s="35" t="s">
        <v>109</v>
      </c>
      <c r="D15" s="86" t="s">
        <v>218</v>
      </c>
      <c r="E15" s="85">
        <v>103.7</v>
      </c>
      <c r="F15" s="86" t="s">
        <v>219</v>
      </c>
      <c r="G15" s="35" t="s">
        <v>173</v>
      </c>
      <c r="H15" s="85" t="s">
        <v>153</v>
      </c>
      <c r="I15" s="85" t="s">
        <v>155</v>
      </c>
      <c r="J15" s="87">
        <f t="shared" si="1"/>
        <v>105</v>
      </c>
      <c r="K15" s="35" t="s">
        <v>220</v>
      </c>
      <c r="L15" s="88" t="s">
        <v>172</v>
      </c>
      <c r="M15" s="89" t="s">
        <v>210</v>
      </c>
      <c r="N15" s="87">
        <f t="shared" si="2"/>
        <v>80</v>
      </c>
      <c r="O15" s="35" t="s">
        <v>171</v>
      </c>
      <c r="P15" s="88" t="s">
        <v>150</v>
      </c>
      <c r="Q15" s="88" t="s">
        <v>181</v>
      </c>
      <c r="R15" s="87">
        <f t="shared" si="3"/>
        <v>190</v>
      </c>
      <c r="S15" s="90">
        <f t="shared" si="4"/>
        <v>375</v>
      </c>
      <c r="T15" s="91">
        <f t="shared" si="5"/>
        <v>3.616200579</v>
      </c>
      <c r="U15" s="85">
        <f t="shared" si="6"/>
        <v>8</v>
      </c>
    </row>
    <row r="16">
      <c r="A16" s="85">
        <v>14.0</v>
      </c>
      <c r="B16" s="35" t="s">
        <v>41</v>
      </c>
      <c r="C16" s="35" t="s">
        <v>109</v>
      </c>
      <c r="D16" s="86" t="s">
        <v>221</v>
      </c>
      <c r="E16" s="35">
        <v>103.7</v>
      </c>
      <c r="F16" s="86" t="s">
        <v>222</v>
      </c>
      <c r="G16" s="35" t="s">
        <v>153</v>
      </c>
      <c r="H16" s="85" t="s">
        <v>193</v>
      </c>
      <c r="I16" s="85" t="s">
        <v>197</v>
      </c>
      <c r="J16" s="87">
        <f t="shared" si="1"/>
        <v>120</v>
      </c>
      <c r="K16" s="35" t="s">
        <v>223</v>
      </c>
      <c r="L16" s="88" t="s">
        <v>220</v>
      </c>
      <c r="M16" s="89" t="s">
        <v>188</v>
      </c>
      <c r="N16" s="87">
        <f t="shared" si="2"/>
        <v>65</v>
      </c>
      <c r="O16" s="35" t="s">
        <v>171</v>
      </c>
      <c r="P16" s="88" t="s">
        <v>224</v>
      </c>
      <c r="Q16" s="88" t="s">
        <v>225</v>
      </c>
      <c r="R16" s="87">
        <f t="shared" si="3"/>
        <v>165</v>
      </c>
      <c r="S16" s="90">
        <f t="shared" si="4"/>
        <v>350</v>
      </c>
      <c r="T16" s="91">
        <f t="shared" si="5"/>
        <v>3.37512054</v>
      </c>
      <c r="U16" s="85">
        <f t="shared" si="6"/>
        <v>8</v>
      </c>
    </row>
    <row r="17">
      <c r="A17" s="85">
        <v>15.0</v>
      </c>
      <c r="B17" s="35" t="s">
        <v>41</v>
      </c>
      <c r="C17" s="35" t="s">
        <v>109</v>
      </c>
      <c r="D17" s="86" t="s">
        <v>204</v>
      </c>
      <c r="E17" s="35">
        <v>98.9</v>
      </c>
      <c r="F17" s="86" t="s">
        <v>226</v>
      </c>
      <c r="G17" s="35" t="s">
        <v>227</v>
      </c>
      <c r="H17" s="85" t="s">
        <v>227</v>
      </c>
      <c r="I17" s="85" t="s">
        <v>193</v>
      </c>
      <c r="J17" s="87">
        <f t="shared" si="1"/>
        <v>115</v>
      </c>
      <c r="K17" s="35" t="s">
        <v>217</v>
      </c>
      <c r="L17" s="88" t="s">
        <v>220</v>
      </c>
      <c r="M17" s="89" t="s">
        <v>228</v>
      </c>
      <c r="N17" s="87">
        <f t="shared" si="2"/>
        <v>60</v>
      </c>
      <c r="O17" s="35" t="s">
        <v>202</v>
      </c>
      <c r="P17" s="88" t="s">
        <v>203</v>
      </c>
      <c r="Q17" s="88" t="s">
        <v>162</v>
      </c>
      <c r="R17" s="87">
        <f t="shared" si="3"/>
        <v>170</v>
      </c>
      <c r="S17" s="90">
        <f t="shared" si="4"/>
        <v>345</v>
      </c>
      <c r="T17" s="91">
        <f t="shared" si="5"/>
        <v>3.488372093</v>
      </c>
      <c r="U17" s="85">
        <f t="shared" si="6"/>
        <v>5</v>
      </c>
    </row>
    <row r="18">
      <c r="A18" s="85">
        <v>16.0</v>
      </c>
      <c r="B18" s="4" t="s">
        <v>41</v>
      </c>
      <c r="C18" s="4" t="s">
        <v>109</v>
      </c>
      <c r="D18" s="86" t="s">
        <v>218</v>
      </c>
      <c r="E18" s="4">
        <v>104.1</v>
      </c>
      <c r="F18" s="86" t="s">
        <v>229</v>
      </c>
      <c r="G18" s="35" t="s">
        <v>173</v>
      </c>
      <c r="H18" s="85" t="s">
        <v>164</v>
      </c>
      <c r="I18" s="85" t="s">
        <v>165</v>
      </c>
      <c r="J18" s="87">
        <f>IFERROR(__xludf.DUMMYFUNCTION("if(isblank(B17),,Max(if(right(G18,1)=""g"",split(G18,""g""),),if(right(H18,1)=""g"",split(H18,""g""),),if(right(I18,1)=""g"",split(I18,""g""),)))"),100.0)</f>
        <v>100</v>
      </c>
      <c r="K18" s="35" t="s">
        <v>217</v>
      </c>
      <c r="L18" s="88" t="s">
        <v>228</v>
      </c>
      <c r="M18" s="89" t="s">
        <v>228</v>
      </c>
      <c r="N18" s="87">
        <f>IFERROR(__xludf.DUMMYFUNCTION("if(isblank($B17),,Max(if(right(K18,1)=""g"",split(K18,""g""),),if(right(L18,1)=""g"",split(L18,""g""),),if(right(M18,1)=""g"",split(M18,""g""),)))"),55.0)</f>
        <v>55</v>
      </c>
      <c r="O18" s="35" t="s">
        <v>186</v>
      </c>
      <c r="P18" s="88" t="s">
        <v>202</v>
      </c>
      <c r="Q18" s="88" t="s">
        <v>150</v>
      </c>
      <c r="R18" s="87">
        <f>IFERROR(__xludf.DUMMYFUNCTION("if(isblank($B17),,Max(if(right(O18,1)=""g"",split(O18,""g""),),if(right(P18,1)=""g"",split(P18,""g""),),if(right(Q18,1)=""g"",split(Q18,""g""),)))"),175.0)</f>
        <v>175</v>
      </c>
      <c r="S18" s="90">
        <f>if(isblank(F17),,if(or(and(right(G18,1)="x",right(H18,1)="x",right(I18,1)="x"),and(right(K18,1)="x",right(L18,1)="x",right(M18,1)="x"),and(right(O18,1)="x",right(P18,1)="x",right(Q18,1)="x")),0,J18+N18+R18))</f>
        <v>330</v>
      </c>
      <c r="T18" s="91">
        <f>if(isblank(E17),,S18/E17)</f>
        <v>3.336703741</v>
      </c>
      <c r="U18" s="85">
        <f t="shared" si="6"/>
        <v>6</v>
      </c>
    </row>
    <row r="19">
      <c r="A19" s="85">
        <v>17.0</v>
      </c>
      <c r="B19" s="35" t="s">
        <v>41</v>
      </c>
      <c r="C19" s="35" t="s">
        <v>109</v>
      </c>
      <c r="D19" s="86" t="s">
        <v>168</v>
      </c>
      <c r="E19" s="35">
        <v>102.3</v>
      </c>
      <c r="F19" s="86" t="s">
        <v>230</v>
      </c>
      <c r="G19" s="35" t="s">
        <v>216</v>
      </c>
      <c r="H19" s="85" t="s">
        <v>165</v>
      </c>
      <c r="I19" s="85" t="s">
        <v>154</v>
      </c>
      <c r="J19" s="87">
        <f t="shared" ref="J19:J77" si="7">IFERROR(__xludf.DUMMYFUNCTION("if(isblank(B19),,Max(if(right(G19,1)=""g"",split(G19,""g""),),if(right(H19,1)=""g"",split(H19,""g""),),if(right(I19,1)=""g"",split(I19,""g""),)))"),110.0)</f>
        <v>110</v>
      </c>
      <c r="K19" s="35" t="s">
        <v>220</v>
      </c>
      <c r="L19" s="88" t="s">
        <v>188</v>
      </c>
      <c r="M19" s="89" t="s">
        <v>231</v>
      </c>
      <c r="N19" s="87">
        <f t="shared" ref="N19:N77" si="8">IFERROR(__xludf.DUMMYFUNCTION("if(isblank($B19),,Max(if(right(K19,1)=""g"",split(K19,""g""),),if(right(L19,1)=""g"",split(L19,""g""),),if(right(M19,1)=""g"",split(M19,""g""),)))"),65.0)</f>
        <v>65</v>
      </c>
      <c r="O19" s="35" t="s">
        <v>186</v>
      </c>
      <c r="P19" s="88" t="s">
        <v>202</v>
      </c>
      <c r="Q19" s="88" t="s">
        <v>232</v>
      </c>
      <c r="R19" s="87">
        <f t="shared" ref="R19:R77" si="9">IFERROR(__xludf.DUMMYFUNCTION("if(isblank($B19),,Max(if(right(O19,1)=""g"",split(O19,""g""),),if(right(P19,1)=""g"",split(P19,""g""),),if(right(Q19,1)=""g"",split(Q19,""g""),)))"),155.0)</f>
        <v>155</v>
      </c>
      <c r="S19" s="90">
        <f t="shared" ref="S19:S77" si="10">if(isblank(F19),,if(or(and(right(G19,1)="x",right(H19,1)="x",right(I19,1)="x"),and(right(K19,1)="x",right(L19,1)="x",right(M19,1)="x"),and(right(O19,1)="x",right(P19,1)="x",right(Q19,1)="x")),0,J19+N19+R19))</f>
        <v>330</v>
      </c>
      <c r="T19" s="91">
        <f t="shared" ref="T19:T77" si="11">if(isblank(E19),,S19/E19)</f>
        <v>3.225806452</v>
      </c>
      <c r="U19" s="85">
        <f t="shared" si="6"/>
        <v>6</v>
      </c>
    </row>
    <row r="20">
      <c r="A20" s="85">
        <v>18.0</v>
      </c>
      <c r="B20" s="35" t="s">
        <v>33</v>
      </c>
      <c r="C20" s="35" t="s">
        <v>109</v>
      </c>
      <c r="D20" s="86" t="s">
        <v>168</v>
      </c>
      <c r="E20" s="35">
        <v>90.8</v>
      </c>
      <c r="F20" s="86" t="s">
        <v>233</v>
      </c>
      <c r="G20" s="35" t="s">
        <v>234</v>
      </c>
      <c r="H20" s="85" t="s">
        <v>170</v>
      </c>
      <c r="I20" s="85" t="s">
        <v>202</v>
      </c>
      <c r="J20" s="87">
        <f t="shared" si="7"/>
        <v>155</v>
      </c>
      <c r="K20" s="35" t="s">
        <v>172</v>
      </c>
      <c r="L20" s="88" t="s">
        <v>210</v>
      </c>
      <c r="M20" s="89" t="s">
        <v>206</v>
      </c>
      <c r="N20" s="87">
        <f t="shared" si="8"/>
        <v>80</v>
      </c>
      <c r="O20" s="35" t="s">
        <v>224</v>
      </c>
      <c r="P20" s="88" t="s">
        <v>235</v>
      </c>
      <c r="Q20" s="88" t="s">
        <v>236</v>
      </c>
      <c r="R20" s="87">
        <f t="shared" si="9"/>
        <v>180</v>
      </c>
      <c r="S20" s="90">
        <f t="shared" si="10"/>
        <v>415</v>
      </c>
      <c r="T20" s="91">
        <f t="shared" si="11"/>
        <v>4.570484581</v>
      </c>
      <c r="U20" s="85">
        <f t="shared" si="6"/>
        <v>7</v>
      </c>
    </row>
    <row r="21">
      <c r="A21" s="85">
        <v>19.0</v>
      </c>
      <c r="B21" s="35" t="s">
        <v>33</v>
      </c>
      <c r="C21" s="35" t="s">
        <v>109</v>
      </c>
      <c r="D21" s="86" t="s">
        <v>237</v>
      </c>
      <c r="E21" s="35">
        <v>94.4</v>
      </c>
      <c r="F21" s="86" t="s">
        <v>238</v>
      </c>
      <c r="G21" s="35" t="s">
        <v>193</v>
      </c>
      <c r="H21" s="85" t="s">
        <v>186</v>
      </c>
      <c r="I21" s="85" t="s">
        <v>239</v>
      </c>
      <c r="J21" s="87">
        <f t="shared" si="7"/>
        <v>135</v>
      </c>
      <c r="K21" s="35" t="s">
        <v>220</v>
      </c>
      <c r="L21" s="88" t="s">
        <v>195</v>
      </c>
      <c r="M21" s="89" t="s">
        <v>210</v>
      </c>
      <c r="N21" s="87">
        <f t="shared" si="8"/>
        <v>80</v>
      </c>
      <c r="O21" s="35" t="s">
        <v>170</v>
      </c>
      <c r="P21" s="88" t="s">
        <v>161</v>
      </c>
      <c r="Q21" s="88" t="s">
        <v>235</v>
      </c>
      <c r="R21" s="87">
        <f t="shared" si="9"/>
        <v>180</v>
      </c>
      <c r="S21" s="90">
        <f t="shared" si="10"/>
        <v>395</v>
      </c>
      <c r="T21" s="91">
        <f t="shared" si="11"/>
        <v>4.184322034</v>
      </c>
      <c r="U21" s="85">
        <f t="shared" si="6"/>
        <v>8</v>
      </c>
    </row>
    <row r="22">
      <c r="A22" s="85">
        <v>20.0</v>
      </c>
      <c r="B22" s="35" t="s">
        <v>33</v>
      </c>
      <c r="C22" s="35" t="s">
        <v>109</v>
      </c>
      <c r="D22" s="86" t="s">
        <v>240</v>
      </c>
      <c r="E22" s="35">
        <v>83.6</v>
      </c>
      <c r="F22" s="86" t="s">
        <v>241</v>
      </c>
      <c r="G22" s="35" t="s">
        <v>164</v>
      </c>
      <c r="H22" s="85" t="s">
        <v>154</v>
      </c>
      <c r="I22" s="85" t="s">
        <v>227</v>
      </c>
      <c r="J22" s="87">
        <f t="shared" si="7"/>
        <v>110</v>
      </c>
      <c r="K22" s="35" t="s">
        <v>188</v>
      </c>
      <c r="L22" s="88" t="s">
        <v>195</v>
      </c>
      <c r="M22" s="89" t="s">
        <v>172</v>
      </c>
      <c r="N22" s="87">
        <f t="shared" si="8"/>
        <v>75</v>
      </c>
      <c r="O22" s="35" t="s">
        <v>171</v>
      </c>
      <c r="P22" s="88" t="s">
        <v>224</v>
      </c>
      <c r="Q22" s="88" t="s">
        <v>181</v>
      </c>
      <c r="R22" s="87">
        <f t="shared" si="9"/>
        <v>190</v>
      </c>
      <c r="S22" s="90">
        <f t="shared" si="10"/>
        <v>375</v>
      </c>
      <c r="T22" s="91">
        <f t="shared" si="11"/>
        <v>4.485645933</v>
      </c>
      <c r="U22" s="85">
        <f t="shared" si="6"/>
        <v>8</v>
      </c>
    </row>
    <row r="23">
      <c r="A23" s="85">
        <v>21.0</v>
      </c>
      <c r="B23" s="35" t="s">
        <v>33</v>
      </c>
      <c r="C23" s="35" t="s">
        <v>109</v>
      </c>
      <c r="D23" s="86" t="s">
        <v>159</v>
      </c>
      <c r="E23" s="35">
        <v>95.0</v>
      </c>
      <c r="F23" s="86" t="s">
        <v>242</v>
      </c>
      <c r="G23" s="35" t="s">
        <v>154</v>
      </c>
      <c r="H23" s="85" t="s">
        <v>193</v>
      </c>
      <c r="I23" s="85" t="s">
        <v>243</v>
      </c>
      <c r="J23" s="87">
        <f t="shared" si="7"/>
        <v>115</v>
      </c>
      <c r="K23" s="35" t="s">
        <v>217</v>
      </c>
      <c r="L23" s="88">
        <v>65.0</v>
      </c>
      <c r="M23" s="89" t="s">
        <v>244</v>
      </c>
      <c r="N23" s="87">
        <f t="shared" si="8"/>
        <v>55</v>
      </c>
      <c r="O23" s="35" t="s">
        <v>245</v>
      </c>
      <c r="P23" s="88" t="s">
        <v>161</v>
      </c>
      <c r="Q23" s="88" t="s">
        <v>181</v>
      </c>
      <c r="R23" s="87">
        <f t="shared" si="9"/>
        <v>190</v>
      </c>
      <c r="S23" s="90">
        <f t="shared" si="10"/>
        <v>360</v>
      </c>
      <c r="T23" s="91">
        <f t="shared" si="11"/>
        <v>3.789473684</v>
      </c>
      <c r="U23" s="85">
        <f t="shared" si="6"/>
        <v>6</v>
      </c>
    </row>
    <row r="24">
      <c r="A24" s="85">
        <v>22.0</v>
      </c>
      <c r="B24" s="42" t="s">
        <v>33</v>
      </c>
      <c r="C24" s="42" t="s">
        <v>109</v>
      </c>
      <c r="D24" s="92" t="s">
        <v>168</v>
      </c>
      <c r="E24" s="42">
        <v>95.3</v>
      </c>
      <c r="F24" s="92" t="s">
        <v>246</v>
      </c>
      <c r="G24" s="35" t="s">
        <v>216</v>
      </c>
      <c r="H24" s="85" t="s">
        <v>153</v>
      </c>
      <c r="I24" s="85" t="s">
        <v>154</v>
      </c>
      <c r="J24" s="87">
        <f t="shared" si="7"/>
        <v>110</v>
      </c>
      <c r="K24" s="35" t="s">
        <v>220</v>
      </c>
      <c r="L24" s="88" t="s">
        <v>188</v>
      </c>
      <c r="M24" s="89" t="s">
        <v>231</v>
      </c>
      <c r="N24" s="87">
        <f t="shared" si="8"/>
        <v>65</v>
      </c>
      <c r="O24" s="35" t="s">
        <v>202</v>
      </c>
      <c r="P24" s="88" t="s">
        <v>224</v>
      </c>
      <c r="Q24" s="88" t="s">
        <v>203</v>
      </c>
      <c r="R24" s="87">
        <f t="shared" si="9"/>
        <v>170</v>
      </c>
      <c r="S24" s="90">
        <f t="shared" si="10"/>
        <v>345</v>
      </c>
      <c r="T24" s="91">
        <f t="shared" si="11"/>
        <v>3.620146905</v>
      </c>
      <c r="U24" s="85">
        <f t="shared" si="6"/>
        <v>8</v>
      </c>
    </row>
    <row r="25">
      <c r="A25" s="85">
        <v>23.0</v>
      </c>
      <c r="B25" s="42" t="s">
        <v>33</v>
      </c>
      <c r="C25" s="42" t="s">
        <v>109</v>
      </c>
      <c r="D25" s="92" t="s">
        <v>247</v>
      </c>
      <c r="E25" s="42">
        <v>92.0</v>
      </c>
      <c r="F25" s="92" t="s">
        <v>248</v>
      </c>
      <c r="G25" s="35" t="s">
        <v>164</v>
      </c>
      <c r="H25" s="85" t="s">
        <v>154</v>
      </c>
      <c r="I25" s="85" t="s">
        <v>243</v>
      </c>
      <c r="J25" s="87">
        <f t="shared" si="7"/>
        <v>110</v>
      </c>
      <c r="K25" s="35" t="s">
        <v>223</v>
      </c>
      <c r="L25" s="88" t="s">
        <v>220</v>
      </c>
      <c r="M25" s="89" t="s">
        <v>231</v>
      </c>
      <c r="N25" s="87">
        <f t="shared" si="8"/>
        <v>60</v>
      </c>
      <c r="O25" s="35" t="s">
        <v>179</v>
      </c>
      <c r="P25" s="88" t="s">
        <v>245</v>
      </c>
      <c r="Q25" s="88" t="s">
        <v>203</v>
      </c>
      <c r="R25" s="87">
        <f t="shared" si="9"/>
        <v>170</v>
      </c>
      <c r="S25" s="90">
        <f t="shared" si="10"/>
        <v>340</v>
      </c>
      <c r="T25" s="91">
        <f t="shared" si="11"/>
        <v>3.695652174</v>
      </c>
      <c r="U25" s="85">
        <f t="shared" si="6"/>
        <v>7</v>
      </c>
    </row>
    <row r="26">
      <c r="A26" s="85">
        <v>24.0</v>
      </c>
      <c r="B26" s="42" t="s">
        <v>33</v>
      </c>
      <c r="C26" s="42" t="s">
        <v>109</v>
      </c>
      <c r="D26" s="92" t="s">
        <v>249</v>
      </c>
      <c r="E26" s="42">
        <v>93.5</v>
      </c>
      <c r="F26" s="92" t="s">
        <v>250</v>
      </c>
      <c r="G26" s="35" t="s">
        <v>216</v>
      </c>
      <c r="H26" s="85" t="s">
        <v>216</v>
      </c>
      <c r="I26" s="85" t="s">
        <v>164</v>
      </c>
      <c r="J26" s="87">
        <f t="shared" si="7"/>
        <v>100</v>
      </c>
      <c r="K26" s="35" t="s">
        <v>223</v>
      </c>
      <c r="L26" s="88" t="s">
        <v>217</v>
      </c>
      <c r="M26" s="89" t="s">
        <v>188</v>
      </c>
      <c r="N26" s="87">
        <f t="shared" si="8"/>
        <v>65</v>
      </c>
      <c r="O26" s="35" t="s">
        <v>245</v>
      </c>
      <c r="P26" s="88" t="s">
        <v>202</v>
      </c>
      <c r="Q26" s="88" t="s">
        <v>161</v>
      </c>
      <c r="R26" s="87">
        <f t="shared" si="9"/>
        <v>160</v>
      </c>
      <c r="S26" s="90">
        <f t="shared" si="10"/>
        <v>325</v>
      </c>
      <c r="T26" s="91">
        <f t="shared" si="11"/>
        <v>3.475935829</v>
      </c>
      <c r="U26" s="85">
        <f t="shared" si="6"/>
        <v>9</v>
      </c>
    </row>
    <row r="27">
      <c r="A27" s="85">
        <v>25.0</v>
      </c>
      <c r="B27" s="42" t="s">
        <v>33</v>
      </c>
      <c r="C27" s="42" t="s">
        <v>109</v>
      </c>
      <c r="D27" s="92" t="s">
        <v>251</v>
      </c>
      <c r="E27" s="42">
        <v>91.0</v>
      </c>
      <c r="F27" s="92" t="s">
        <v>252</v>
      </c>
      <c r="G27" s="35" t="s">
        <v>163</v>
      </c>
      <c r="H27" s="85" t="s">
        <v>216</v>
      </c>
      <c r="I27" s="85" t="s">
        <v>207</v>
      </c>
      <c r="J27" s="87">
        <f t="shared" si="7"/>
        <v>95</v>
      </c>
      <c r="K27" s="35" t="s">
        <v>220</v>
      </c>
      <c r="L27" s="88" t="s">
        <v>188</v>
      </c>
      <c r="M27" s="89" t="s">
        <v>244</v>
      </c>
      <c r="N27" s="87">
        <f t="shared" si="8"/>
        <v>65</v>
      </c>
      <c r="O27" s="35" t="s">
        <v>179</v>
      </c>
      <c r="P27" s="88" t="s">
        <v>186</v>
      </c>
      <c r="Q27" s="88" t="s">
        <v>245</v>
      </c>
      <c r="R27" s="87">
        <f t="shared" si="9"/>
        <v>145</v>
      </c>
      <c r="S27" s="90">
        <f t="shared" si="10"/>
        <v>305</v>
      </c>
      <c r="T27" s="91">
        <f t="shared" si="11"/>
        <v>3.351648352</v>
      </c>
      <c r="U27" s="85">
        <f t="shared" si="6"/>
        <v>7</v>
      </c>
    </row>
    <row r="28">
      <c r="A28" s="85">
        <v>26.0</v>
      </c>
      <c r="B28" s="42"/>
      <c r="C28" s="40"/>
      <c r="D28" s="54"/>
      <c r="E28" s="40"/>
      <c r="F28" s="54"/>
      <c r="G28" s="35"/>
      <c r="H28" s="85"/>
      <c r="I28" s="85"/>
      <c r="J28" s="87" t="str">
        <f t="shared" si="7"/>
        <v/>
      </c>
      <c r="K28" s="35"/>
      <c r="L28" s="88"/>
      <c r="M28" s="89"/>
      <c r="N28" s="87" t="str">
        <f t="shared" si="8"/>
        <v/>
      </c>
      <c r="O28" s="35"/>
      <c r="P28" s="88"/>
      <c r="Q28" s="88"/>
      <c r="R28" s="87" t="str">
        <f t="shared" si="9"/>
        <v/>
      </c>
      <c r="S28" s="90" t="str">
        <f t="shared" si="10"/>
        <v/>
      </c>
      <c r="T28" s="91" t="str">
        <f t="shared" si="11"/>
        <v/>
      </c>
      <c r="U28" s="85">
        <f t="shared" si="6"/>
        <v>0</v>
      </c>
    </row>
    <row r="29">
      <c r="A29" s="85">
        <v>27.0</v>
      </c>
      <c r="B29" s="42"/>
      <c r="C29" s="40"/>
      <c r="D29" s="54"/>
      <c r="E29" s="40"/>
      <c r="F29" s="54"/>
      <c r="G29" s="35"/>
      <c r="H29" s="85"/>
      <c r="I29" s="85"/>
      <c r="J29" s="87" t="str">
        <f t="shared" si="7"/>
        <v/>
      </c>
      <c r="K29" s="35"/>
      <c r="L29" s="88"/>
      <c r="M29" s="89"/>
      <c r="N29" s="87" t="str">
        <f t="shared" si="8"/>
        <v/>
      </c>
      <c r="O29" s="35"/>
      <c r="P29" s="88"/>
      <c r="Q29" s="88"/>
      <c r="R29" s="87" t="str">
        <f t="shared" si="9"/>
        <v/>
      </c>
      <c r="S29" s="90" t="str">
        <f t="shared" si="10"/>
        <v/>
      </c>
      <c r="T29" s="91" t="str">
        <f t="shared" si="11"/>
        <v/>
      </c>
      <c r="U29" s="85">
        <f t="shared" si="6"/>
        <v>0</v>
      </c>
    </row>
    <row r="30">
      <c r="A30" s="85">
        <v>28.0</v>
      </c>
      <c r="B30" s="42"/>
      <c r="C30" s="40"/>
      <c r="D30" s="54"/>
      <c r="E30" s="40"/>
      <c r="F30" s="54"/>
      <c r="G30" s="35"/>
      <c r="H30" s="85"/>
      <c r="I30" s="85"/>
      <c r="J30" s="87" t="str">
        <f t="shared" si="7"/>
        <v/>
      </c>
      <c r="K30" s="35"/>
      <c r="L30" s="88"/>
      <c r="M30" s="89"/>
      <c r="N30" s="87" t="str">
        <f t="shared" si="8"/>
        <v/>
      </c>
      <c r="O30" s="35"/>
      <c r="P30" s="88"/>
      <c r="Q30" s="88"/>
      <c r="R30" s="87" t="str">
        <f t="shared" si="9"/>
        <v/>
      </c>
      <c r="S30" s="90" t="str">
        <f t="shared" si="10"/>
        <v/>
      </c>
      <c r="T30" s="91" t="str">
        <f t="shared" si="11"/>
        <v/>
      </c>
      <c r="U30" s="85">
        <f t="shared" si="6"/>
        <v>0</v>
      </c>
    </row>
    <row r="31">
      <c r="A31" s="85">
        <v>29.0</v>
      </c>
      <c r="B31" s="42"/>
      <c r="C31" s="40"/>
      <c r="D31" s="54"/>
      <c r="E31" s="40"/>
      <c r="F31" s="54"/>
      <c r="G31" s="35"/>
      <c r="H31" s="85"/>
      <c r="I31" s="85"/>
      <c r="J31" s="87" t="str">
        <f t="shared" si="7"/>
        <v/>
      </c>
      <c r="K31" s="35"/>
      <c r="L31" s="88"/>
      <c r="M31" s="89"/>
      <c r="N31" s="87" t="str">
        <f t="shared" si="8"/>
        <v/>
      </c>
      <c r="O31" s="35"/>
      <c r="P31" s="88"/>
      <c r="Q31" s="88"/>
      <c r="R31" s="87" t="str">
        <f t="shared" si="9"/>
        <v/>
      </c>
      <c r="S31" s="90" t="str">
        <f t="shared" si="10"/>
        <v/>
      </c>
      <c r="T31" s="91" t="str">
        <f t="shared" si="11"/>
        <v/>
      </c>
      <c r="U31" s="85">
        <f t="shared" si="6"/>
        <v>0</v>
      </c>
    </row>
    <row r="32">
      <c r="A32" s="85">
        <v>30.0</v>
      </c>
      <c r="B32" s="42"/>
      <c r="C32" s="40"/>
      <c r="D32" s="54"/>
      <c r="E32" s="40"/>
      <c r="F32" s="54"/>
      <c r="G32" s="35"/>
      <c r="H32" s="85"/>
      <c r="I32" s="85"/>
      <c r="J32" s="87" t="str">
        <f t="shared" si="7"/>
        <v/>
      </c>
      <c r="K32" s="35"/>
      <c r="L32" s="88"/>
      <c r="M32" s="89"/>
      <c r="N32" s="87" t="str">
        <f t="shared" si="8"/>
        <v/>
      </c>
      <c r="O32" s="35"/>
      <c r="P32" s="88"/>
      <c r="Q32" s="88"/>
      <c r="R32" s="87" t="str">
        <f t="shared" si="9"/>
        <v/>
      </c>
      <c r="S32" s="90" t="str">
        <f t="shared" si="10"/>
        <v/>
      </c>
      <c r="T32" s="91" t="str">
        <f t="shared" si="11"/>
        <v/>
      </c>
      <c r="U32" s="85">
        <f t="shared" si="6"/>
        <v>0</v>
      </c>
    </row>
    <row r="33">
      <c r="A33" s="85">
        <v>31.0</v>
      </c>
      <c r="B33" s="42"/>
      <c r="C33" s="40"/>
      <c r="D33" s="54"/>
      <c r="E33" s="40"/>
      <c r="F33" s="54"/>
      <c r="G33" s="35"/>
      <c r="H33" s="85"/>
      <c r="I33" s="85"/>
      <c r="J33" s="87" t="str">
        <f t="shared" si="7"/>
        <v/>
      </c>
      <c r="K33" s="35"/>
      <c r="L33" s="88"/>
      <c r="M33" s="89"/>
      <c r="N33" s="87" t="str">
        <f t="shared" si="8"/>
        <v/>
      </c>
      <c r="O33" s="35"/>
      <c r="P33" s="88"/>
      <c r="Q33" s="88"/>
      <c r="R33" s="87" t="str">
        <f t="shared" si="9"/>
        <v/>
      </c>
      <c r="S33" s="90" t="str">
        <f t="shared" si="10"/>
        <v/>
      </c>
      <c r="T33" s="91" t="str">
        <f t="shared" si="11"/>
        <v/>
      </c>
      <c r="U33" s="85">
        <f t="shared" si="6"/>
        <v>0</v>
      </c>
    </row>
    <row r="34">
      <c r="A34" s="85">
        <v>32.0</v>
      </c>
      <c r="B34" s="42"/>
      <c r="C34" s="40"/>
      <c r="D34" s="54"/>
      <c r="E34" s="40"/>
      <c r="F34" s="54"/>
      <c r="G34" s="35"/>
      <c r="H34" s="85"/>
      <c r="I34" s="85"/>
      <c r="J34" s="87" t="str">
        <f t="shared" si="7"/>
        <v/>
      </c>
      <c r="K34" s="35"/>
      <c r="L34" s="88"/>
      <c r="M34" s="89"/>
      <c r="N34" s="87" t="str">
        <f t="shared" si="8"/>
        <v/>
      </c>
      <c r="O34" s="35"/>
      <c r="P34" s="88"/>
      <c r="Q34" s="88"/>
      <c r="R34" s="87" t="str">
        <f t="shared" si="9"/>
        <v/>
      </c>
      <c r="S34" s="90" t="str">
        <f t="shared" si="10"/>
        <v/>
      </c>
      <c r="T34" s="91" t="str">
        <f t="shared" si="11"/>
        <v/>
      </c>
      <c r="U34" s="85">
        <f t="shared" si="6"/>
        <v>0</v>
      </c>
    </row>
    <row r="35">
      <c r="A35" s="85">
        <v>33.0</v>
      </c>
      <c r="B35" s="42"/>
      <c r="C35" s="40"/>
      <c r="D35" s="54"/>
      <c r="E35" s="40"/>
      <c r="F35" s="54"/>
      <c r="G35" s="35"/>
      <c r="H35" s="85"/>
      <c r="I35" s="85"/>
      <c r="J35" s="87" t="str">
        <f t="shared" si="7"/>
        <v/>
      </c>
      <c r="K35" s="35"/>
      <c r="L35" s="88"/>
      <c r="M35" s="89"/>
      <c r="N35" s="87" t="str">
        <f t="shared" si="8"/>
        <v/>
      </c>
      <c r="O35" s="35"/>
      <c r="P35" s="88"/>
      <c r="Q35" s="88"/>
      <c r="R35" s="87" t="str">
        <f t="shared" si="9"/>
        <v/>
      </c>
      <c r="S35" s="90" t="str">
        <f t="shared" si="10"/>
        <v/>
      </c>
      <c r="T35" s="91" t="str">
        <f t="shared" si="11"/>
        <v/>
      </c>
      <c r="U35" s="85">
        <f t="shared" si="6"/>
        <v>0</v>
      </c>
    </row>
    <row r="36">
      <c r="A36" s="85">
        <v>34.0</v>
      </c>
      <c r="B36" s="42"/>
      <c r="C36" s="40"/>
      <c r="D36" s="54"/>
      <c r="E36" s="40"/>
      <c r="F36" s="54"/>
      <c r="G36" s="35"/>
      <c r="H36" s="85"/>
      <c r="I36" s="85"/>
      <c r="J36" s="87" t="str">
        <f t="shared" si="7"/>
        <v/>
      </c>
      <c r="K36" s="35"/>
      <c r="L36" s="88"/>
      <c r="M36" s="89"/>
      <c r="N36" s="87" t="str">
        <f t="shared" si="8"/>
        <v/>
      </c>
      <c r="O36" s="35"/>
      <c r="P36" s="88"/>
      <c r="Q36" s="88"/>
      <c r="R36" s="87" t="str">
        <f t="shared" si="9"/>
        <v/>
      </c>
      <c r="S36" s="90" t="str">
        <f t="shared" si="10"/>
        <v/>
      </c>
      <c r="T36" s="91" t="str">
        <f t="shared" si="11"/>
        <v/>
      </c>
      <c r="U36" s="85">
        <f t="shared" si="6"/>
        <v>0</v>
      </c>
    </row>
    <row r="37">
      <c r="A37" s="85">
        <v>35.0</v>
      </c>
      <c r="B37" s="42"/>
      <c r="C37" s="40"/>
      <c r="D37" s="54"/>
      <c r="E37" s="40"/>
      <c r="F37" s="54"/>
      <c r="G37" s="35"/>
      <c r="H37" s="85"/>
      <c r="I37" s="85"/>
      <c r="J37" s="87" t="str">
        <f t="shared" si="7"/>
        <v/>
      </c>
      <c r="K37" s="35"/>
      <c r="L37" s="88"/>
      <c r="M37" s="89"/>
      <c r="N37" s="87" t="str">
        <f t="shared" si="8"/>
        <v/>
      </c>
      <c r="O37" s="35"/>
      <c r="P37" s="88"/>
      <c r="Q37" s="88"/>
      <c r="R37" s="87" t="str">
        <f t="shared" si="9"/>
        <v/>
      </c>
      <c r="S37" s="90" t="str">
        <f t="shared" si="10"/>
        <v/>
      </c>
      <c r="T37" s="91" t="str">
        <f t="shared" si="11"/>
        <v/>
      </c>
      <c r="U37" s="85">
        <f t="shared" si="6"/>
        <v>0</v>
      </c>
    </row>
    <row r="38">
      <c r="A38" s="85">
        <v>36.0</v>
      </c>
      <c r="B38" s="42"/>
      <c r="C38" s="40"/>
      <c r="D38" s="54"/>
      <c r="E38" s="40"/>
      <c r="F38" s="54"/>
      <c r="G38" s="35"/>
      <c r="H38" s="85"/>
      <c r="I38" s="85"/>
      <c r="J38" s="87" t="str">
        <f t="shared" si="7"/>
        <v/>
      </c>
      <c r="K38" s="35"/>
      <c r="L38" s="88"/>
      <c r="M38" s="89"/>
      <c r="N38" s="87" t="str">
        <f t="shared" si="8"/>
        <v/>
      </c>
      <c r="O38" s="35"/>
      <c r="P38" s="88"/>
      <c r="Q38" s="88"/>
      <c r="R38" s="87" t="str">
        <f t="shared" si="9"/>
        <v/>
      </c>
      <c r="S38" s="90" t="str">
        <f t="shared" si="10"/>
        <v/>
      </c>
      <c r="T38" s="91" t="str">
        <f t="shared" si="11"/>
        <v/>
      </c>
      <c r="U38" s="85">
        <f t="shared" si="6"/>
        <v>0</v>
      </c>
    </row>
    <row r="39">
      <c r="A39" s="85">
        <v>37.0</v>
      </c>
      <c r="B39" s="42"/>
      <c r="C39" s="40"/>
      <c r="D39" s="54"/>
      <c r="E39" s="40"/>
      <c r="F39" s="54"/>
      <c r="G39" s="35"/>
      <c r="H39" s="85"/>
      <c r="I39" s="85"/>
      <c r="J39" s="87" t="str">
        <f t="shared" si="7"/>
        <v/>
      </c>
      <c r="K39" s="35"/>
      <c r="L39" s="88"/>
      <c r="M39" s="89"/>
      <c r="N39" s="87" t="str">
        <f t="shared" si="8"/>
        <v/>
      </c>
      <c r="O39" s="35"/>
      <c r="P39" s="88"/>
      <c r="Q39" s="88"/>
      <c r="R39" s="87" t="str">
        <f t="shared" si="9"/>
        <v/>
      </c>
      <c r="S39" s="90" t="str">
        <f t="shared" si="10"/>
        <v/>
      </c>
      <c r="T39" s="91" t="str">
        <f t="shared" si="11"/>
        <v/>
      </c>
      <c r="U39" s="85">
        <f t="shared" si="6"/>
        <v>0</v>
      </c>
    </row>
    <row r="40">
      <c r="A40" s="85">
        <v>38.0</v>
      </c>
      <c r="B40" s="42"/>
      <c r="C40" s="40"/>
      <c r="D40" s="54"/>
      <c r="E40" s="40"/>
      <c r="F40" s="54"/>
      <c r="G40" s="35"/>
      <c r="H40" s="85"/>
      <c r="I40" s="85"/>
      <c r="J40" s="87" t="str">
        <f t="shared" si="7"/>
        <v/>
      </c>
      <c r="K40" s="35"/>
      <c r="L40" s="88"/>
      <c r="M40" s="89"/>
      <c r="N40" s="87" t="str">
        <f t="shared" si="8"/>
        <v/>
      </c>
      <c r="O40" s="35"/>
      <c r="P40" s="88"/>
      <c r="Q40" s="88"/>
      <c r="R40" s="87" t="str">
        <f t="shared" si="9"/>
        <v/>
      </c>
      <c r="S40" s="90" t="str">
        <f t="shared" si="10"/>
        <v/>
      </c>
      <c r="T40" s="91" t="str">
        <f t="shared" si="11"/>
        <v/>
      </c>
      <c r="U40" s="85">
        <f t="shared" si="6"/>
        <v>0</v>
      </c>
    </row>
    <row r="41">
      <c r="A41" s="85">
        <v>39.0</v>
      </c>
      <c r="B41" s="42"/>
      <c r="C41" s="40"/>
      <c r="D41" s="54"/>
      <c r="E41" s="40"/>
      <c r="F41" s="54"/>
      <c r="G41" s="35"/>
      <c r="H41" s="85"/>
      <c r="I41" s="85"/>
      <c r="J41" s="87" t="str">
        <f t="shared" si="7"/>
        <v/>
      </c>
      <c r="K41" s="35"/>
      <c r="L41" s="88"/>
      <c r="M41" s="89"/>
      <c r="N41" s="87" t="str">
        <f t="shared" si="8"/>
        <v/>
      </c>
      <c r="O41" s="35"/>
      <c r="P41" s="88"/>
      <c r="Q41" s="88"/>
      <c r="R41" s="87" t="str">
        <f t="shared" si="9"/>
        <v/>
      </c>
      <c r="S41" s="90" t="str">
        <f t="shared" si="10"/>
        <v/>
      </c>
      <c r="T41" s="91" t="str">
        <f t="shared" si="11"/>
        <v/>
      </c>
      <c r="U41" s="85">
        <f t="shared" si="6"/>
        <v>0</v>
      </c>
    </row>
    <row r="42">
      <c r="A42" s="85">
        <v>40.0</v>
      </c>
      <c r="B42" s="42"/>
      <c r="C42" s="40"/>
      <c r="D42" s="54"/>
      <c r="E42" s="40"/>
      <c r="F42" s="54"/>
      <c r="G42" s="35"/>
      <c r="H42" s="85"/>
      <c r="I42" s="85"/>
      <c r="J42" s="87" t="str">
        <f t="shared" si="7"/>
        <v/>
      </c>
      <c r="K42" s="35"/>
      <c r="L42" s="88"/>
      <c r="M42" s="89"/>
      <c r="N42" s="87" t="str">
        <f t="shared" si="8"/>
        <v/>
      </c>
      <c r="O42" s="35"/>
      <c r="P42" s="88"/>
      <c r="Q42" s="88"/>
      <c r="R42" s="87" t="str">
        <f t="shared" si="9"/>
        <v/>
      </c>
      <c r="S42" s="90" t="str">
        <f t="shared" si="10"/>
        <v/>
      </c>
      <c r="T42" s="91" t="str">
        <f t="shared" si="11"/>
        <v/>
      </c>
      <c r="U42" s="85">
        <f t="shared" si="6"/>
        <v>0</v>
      </c>
    </row>
    <row r="43">
      <c r="A43" s="85">
        <v>41.0</v>
      </c>
      <c r="B43" s="42"/>
      <c r="C43" s="40"/>
      <c r="D43" s="54"/>
      <c r="E43" s="40"/>
      <c r="F43" s="54"/>
      <c r="G43" s="35"/>
      <c r="H43" s="85"/>
      <c r="I43" s="85"/>
      <c r="J43" s="87" t="str">
        <f t="shared" si="7"/>
        <v/>
      </c>
      <c r="K43" s="35"/>
      <c r="L43" s="88"/>
      <c r="M43" s="89"/>
      <c r="N43" s="87" t="str">
        <f t="shared" si="8"/>
        <v/>
      </c>
      <c r="O43" s="35"/>
      <c r="P43" s="88"/>
      <c r="Q43" s="88"/>
      <c r="R43" s="87" t="str">
        <f t="shared" si="9"/>
        <v/>
      </c>
      <c r="S43" s="90" t="str">
        <f t="shared" si="10"/>
        <v/>
      </c>
      <c r="T43" s="91" t="str">
        <f t="shared" si="11"/>
        <v/>
      </c>
      <c r="U43" s="85">
        <f t="shared" si="6"/>
        <v>0</v>
      </c>
    </row>
    <row r="44">
      <c r="A44" s="85">
        <v>42.0</v>
      </c>
      <c r="B44" s="42"/>
      <c r="C44" s="40"/>
      <c r="D44" s="54"/>
      <c r="E44" s="40"/>
      <c r="F44" s="54"/>
      <c r="G44" s="35"/>
      <c r="H44" s="85"/>
      <c r="I44" s="85"/>
      <c r="J44" s="87" t="str">
        <f t="shared" si="7"/>
        <v/>
      </c>
      <c r="K44" s="35"/>
      <c r="L44" s="88"/>
      <c r="M44" s="89"/>
      <c r="N44" s="87" t="str">
        <f t="shared" si="8"/>
        <v/>
      </c>
      <c r="O44" s="35"/>
      <c r="P44" s="88"/>
      <c r="Q44" s="88"/>
      <c r="R44" s="87" t="str">
        <f t="shared" si="9"/>
        <v/>
      </c>
      <c r="S44" s="90" t="str">
        <f t="shared" si="10"/>
        <v/>
      </c>
      <c r="T44" s="91" t="str">
        <f t="shared" si="11"/>
        <v/>
      </c>
      <c r="U44" s="85">
        <f t="shared" si="6"/>
        <v>0</v>
      </c>
    </row>
    <row r="45">
      <c r="A45" s="85">
        <v>43.0</v>
      </c>
      <c r="B45" s="35"/>
      <c r="C45" s="35"/>
      <c r="D45" s="54"/>
      <c r="E45" s="40"/>
      <c r="F45" s="54"/>
      <c r="G45" s="35"/>
      <c r="H45" s="85"/>
      <c r="I45" s="85"/>
      <c r="J45" s="87" t="str">
        <f t="shared" si="7"/>
        <v/>
      </c>
      <c r="K45" s="35"/>
      <c r="L45" s="88"/>
      <c r="M45" s="89"/>
      <c r="N45" s="87" t="str">
        <f t="shared" si="8"/>
        <v/>
      </c>
      <c r="O45" s="35"/>
      <c r="P45" s="88"/>
      <c r="Q45" s="88"/>
      <c r="R45" s="87" t="str">
        <f t="shared" si="9"/>
        <v/>
      </c>
      <c r="S45" s="90" t="str">
        <f t="shared" si="10"/>
        <v/>
      </c>
      <c r="T45" s="91" t="str">
        <f t="shared" si="11"/>
        <v/>
      </c>
      <c r="U45" s="85">
        <f t="shared" si="6"/>
        <v>0</v>
      </c>
    </row>
    <row r="46">
      <c r="A46" s="85">
        <v>44.0</v>
      </c>
      <c r="B46" s="42"/>
      <c r="C46" s="40"/>
      <c r="D46" s="54"/>
      <c r="E46" s="40"/>
      <c r="F46" s="54"/>
      <c r="G46" s="35"/>
      <c r="H46" s="85"/>
      <c r="I46" s="85"/>
      <c r="J46" s="87" t="str">
        <f t="shared" si="7"/>
        <v/>
      </c>
      <c r="K46" s="35"/>
      <c r="L46" s="88"/>
      <c r="M46" s="89"/>
      <c r="N46" s="87" t="str">
        <f t="shared" si="8"/>
        <v/>
      </c>
      <c r="O46" s="35"/>
      <c r="P46" s="88"/>
      <c r="Q46" s="88"/>
      <c r="R46" s="87" t="str">
        <f t="shared" si="9"/>
        <v/>
      </c>
      <c r="S46" s="90" t="str">
        <f t="shared" si="10"/>
        <v/>
      </c>
      <c r="T46" s="91" t="str">
        <f t="shared" si="11"/>
        <v/>
      </c>
      <c r="U46" s="85">
        <f t="shared" si="6"/>
        <v>0</v>
      </c>
    </row>
    <row r="47">
      <c r="A47" s="85">
        <v>45.0</v>
      </c>
      <c r="B47" s="42"/>
      <c r="C47" s="40"/>
      <c r="D47" s="54"/>
      <c r="E47" s="40"/>
      <c r="F47" s="54"/>
      <c r="G47" s="35"/>
      <c r="H47" s="85"/>
      <c r="I47" s="85"/>
      <c r="J47" s="87" t="str">
        <f t="shared" si="7"/>
        <v/>
      </c>
      <c r="K47" s="35"/>
      <c r="L47" s="88"/>
      <c r="M47" s="89"/>
      <c r="N47" s="87" t="str">
        <f t="shared" si="8"/>
        <v/>
      </c>
      <c r="O47" s="35"/>
      <c r="P47" s="88"/>
      <c r="Q47" s="88"/>
      <c r="R47" s="87" t="str">
        <f t="shared" si="9"/>
        <v/>
      </c>
      <c r="S47" s="90" t="str">
        <f t="shared" si="10"/>
        <v/>
      </c>
      <c r="T47" s="91" t="str">
        <f t="shared" si="11"/>
        <v/>
      </c>
      <c r="U47" s="85">
        <f t="shared" si="6"/>
        <v>0</v>
      </c>
    </row>
    <row r="48">
      <c r="A48" s="85">
        <v>46.0</v>
      </c>
      <c r="B48" s="42"/>
      <c r="C48" s="40"/>
      <c r="D48" s="54"/>
      <c r="E48" s="40"/>
      <c r="F48" s="54"/>
      <c r="G48" s="35"/>
      <c r="H48" s="85"/>
      <c r="I48" s="85"/>
      <c r="J48" s="87" t="str">
        <f t="shared" si="7"/>
        <v/>
      </c>
      <c r="K48" s="35"/>
      <c r="L48" s="88"/>
      <c r="M48" s="89"/>
      <c r="N48" s="87" t="str">
        <f t="shared" si="8"/>
        <v/>
      </c>
      <c r="O48" s="35"/>
      <c r="P48" s="88"/>
      <c r="Q48" s="88"/>
      <c r="R48" s="87" t="str">
        <f t="shared" si="9"/>
        <v/>
      </c>
      <c r="S48" s="90" t="str">
        <f t="shared" si="10"/>
        <v/>
      </c>
      <c r="T48" s="91" t="str">
        <f t="shared" si="11"/>
        <v/>
      </c>
      <c r="U48" s="85">
        <f t="shared" si="6"/>
        <v>0</v>
      </c>
    </row>
    <row r="49">
      <c r="A49" s="85">
        <v>47.0</v>
      </c>
      <c r="B49" s="35"/>
      <c r="C49" s="35"/>
      <c r="D49" s="54"/>
      <c r="E49" s="40"/>
      <c r="F49" s="54"/>
      <c r="G49" s="35"/>
      <c r="H49" s="85"/>
      <c r="I49" s="85"/>
      <c r="J49" s="87" t="str">
        <f t="shared" si="7"/>
        <v/>
      </c>
      <c r="K49" s="35"/>
      <c r="L49" s="88"/>
      <c r="M49" s="89"/>
      <c r="N49" s="87" t="str">
        <f t="shared" si="8"/>
        <v/>
      </c>
      <c r="O49" s="35"/>
      <c r="P49" s="88"/>
      <c r="Q49" s="88"/>
      <c r="R49" s="87" t="str">
        <f t="shared" si="9"/>
        <v/>
      </c>
      <c r="S49" s="90" t="str">
        <f t="shared" si="10"/>
        <v/>
      </c>
      <c r="T49" s="91" t="str">
        <f t="shared" si="11"/>
        <v/>
      </c>
      <c r="U49" s="85">
        <f t="shared" si="6"/>
        <v>0</v>
      </c>
    </row>
    <row r="50">
      <c r="A50" s="85">
        <v>48.0</v>
      </c>
      <c r="B50" s="42"/>
      <c r="C50" s="40"/>
      <c r="D50" s="54"/>
      <c r="E50" s="40"/>
      <c r="F50" s="54"/>
      <c r="G50" s="35"/>
      <c r="H50" s="85"/>
      <c r="I50" s="85"/>
      <c r="J50" s="87" t="str">
        <f t="shared" si="7"/>
        <v/>
      </c>
      <c r="K50" s="35"/>
      <c r="L50" s="88"/>
      <c r="M50" s="89"/>
      <c r="N50" s="87" t="str">
        <f t="shared" si="8"/>
        <v/>
      </c>
      <c r="O50" s="35"/>
      <c r="P50" s="88"/>
      <c r="Q50" s="88"/>
      <c r="R50" s="87" t="str">
        <f t="shared" si="9"/>
        <v/>
      </c>
      <c r="S50" s="90" t="str">
        <f t="shared" si="10"/>
        <v/>
      </c>
      <c r="T50" s="91" t="str">
        <f t="shared" si="11"/>
        <v/>
      </c>
      <c r="U50" s="85">
        <f t="shared" si="6"/>
        <v>0</v>
      </c>
    </row>
    <row r="51">
      <c r="A51" s="85">
        <v>49.0</v>
      </c>
      <c r="B51" s="42"/>
      <c r="C51" s="40"/>
      <c r="D51" s="54"/>
      <c r="E51" s="40"/>
      <c r="F51" s="54"/>
      <c r="G51" s="35"/>
      <c r="H51" s="85"/>
      <c r="I51" s="85"/>
      <c r="J51" s="87" t="str">
        <f t="shared" si="7"/>
        <v/>
      </c>
      <c r="K51" s="35"/>
      <c r="L51" s="88"/>
      <c r="M51" s="89"/>
      <c r="N51" s="87" t="str">
        <f t="shared" si="8"/>
        <v/>
      </c>
      <c r="O51" s="35"/>
      <c r="P51" s="88"/>
      <c r="Q51" s="88"/>
      <c r="R51" s="87" t="str">
        <f t="shared" si="9"/>
        <v/>
      </c>
      <c r="S51" s="90" t="str">
        <f t="shared" si="10"/>
        <v/>
      </c>
      <c r="T51" s="91" t="str">
        <f t="shared" si="11"/>
        <v/>
      </c>
      <c r="U51" s="85">
        <f t="shared" si="6"/>
        <v>0</v>
      </c>
    </row>
    <row r="52">
      <c r="A52" s="85">
        <v>50.0</v>
      </c>
      <c r="B52" s="42"/>
      <c r="C52" s="40"/>
      <c r="D52" s="54"/>
      <c r="E52" s="40"/>
      <c r="F52" s="54"/>
      <c r="G52" s="35"/>
      <c r="H52" s="85"/>
      <c r="I52" s="85"/>
      <c r="J52" s="87" t="str">
        <f t="shared" si="7"/>
        <v/>
      </c>
      <c r="K52" s="35"/>
      <c r="L52" s="88"/>
      <c r="M52" s="89"/>
      <c r="N52" s="87" t="str">
        <f t="shared" si="8"/>
        <v/>
      </c>
      <c r="O52" s="35"/>
      <c r="P52" s="88"/>
      <c r="Q52" s="88"/>
      <c r="R52" s="87" t="str">
        <f t="shared" si="9"/>
        <v/>
      </c>
      <c r="S52" s="90" t="str">
        <f t="shared" si="10"/>
        <v/>
      </c>
      <c r="T52" s="91" t="str">
        <f t="shared" si="11"/>
        <v/>
      </c>
      <c r="U52" s="85">
        <f t="shared" si="6"/>
        <v>0</v>
      </c>
    </row>
    <row r="53">
      <c r="A53" s="85">
        <v>51.0</v>
      </c>
      <c r="B53" s="35"/>
      <c r="C53" s="65"/>
      <c r="D53" s="76"/>
      <c r="E53" s="93"/>
      <c r="F53" s="76"/>
      <c r="G53" s="35"/>
      <c r="H53" s="85"/>
      <c r="I53" s="85"/>
      <c r="J53" s="87" t="str">
        <f t="shared" si="7"/>
        <v/>
      </c>
      <c r="K53" s="35"/>
      <c r="L53" s="88"/>
      <c r="M53" s="89"/>
      <c r="N53" s="87" t="str">
        <f t="shared" si="8"/>
        <v/>
      </c>
      <c r="O53" s="35"/>
      <c r="P53" s="88"/>
      <c r="Q53" s="88"/>
      <c r="R53" s="87" t="str">
        <f t="shared" si="9"/>
        <v/>
      </c>
      <c r="S53" s="90" t="str">
        <f t="shared" si="10"/>
        <v/>
      </c>
      <c r="T53" s="91" t="str">
        <f t="shared" si="11"/>
        <v/>
      </c>
      <c r="U53" s="85">
        <f t="shared" si="6"/>
        <v>0</v>
      </c>
    </row>
    <row r="54">
      <c r="A54" s="85">
        <v>52.0</v>
      </c>
      <c r="B54" s="35"/>
      <c r="C54" s="65"/>
      <c r="D54" s="76"/>
      <c r="E54" s="93"/>
      <c r="F54" s="76"/>
      <c r="G54" s="35"/>
      <c r="H54" s="85"/>
      <c r="I54" s="85"/>
      <c r="J54" s="87" t="str">
        <f t="shared" si="7"/>
        <v/>
      </c>
      <c r="K54" s="35"/>
      <c r="L54" s="88"/>
      <c r="M54" s="89"/>
      <c r="N54" s="87" t="str">
        <f t="shared" si="8"/>
        <v/>
      </c>
      <c r="O54" s="35"/>
      <c r="P54" s="88"/>
      <c r="Q54" s="88"/>
      <c r="R54" s="87" t="str">
        <f t="shared" si="9"/>
        <v/>
      </c>
      <c r="S54" s="90" t="str">
        <f t="shared" si="10"/>
        <v/>
      </c>
      <c r="T54" s="91" t="str">
        <f t="shared" si="11"/>
        <v/>
      </c>
      <c r="U54" s="85">
        <f t="shared" si="6"/>
        <v>0</v>
      </c>
    </row>
    <row r="55">
      <c r="A55" s="85">
        <v>53.0</v>
      </c>
      <c r="B55" s="35"/>
      <c r="C55" s="65"/>
      <c r="D55" s="76"/>
      <c r="E55" s="93"/>
      <c r="F55" s="76"/>
      <c r="G55" s="35"/>
      <c r="H55" s="85"/>
      <c r="I55" s="85"/>
      <c r="J55" s="87" t="str">
        <f t="shared" si="7"/>
        <v/>
      </c>
      <c r="K55" s="35"/>
      <c r="L55" s="88"/>
      <c r="M55" s="89"/>
      <c r="N55" s="87" t="str">
        <f t="shared" si="8"/>
        <v/>
      </c>
      <c r="O55" s="35"/>
      <c r="P55" s="88"/>
      <c r="Q55" s="88"/>
      <c r="R55" s="87" t="str">
        <f t="shared" si="9"/>
        <v/>
      </c>
      <c r="S55" s="90" t="str">
        <f t="shared" si="10"/>
        <v/>
      </c>
      <c r="T55" s="91" t="str">
        <f t="shared" si="11"/>
        <v/>
      </c>
      <c r="U55" s="85">
        <f t="shared" si="6"/>
        <v>0</v>
      </c>
    </row>
    <row r="56">
      <c r="A56" s="85">
        <v>54.0</v>
      </c>
      <c r="B56" s="35"/>
      <c r="C56" s="65"/>
      <c r="D56" s="76"/>
      <c r="E56" s="93"/>
      <c r="F56" s="76"/>
      <c r="G56" s="35"/>
      <c r="H56" s="85"/>
      <c r="I56" s="85"/>
      <c r="J56" s="87" t="str">
        <f t="shared" si="7"/>
        <v/>
      </c>
      <c r="K56" s="35"/>
      <c r="L56" s="88"/>
      <c r="M56" s="89"/>
      <c r="N56" s="87" t="str">
        <f t="shared" si="8"/>
        <v/>
      </c>
      <c r="O56" s="35"/>
      <c r="P56" s="88"/>
      <c r="Q56" s="88"/>
      <c r="R56" s="87" t="str">
        <f t="shared" si="9"/>
        <v/>
      </c>
      <c r="S56" s="90" t="str">
        <f t="shared" si="10"/>
        <v/>
      </c>
      <c r="T56" s="91" t="str">
        <f t="shared" si="11"/>
        <v/>
      </c>
      <c r="U56" s="85">
        <f t="shared" si="6"/>
        <v>0</v>
      </c>
    </row>
    <row r="57">
      <c r="A57" s="85">
        <v>55.0</v>
      </c>
      <c r="B57" s="35"/>
      <c r="C57" s="65"/>
      <c r="D57" s="76"/>
      <c r="E57" s="93"/>
      <c r="F57" s="76"/>
      <c r="G57" s="35"/>
      <c r="H57" s="85"/>
      <c r="I57" s="85"/>
      <c r="J57" s="87" t="str">
        <f t="shared" si="7"/>
        <v/>
      </c>
      <c r="K57" s="35"/>
      <c r="L57" s="88"/>
      <c r="M57" s="89"/>
      <c r="N57" s="87" t="str">
        <f t="shared" si="8"/>
        <v/>
      </c>
      <c r="O57" s="35"/>
      <c r="P57" s="88"/>
      <c r="Q57" s="88"/>
      <c r="R57" s="87" t="str">
        <f t="shared" si="9"/>
        <v/>
      </c>
      <c r="S57" s="90" t="str">
        <f t="shared" si="10"/>
        <v/>
      </c>
      <c r="T57" s="91" t="str">
        <f t="shared" si="11"/>
        <v/>
      </c>
      <c r="U57" s="85">
        <f t="shared" si="6"/>
        <v>0</v>
      </c>
    </row>
    <row r="58">
      <c r="A58" s="85">
        <v>56.0</v>
      </c>
      <c r="B58" s="35"/>
      <c r="C58" s="65"/>
      <c r="D58" s="76"/>
      <c r="E58" s="93"/>
      <c r="F58" s="76"/>
      <c r="G58" s="35"/>
      <c r="H58" s="85"/>
      <c r="I58" s="85"/>
      <c r="J58" s="87" t="str">
        <f t="shared" si="7"/>
        <v/>
      </c>
      <c r="K58" s="35"/>
      <c r="L58" s="88"/>
      <c r="M58" s="89"/>
      <c r="N58" s="87" t="str">
        <f t="shared" si="8"/>
        <v/>
      </c>
      <c r="O58" s="35"/>
      <c r="P58" s="88"/>
      <c r="Q58" s="88"/>
      <c r="R58" s="87" t="str">
        <f t="shared" si="9"/>
        <v/>
      </c>
      <c r="S58" s="90" t="str">
        <f t="shared" si="10"/>
        <v/>
      </c>
      <c r="T58" s="91" t="str">
        <f t="shared" si="11"/>
        <v/>
      </c>
      <c r="U58" s="85">
        <f t="shared" si="6"/>
        <v>0</v>
      </c>
    </row>
    <row r="59">
      <c r="A59" s="85">
        <v>57.0</v>
      </c>
      <c r="B59" s="35"/>
      <c r="C59" s="65"/>
      <c r="D59" s="76"/>
      <c r="E59" s="93"/>
      <c r="F59" s="76"/>
      <c r="G59" s="35"/>
      <c r="H59" s="85"/>
      <c r="I59" s="85"/>
      <c r="J59" s="87" t="str">
        <f t="shared" si="7"/>
        <v/>
      </c>
      <c r="K59" s="35"/>
      <c r="L59" s="88"/>
      <c r="M59" s="89"/>
      <c r="N59" s="87" t="str">
        <f t="shared" si="8"/>
        <v/>
      </c>
      <c r="O59" s="35"/>
      <c r="P59" s="88"/>
      <c r="Q59" s="88"/>
      <c r="R59" s="87" t="str">
        <f t="shared" si="9"/>
        <v/>
      </c>
      <c r="S59" s="90" t="str">
        <f t="shared" si="10"/>
        <v/>
      </c>
      <c r="T59" s="91" t="str">
        <f t="shared" si="11"/>
        <v/>
      </c>
      <c r="U59" s="85">
        <f t="shared" si="6"/>
        <v>0</v>
      </c>
    </row>
    <row r="60">
      <c r="A60" s="85">
        <v>58.0</v>
      </c>
      <c r="B60" s="35"/>
      <c r="C60" s="65"/>
      <c r="D60" s="76"/>
      <c r="E60" s="93"/>
      <c r="F60" s="76"/>
      <c r="G60" s="35"/>
      <c r="H60" s="85"/>
      <c r="I60" s="85"/>
      <c r="J60" s="87" t="str">
        <f t="shared" si="7"/>
        <v/>
      </c>
      <c r="K60" s="35"/>
      <c r="L60" s="88"/>
      <c r="M60" s="89"/>
      <c r="N60" s="87" t="str">
        <f t="shared" si="8"/>
        <v/>
      </c>
      <c r="O60" s="35"/>
      <c r="P60" s="88"/>
      <c r="Q60" s="88"/>
      <c r="R60" s="87" t="str">
        <f t="shared" si="9"/>
        <v/>
      </c>
      <c r="S60" s="90" t="str">
        <f t="shared" si="10"/>
        <v/>
      </c>
      <c r="T60" s="91" t="str">
        <f t="shared" si="11"/>
        <v/>
      </c>
      <c r="U60" s="85">
        <f t="shared" si="6"/>
        <v>0</v>
      </c>
    </row>
    <row r="61">
      <c r="A61" s="85">
        <v>59.0</v>
      </c>
      <c r="B61" s="35"/>
      <c r="C61" s="65"/>
      <c r="D61" s="76"/>
      <c r="E61" s="93"/>
      <c r="F61" s="76"/>
      <c r="G61" s="35"/>
      <c r="H61" s="85"/>
      <c r="I61" s="85"/>
      <c r="J61" s="87" t="str">
        <f t="shared" si="7"/>
        <v/>
      </c>
      <c r="K61" s="35"/>
      <c r="L61" s="88"/>
      <c r="M61" s="89"/>
      <c r="N61" s="87" t="str">
        <f t="shared" si="8"/>
        <v/>
      </c>
      <c r="O61" s="35"/>
      <c r="P61" s="88"/>
      <c r="Q61" s="88"/>
      <c r="R61" s="87" t="str">
        <f t="shared" si="9"/>
        <v/>
      </c>
      <c r="S61" s="90" t="str">
        <f t="shared" si="10"/>
        <v/>
      </c>
      <c r="T61" s="91" t="str">
        <f t="shared" si="11"/>
        <v/>
      </c>
      <c r="U61" s="85">
        <f t="shared" si="6"/>
        <v>0</v>
      </c>
    </row>
    <row r="62">
      <c r="A62" s="85">
        <v>60.0</v>
      </c>
      <c r="B62" s="35"/>
      <c r="C62" s="65"/>
      <c r="D62" s="76"/>
      <c r="E62" s="93"/>
      <c r="F62" s="76"/>
      <c r="G62" s="35"/>
      <c r="H62" s="85"/>
      <c r="I62" s="85"/>
      <c r="J62" s="87" t="str">
        <f t="shared" si="7"/>
        <v/>
      </c>
      <c r="K62" s="35"/>
      <c r="L62" s="88"/>
      <c r="M62" s="89"/>
      <c r="N62" s="87" t="str">
        <f t="shared" si="8"/>
        <v/>
      </c>
      <c r="O62" s="35"/>
      <c r="P62" s="88"/>
      <c r="Q62" s="88"/>
      <c r="R62" s="87" t="str">
        <f t="shared" si="9"/>
        <v/>
      </c>
      <c r="S62" s="90" t="str">
        <f t="shared" si="10"/>
        <v/>
      </c>
      <c r="T62" s="91" t="str">
        <f t="shared" si="11"/>
        <v/>
      </c>
      <c r="U62" s="85">
        <f t="shared" si="6"/>
        <v>0</v>
      </c>
    </row>
    <row r="63">
      <c r="A63" s="85">
        <v>61.0</v>
      </c>
      <c r="B63" s="35"/>
      <c r="C63" s="65"/>
      <c r="D63" s="76"/>
      <c r="E63" s="93"/>
      <c r="F63" s="76"/>
      <c r="G63" s="35"/>
      <c r="H63" s="85"/>
      <c r="I63" s="85"/>
      <c r="J63" s="87" t="str">
        <f t="shared" si="7"/>
        <v/>
      </c>
      <c r="K63" s="35"/>
      <c r="L63" s="88"/>
      <c r="M63" s="89"/>
      <c r="N63" s="87" t="str">
        <f t="shared" si="8"/>
        <v/>
      </c>
      <c r="O63" s="35"/>
      <c r="P63" s="88"/>
      <c r="Q63" s="88"/>
      <c r="R63" s="87" t="str">
        <f t="shared" si="9"/>
        <v/>
      </c>
      <c r="S63" s="90" t="str">
        <f t="shared" si="10"/>
        <v/>
      </c>
      <c r="T63" s="91" t="str">
        <f t="shared" si="11"/>
        <v/>
      </c>
      <c r="U63" s="85">
        <f t="shared" si="6"/>
        <v>0</v>
      </c>
    </row>
    <row r="64">
      <c r="A64" s="85">
        <v>62.0</v>
      </c>
      <c r="B64" s="35"/>
      <c r="C64" s="65"/>
      <c r="D64" s="76"/>
      <c r="E64" s="93"/>
      <c r="F64" s="76"/>
      <c r="G64" s="35"/>
      <c r="H64" s="85"/>
      <c r="I64" s="85"/>
      <c r="J64" s="87" t="str">
        <f t="shared" si="7"/>
        <v/>
      </c>
      <c r="K64" s="35"/>
      <c r="L64" s="88"/>
      <c r="M64" s="89"/>
      <c r="N64" s="87" t="str">
        <f t="shared" si="8"/>
        <v/>
      </c>
      <c r="O64" s="35"/>
      <c r="P64" s="88"/>
      <c r="Q64" s="88"/>
      <c r="R64" s="87" t="str">
        <f t="shared" si="9"/>
        <v/>
      </c>
      <c r="S64" s="90" t="str">
        <f t="shared" si="10"/>
        <v/>
      </c>
      <c r="T64" s="91" t="str">
        <f t="shared" si="11"/>
        <v/>
      </c>
      <c r="U64" s="85">
        <f t="shared" si="6"/>
        <v>0</v>
      </c>
    </row>
    <row r="65">
      <c r="A65" s="85">
        <v>63.0</v>
      </c>
      <c r="B65" s="35"/>
      <c r="C65" s="65"/>
      <c r="D65" s="76"/>
      <c r="E65" s="93"/>
      <c r="F65" s="76"/>
      <c r="G65" s="35"/>
      <c r="H65" s="85"/>
      <c r="I65" s="85"/>
      <c r="J65" s="87" t="str">
        <f t="shared" si="7"/>
        <v/>
      </c>
      <c r="K65" s="35"/>
      <c r="L65" s="88"/>
      <c r="M65" s="89"/>
      <c r="N65" s="87" t="str">
        <f t="shared" si="8"/>
        <v/>
      </c>
      <c r="O65" s="35"/>
      <c r="P65" s="88"/>
      <c r="Q65" s="88"/>
      <c r="R65" s="87" t="str">
        <f t="shared" si="9"/>
        <v/>
      </c>
      <c r="S65" s="90" t="str">
        <f t="shared" si="10"/>
        <v/>
      </c>
      <c r="T65" s="91" t="str">
        <f t="shared" si="11"/>
        <v/>
      </c>
      <c r="U65" s="85">
        <f t="shared" si="6"/>
        <v>0</v>
      </c>
    </row>
    <row r="66">
      <c r="A66" s="85">
        <v>64.0</v>
      </c>
      <c r="B66" s="35"/>
      <c r="C66" s="65"/>
      <c r="D66" s="76"/>
      <c r="E66" s="93"/>
      <c r="F66" s="76"/>
      <c r="G66" s="35"/>
      <c r="H66" s="85"/>
      <c r="I66" s="85"/>
      <c r="J66" s="87" t="str">
        <f t="shared" si="7"/>
        <v/>
      </c>
      <c r="K66" s="35"/>
      <c r="L66" s="88"/>
      <c r="M66" s="89"/>
      <c r="N66" s="87" t="str">
        <f t="shared" si="8"/>
        <v/>
      </c>
      <c r="O66" s="35"/>
      <c r="P66" s="88"/>
      <c r="Q66" s="88"/>
      <c r="R66" s="87" t="str">
        <f t="shared" si="9"/>
        <v/>
      </c>
      <c r="S66" s="90" t="str">
        <f t="shared" si="10"/>
        <v/>
      </c>
      <c r="T66" s="91" t="str">
        <f t="shared" si="11"/>
        <v/>
      </c>
      <c r="U66" s="85">
        <f t="shared" si="6"/>
        <v>0</v>
      </c>
    </row>
    <row r="67">
      <c r="A67" s="85">
        <v>65.0</v>
      </c>
      <c r="B67" s="35"/>
      <c r="C67" s="65"/>
      <c r="D67" s="76"/>
      <c r="E67" s="93"/>
      <c r="F67" s="76"/>
      <c r="G67" s="35"/>
      <c r="H67" s="85"/>
      <c r="I67" s="85"/>
      <c r="J67" s="87" t="str">
        <f t="shared" si="7"/>
        <v/>
      </c>
      <c r="K67" s="35"/>
      <c r="L67" s="88"/>
      <c r="M67" s="89"/>
      <c r="N67" s="87" t="str">
        <f t="shared" si="8"/>
        <v/>
      </c>
      <c r="O67" s="35"/>
      <c r="P67" s="88"/>
      <c r="Q67" s="88"/>
      <c r="R67" s="87" t="str">
        <f t="shared" si="9"/>
        <v/>
      </c>
      <c r="S67" s="90" t="str">
        <f t="shared" si="10"/>
        <v/>
      </c>
      <c r="T67" s="91" t="str">
        <f t="shared" si="11"/>
        <v/>
      </c>
      <c r="U67" s="85">
        <f t="shared" si="6"/>
        <v>0</v>
      </c>
    </row>
    <row r="68">
      <c r="A68" s="85">
        <v>66.0</v>
      </c>
      <c r="B68" s="35"/>
      <c r="C68" s="65"/>
      <c r="D68" s="76"/>
      <c r="E68" s="93"/>
      <c r="F68" s="76"/>
      <c r="G68" s="35"/>
      <c r="H68" s="85"/>
      <c r="I68" s="85"/>
      <c r="J68" s="87" t="str">
        <f t="shared" si="7"/>
        <v/>
      </c>
      <c r="K68" s="35"/>
      <c r="L68" s="88"/>
      <c r="M68" s="89"/>
      <c r="N68" s="87" t="str">
        <f t="shared" si="8"/>
        <v/>
      </c>
      <c r="O68" s="35"/>
      <c r="P68" s="88"/>
      <c r="Q68" s="88"/>
      <c r="R68" s="87" t="str">
        <f t="shared" si="9"/>
        <v/>
      </c>
      <c r="S68" s="90" t="str">
        <f t="shared" si="10"/>
        <v/>
      </c>
      <c r="T68" s="91" t="str">
        <f t="shared" si="11"/>
        <v/>
      </c>
      <c r="U68" s="85">
        <f t="shared" si="6"/>
        <v>0</v>
      </c>
    </row>
    <row r="69">
      <c r="A69" s="85">
        <v>67.0</v>
      </c>
      <c r="B69" s="35"/>
      <c r="C69" s="65"/>
      <c r="D69" s="76"/>
      <c r="E69" s="93"/>
      <c r="F69" s="76"/>
      <c r="G69" s="35"/>
      <c r="H69" s="85"/>
      <c r="I69" s="85"/>
      <c r="J69" s="87" t="str">
        <f t="shared" si="7"/>
        <v/>
      </c>
      <c r="K69" s="35"/>
      <c r="L69" s="88"/>
      <c r="M69" s="89"/>
      <c r="N69" s="87" t="str">
        <f t="shared" si="8"/>
        <v/>
      </c>
      <c r="O69" s="35"/>
      <c r="P69" s="88"/>
      <c r="Q69" s="88"/>
      <c r="R69" s="87" t="str">
        <f t="shared" si="9"/>
        <v/>
      </c>
      <c r="S69" s="90" t="str">
        <f t="shared" si="10"/>
        <v/>
      </c>
      <c r="T69" s="91" t="str">
        <f t="shared" si="11"/>
        <v/>
      </c>
      <c r="U69" s="85">
        <f t="shared" si="6"/>
        <v>0</v>
      </c>
    </row>
    <row r="70">
      <c r="A70" s="85">
        <v>68.0</v>
      </c>
      <c r="B70" s="35"/>
      <c r="C70" s="65"/>
      <c r="D70" s="76"/>
      <c r="E70" s="93"/>
      <c r="F70" s="76"/>
      <c r="G70" s="35"/>
      <c r="H70" s="85"/>
      <c r="I70" s="85"/>
      <c r="J70" s="87" t="str">
        <f t="shared" si="7"/>
        <v/>
      </c>
      <c r="K70" s="35"/>
      <c r="L70" s="88"/>
      <c r="M70" s="89"/>
      <c r="N70" s="87" t="str">
        <f t="shared" si="8"/>
        <v/>
      </c>
      <c r="O70" s="35"/>
      <c r="P70" s="88"/>
      <c r="Q70" s="88"/>
      <c r="R70" s="87" t="str">
        <f t="shared" si="9"/>
        <v/>
      </c>
      <c r="S70" s="90" t="str">
        <f t="shared" si="10"/>
        <v/>
      </c>
      <c r="T70" s="91" t="str">
        <f t="shared" si="11"/>
        <v/>
      </c>
      <c r="U70" s="85">
        <f t="shared" si="6"/>
        <v>0</v>
      </c>
    </row>
    <row r="71">
      <c r="A71" s="85">
        <v>69.0</v>
      </c>
      <c r="B71" s="35"/>
      <c r="C71" s="65"/>
      <c r="D71" s="76"/>
      <c r="E71" s="93"/>
      <c r="F71" s="76"/>
      <c r="G71" s="35"/>
      <c r="H71" s="85"/>
      <c r="I71" s="85"/>
      <c r="J71" s="87" t="str">
        <f t="shared" si="7"/>
        <v/>
      </c>
      <c r="K71" s="35"/>
      <c r="L71" s="88"/>
      <c r="M71" s="89"/>
      <c r="N71" s="87" t="str">
        <f t="shared" si="8"/>
        <v/>
      </c>
      <c r="O71" s="35"/>
      <c r="P71" s="88"/>
      <c r="Q71" s="88"/>
      <c r="R71" s="87" t="str">
        <f t="shared" si="9"/>
        <v/>
      </c>
      <c r="S71" s="90" t="str">
        <f t="shared" si="10"/>
        <v/>
      </c>
      <c r="T71" s="91" t="str">
        <f t="shared" si="11"/>
        <v/>
      </c>
      <c r="U71" s="85">
        <f t="shared" si="6"/>
        <v>0</v>
      </c>
    </row>
    <row r="72">
      <c r="A72" s="85">
        <v>70.0</v>
      </c>
      <c r="B72" s="35"/>
      <c r="C72" s="65"/>
      <c r="D72" s="76"/>
      <c r="E72" s="93"/>
      <c r="F72" s="76"/>
      <c r="G72" s="35"/>
      <c r="H72" s="85"/>
      <c r="I72" s="85"/>
      <c r="J72" s="87" t="str">
        <f t="shared" si="7"/>
        <v/>
      </c>
      <c r="K72" s="35"/>
      <c r="L72" s="88"/>
      <c r="M72" s="89"/>
      <c r="N72" s="87" t="str">
        <f t="shared" si="8"/>
        <v/>
      </c>
      <c r="O72" s="35"/>
      <c r="P72" s="88"/>
      <c r="Q72" s="88"/>
      <c r="R72" s="87" t="str">
        <f t="shared" si="9"/>
        <v/>
      </c>
      <c r="S72" s="90" t="str">
        <f t="shared" si="10"/>
        <v/>
      </c>
      <c r="T72" s="91" t="str">
        <f t="shared" si="11"/>
        <v/>
      </c>
      <c r="U72" s="85">
        <f t="shared" si="6"/>
        <v>0</v>
      </c>
    </row>
    <row r="73">
      <c r="A73" s="85">
        <v>71.0</v>
      </c>
      <c r="B73" s="35"/>
      <c r="C73" s="65"/>
      <c r="D73" s="76"/>
      <c r="E73" s="93"/>
      <c r="F73" s="76"/>
      <c r="G73" s="35"/>
      <c r="H73" s="85"/>
      <c r="I73" s="85"/>
      <c r="J73" s="87" t="str">
        <f t="shared" si="7"/>
        <v/>
      </c>
      <c r="K73" s="35"/>
      <c r="L73" s="88"/>
      <c r="M73" s="89"/>
      <c r="N73" s="87" t="str">
        <f t="shared" si="8"/>
        <v/>
      </c>
      <c r="O73" s="35"/>
      <c r="P73" s="88"/>
      <c r="Q73" s="88"/>
      <c r="R73" s="87" t="str">
        <f t="shared" si="9"/>
        <v/>
      </c>
      <c r="S73" s="90" t="str">
        <f t="shared" si="10"/>
        <v/>
      </c>
      <c r="T73" s="91" t="str">
        <f t="shared" si="11"/>
        <v/>
      </c>
      <c r="U73" s="85">
        <f t="shared" si="6"/>
        <v>0</v>
      </c>
    </row>
    <row r="74">
      <c r="A74" s="85">
        <v>72.0</v>
      </c>
      <c r="B74" s="35"/>
      <c r="C74" s="65"/>
      <c r="D74" s="76"/>
      <c r="E74" s="93"/>
      <c r="F74" s="76"/>
      <c r="G74" s="35"/>
      <c r="H74" s="85"/>
      <c r="I74" s="85"/>
      <c r="J74" s="87" t="str">
        <f t="shared" si="7"/>
        <v/>
      </c>
      <c r="K74" s="35"/>
      <c r="L74" s="88"/>
      <c r="M74" s="89"/>
      <c r="N74" s="87" t="str">
        <f t="shared" si="8"/>
        <v/>
      </c>
      <c r="O74" s="35"/>
      <c r="P74" s="88"/>
      <c r="Q74" s="88"/>
      <c r="R74" s="87" t="str">
        <f t="shared" si="9"/>
        <v/>
      </c>
      <c r="S74" s="90" t="str">
        <f t="shared" si="10"/>
        <v/>
      </c>
      <c r="T74" s="91" t="str">
        <f t="shared" si="11"/>
        <v/>
      </c>
      <c r="U74" s="85">
        <f t="shared" si="6"/>
        <v>0</v>
      </c>
    </row>
    <row r="75">
      <c r="A75" s="85">
        <v>73.0</v>
      </c>
      <c r="B75" s="35"/>
      <c r="C75" s="65"/>
      <c r="D75" s="76"/>
      <c r="E75" s="93"/>
      <c r="F75" s="76"/>
      <c r="G75" s="35"/>
      <c r="H75" s="85"/>
      <c r="I75" s="85"/>
      <c r="J75" s="87" t="str">
        <f t="shared" si="7"/>
        <v/>
      </c>
      <c r="K75" s="35"/>
      <c r="L75" s="88"/>
      <c r="M75" s="89"/>
      <c r="N75" s="87" t="str">
        <f t="shared" si="8"/>
        <v/>
      </c>
      <c r="O75" s="35"/>
      <c r="P75" s="88"/>
      <c r="Q75" s="88"/>
      <c r="R75" s="87" t="str">
        <f t="shared" si="9"/>
        <v/>
      </c>
      <c r="S75" s="90" t="str">
        <f t="shared" si="10"/>
        <v/>
      </c>
      <c r="T75" s="91" t="str">
        <f t="shared" si="11"/>
        <v/>
      </c>
      <c r="U75" s="85">
        <f t="shared" si="6"/>
        <v>0</v>
      </c>
    </row>
    <row r="76">
      <c r="A76" s="85">
        <v>74.0</v>
      </c>
      <c r="B76" s="35"/>
      <c r="C76" s="65"/>
      <c r="D76" s="76"/>
      <c r="E76" s="93"/>
      <c r="F76" s="76"/>
      <c r="G76" s="35"/>
      <c r="H76" s="85"/>
      <c r="I76" s="85"/>
      <c r="J76" s="87" t="str">
        <f t="shared" si="7"/>
        <v/>
      </c>
      <c r="K76" s="35"/>
      <c r="L76" s="88"/>
      <c r="M76" s="89"/>
      <c r="N76" s="87" t="str">
        <f t="shared" si="8"/>
        <v/>
      </c>
      <c r="O76" s="35"/>
      <c r="P76" s="88"/>
      <c r="Q76" s="88"/>
      <c r="R76" s="87" t="str">
        <f t="shared" si="9"/>
        <v/>
      </c>
      <c r="S76" s="90" t="str">
        <f t="shared" si="10"/>
        <v/>
      </c>
      <c r="T76" s="91" t="str">
        <f t="shared" si="11"/>
        <v/>
      </c>
      <c r="U76" s="85">
        <f t="shared" si="6"/>
        <v>0</v>
      </c>
    </row>
    <row r="77">
      <c r="A77" s="85">
        <v>75.0</v>
      </c>
      <c r="B77" s="35"/>
      <c r="C77" s="65"/>
      <c r="D77" s="76"/>
      <c r="E77" s="93"/>
      <c r="F77" s="76"/>
      <c r="G77" s="35"/>
      <c r="H77" s="85"/>
      <c r="I77" s="85"/>
      <c r="J77" s="87" t="str">
        <f t="shared" si="7"/>
        <v/>
      </c>
      <c r="K77" s="35"/>
      <c r="L77" s="88"/>
      <c r="M77" s="89"/>
      <c r="N77" s="87" t="str">
        <f t="shared" si="8"/>
        <v/>
      </c>
      <c r="O77" s="35"/>
      <c r="P77" s="88"/>
      <c r="Q77" s="88"/>
      <c r="R77" s="87" t="str">
        <f t="shared" si="9"/>
        <v/>
      </c>
      <c r="S77" s="90" t="str">
        <f t="shared" si="10"/>
        <v/>
      </c>
      <c r="T77" s="91" t="str">
        <f t="shared" si="11"/>
        <v/>
      </c>
      <c r="U77" s="85">
        <f t="shared" si="6"/>
        <v>0</v>
      </c>
    </row>
  </sheetData>
  <autoFilter ref="$B$2:$T$77"/>
  <customSheetViews>
    <customSheetView guid="{B0C17AAF-6872-48F8-A58E-565BF6C8DB27}" filter="1" showAutoFilter="1">
      <autoFilter ref="$C$2:$U$52"/>
    </customSheetView>
  </customSheetViews>
  <mergeCells count="3">
    <mergeCell ref="K1:N1"/>
    <mergeCell ref="O1:R1"/>
    <mergeCell ref="G1:J1"/>
  </mergeCells>
  <conditionalFormatting sqref="G3:I77 K3:M77 O3:Q77">
    <cfRule type="endsWith" dxfId="1" priority="1" operator="endsWith" text="x">
      <formula>RIGHT((G3),LEN("x"))=("x")</formula>
    </cfRule>
  </conditionalFormatting>
  <conditionalFormatting sqref="G3:I77 K3:M77 O3:Q77">
    <cfRule type="endsWith" dxfId="2" priority="2" operator="endsWith" text="g">
      <formula>RIGHT((G3),LEN("g"))=("g")</formula>
    </cfRule>
  </conditionalFormatting>
  <drawing r:id="rId1"/>
</worksheet>
</file>